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210" firstSheet="9" activeTab="15"/>
  </bookViews>
  <sheets>
    <sheet name="2 жд 4а" sheetId="5" r:id="rId1"/>
    <sheet name="4 жд46б" sheetId="1" r:id="rId2"/>
    <sheet name="Горького 29" sheetId="4" r:id="rId3"/>
    <sheet name="4 ЖД 14а" sheetId="6" r:id="rId4"/>
    <sheet name="Джамбула 4" sheetId="7" r:id="rId5"/>
    <sheet name="Пушкина,13" sheetId="8" r:id="rId6"/>
    <sheet name="Румянцева15а" sheetId="9" r:id="rId7"/>
    <sheet name="Российская,25" sheetId="10" r:id="rId8"/>
    <sheet name="Воронежская23" sheetId="11" r:id="rId9"/>
    <sheet name="Лапина17" sheetId="12" r:id="rId10"/>
    <sheet name="гоголя42б" sheetId="13" r:id="rId11"/>
    <sheet name="чайковского14" sheetId="14" r:id="rId12"/>
    <sheet name="чайковского9" sheetId="15" r:id="rId13"/>
    <sheet name="гашека4" sheetId="16" r:id="rId14"/>
    <sheet name="гашека7" sheetId="17" r:id="rId15"/>
    <sheet name="мичурина7" sheetId="18" r:id="rId16"/>
    <sheet name="мичурина7-1" sheetId="19" r:id="rId17"/>
    <sheet name="свердлова1" sheetId="20" r:id="rId18"/>
    <sheet name="шмидта32" sheetId="21" r:id="rId19"/>
    <sheet name="роза5" sheetId="22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D11" i="22" l="1"/>
  <c r="B52" i="22" l="1"/>
  <c r="B51" i="22"/>
  <c r="B50" i="22"/>
  <c r="B49" i="22"/>
  <c r="B48" i="22"/>
  <c r="B46" i="22"/>
  <c r="C81" i="22"/>
  <c r="B81" i="22"/>
  <c r="L73" i="22"/>
  <c r="B71" i="22"/>
  <c r="B69" i="22"/>
  <c r="B62" i="22"/>
  <c r="B72" i="22" s="1"/>
  <c r="B60" i="22"/>
  <c r="B58" i="22"/>
  <c r="F50" i="22"/>
  <c r="F46" i="22"/>
  <c r="F49" i="22" s="1"/>
  <c r="E38" i="22"/>
  <c r="E37" i="22"/>
  <c r="E36" i="22"/>
  <c r="E35" i="22"/>
  <c r="E34" i="22"/>
  <c r="E33" i="22"/>
  <c r="E32" i="22"/>
  <c r="E31" i="22"/>
  <c r="E30" i="22"/>
  <c r="E29" i="22"/>
  <c r="D28" i="22"/>
  <c r="C28" i="22"/>
  <c r="L75" i="22" s="1"/>
  <c r="B28" i="22"/>
  <c r="B39" i="22" s="1"/>
  <c r="E27" i="22"/>
  <c r="E26" i="22"/>
  <c r="E25" i="22"/>
  <c r="E24" i="22"/>
  <c r="E23" i="22"/>
  <c r="F22" i="22"/>
  <c r="E22" i="22"/>
  <c r="E21" i="22"/>
  <c r="G20" i="22"/>
  <c r="F20" i="22"/>
  <c r="G22" i="22" s="1"/>
  <c r="D39" i="22"/>
  <c r="C8" i="22"/>
  <c r="B8" i="22"/>
  <c r="B87" i="22" s="1"/>
  <c r="B86" i="22" l="1"/>
  <c r="G50" i="22"/>
  <c r="E20" i="22"/>
  <c r="E39" i="22" s="1"/>
  <c r="E28" i="22"/>
  <c r="C39" i="22"/>
  <c r="G43" i="22"/>
  <c r="G44" i="22"/>
  <c r="B63" i="22" s="1"/>
  <c r="G46" i="22"/>
  <c r="B68" i="22"/>
  <c r="B70" i="22"/>
  <c r="G42" i="22"/>
  <c r="G45" i="22"/>
  <c r="F47" i="22"/>
  <c r="G47" i="22" s="1"/>
  <c r="F54" i="22"/>
  <c r="B56" i="22" l="1"/>
  <c r="B44" i="22" s="1"/>
  <c r="B85" i="22" l="1"/>
  <c r="B67" i="22"/>
  <c r="B66" i="22" s="1"/>
  <c r="B42" i="22"/>
  <c r="B65" i="22" l="1"/>
  <c r="D42" i="22"/>
  <c r="B63" i="21" l="1"/>
  <c r="B56" i="21"/>
  <c r="B52" i="21"/>
  <c r="B51" i="21"/>
  <c r="B50" i="21"/>
  <c r="B49" i="21"/>
  <c r="B48" i="21"/>
  <c r="B46" i="21"/>
  <c r="D31" i="21"/>
  <c r="C31" i="21"/>
  <c r="D20" i="21"/>
  <c r="D22" i="21"/>
  <c r="D33" i="21"/>
  <c r="E33" i="21" s="1"/>
  <c r="C33" i="21"/>
  <c r="C81" i="21"/>
  <c r="B58" i="21" s="1"/>
  <c r="B68" i="21" s="1"/>
  <c r="B81" i="21"/>
  <c r="B71" i="21"/>
  <c r="B62" i="21"/>
  <c r="B72" i="21" s="1"/>
  <c r="L73" i="21"/>
  <c r="B60" i="21" s="1"/>
  <c r="F50" i="21"/>
  <c r="F46" i="21"/>
  <c r="F49" i="21" s="1"/>
  <c r="E38" i="21"/>
  <c r="E37" i="21"/>
  <c r="E36" i="21"/>
  <c r="E35" i="21"/>
  <c r="E34" i="21"/>
  <c r="E32" i="21"/>
  <c r="E30" i="21"/>
  <c r="E29" i="21"/>
  <c r="C28" i="21"/>
  <c r="B28" i="21"/>
  <c r="B39" i="21" s="1"/>
  <c r="E27" i="21"/>
  <c r="E26" i="21"/>
  <c r="E25" i="21"/>
  <c r="E24" i="21"/>
  <c r="E23" i="21"/>
  <c r="F22" i="21"/>
  <c r="E21" i="21"/>
  <c r="G20" i="21"/>
  <c r="F20" i="21"/>
  <c r="C8" i="21"/>
  <c r="B8" i="21"/>
  <c r="F54" i="21" s="1"/>
  <c r="B65" i="20"/>
  <c r="C39" i="20"/>
  <c r="E31" i="21" l="1"/>
  <c r="D28" i="21"/>
  <c r="D39" i="21" s="1"/>
  <c r="B70" i="21"/>
  <c r="G22" i="21"/>
  <c r="B87" i="21"/>
  <c r="B86" i="21"/>
  <c r="E20" i="21"/>
  <c r="E22" i="21"/>
  <c r="G42" i="21"/>
  <c r="G45" i="21"/>
  <c r="F47" i="21"/>
  <c r="G47" i="21" s="1"/>
  <c r="L75" i="21"/>
  <c r="C39" i="21"/>
  <c r="G43" i="21"/>
  <c r="G44" i="21"/>
  <c r="G46" i="21"/>
  <c r="G50" i="21"/>
  <c r="B69" i="21"/>
  <c r="E28" i="21" l="1"/>
  <c r="E39" i="21"/>
  <c r="B44" i="21" l="1"/>
  <c r="B85" i="21" l="1"/>
  <c r="B42" i="21"/>
  <c r="B67" i="21"/>
  <c r="B66" i="21" s="1"/>
  <c r="B65" i="21" l="1"/>
  <c r="D42" i="21"/>
  <c r="B59" i="20" l="1"/>
  <c r="J71" i="20" l="1"/>
  <c r="J70" i="20"/>
  <c r="L70" i="20"/>
  <c r="J69" i="20"/>
  <c r="J68" i="20"/>
  <c r="J67" i="20"/>
  <c r="J66" i="20"/>
  <c r="J65" i="20"/>
  <c r="J64" i="20"/>
  <c r="J63" i="20"/>
  <c r="J62" i="20"/>
  <c r="J61" i="20"/>
  <c r="J60" i="20"/>
  <c r="B53" i="20"/>
  <c r="C30" i="20" l="1"/>
  <c r="D33" i="20"/>
  <c r="C33" i="20"/>
  <c r="D31" i="20"/>
  <c r="C31" i="20"/>
  <c r="D30" i="20"/>
  <c r="D29" i="20" l="1"/>
  <c r="C29" i="20"/>
  <c r="D22" i="20"/>
  <c r="C22" i="20"/>
  <c r="D20" i="20"/>
  <c r="C20" i="20"/>
  <c r="C81" i="20" l="1"/>
  <c r="B58" i="20" s="1"/>
  <c r="B81" i="20"/>
  <c r="L73" i="20"/>
  <c r="B60" i="20" s="1"/>
  <c r="B62" i="20"/>
  <c r="B72" i="20" s="1"/>
  <c r="F50" i="20"/>
  <c r="F46" i="20"/>
  <c r="F49" i="20" s="1"/>
  <c r="E38" i="20"/>
  <c r="E37" i="20"/>
  <c r="E36" i="20"/>
  <c r="B71" i="20"/>
  <c r="E34" i="20"/>
  <c r="E33" i="20"/>
  <c r="E32" i="20"/>
  <c r="D28" i="20"/>
  <c r="E31" i="20"/>
  <c r="E30" i="20"/>
  <c r="E29" i="20"/>
  <c r="C28" i="20"/>
  <c r="B28" i="20"/>
  <c r="B39" i="20" s="1"/>
  <c r="E27" i="20"/>
  <c r="B69" i="20"/>
  <c r="E25" i="20"/>
  <c r="E24" i="20"/>
  <c r="E23" i="20"/>
  <c r="E22" i="20"/>
  <c r="E21" i="20"/>
  <c r="G20" i="20"/>
  <c r="C8" i="20"/>
  <c r="B8" i="20"/>
  <c r="B87" i="20" s="1"/>
  <c r="E28" i="20" l="1"/>
  <c r="G50" i="20"/>
  <c r="B52" i="20" s="1"/>
  <c r="B86" i="20"/>
  <c r="D39" i="20"/>
  <c r="F22" i="20"/>
  <c r="E26" i="20"/>
  <c r="G43" i="20"/>
  <c r="G44" i="20"/>
  <c r="B63" i="20" s="1"/>
  <c r="G46" i="20"/>
  <c r="B48" i="20" s="1"/>
  <c r="F54" i="20"/>
  <c r="B51" i="20" s="1"/>
  <c r="B68" i="20"/>
  <c r="B70" i="20"/>
  <c r="L75" i="20"/>
  <c r="E20" i="20"/>
  <c r="E35" i="20"/>
  <c r="G42" i="20"/>
  <c r="B46" i="20" s="1"/>
  <c r="G45" i="20"/>
  <c r="B49" i="20" s="1"/>
  <c r="F47" i="20"/>
  <c r="G47" i="20" s="1"/>
  <c r="B50" i="20" s="1"/>
  <c r="E39" i="20" l="1"/>
  <c r="B56" i="20"/>
  <c r="B44" i="20" s="1"/>
  <c r="F20" i="20"/>
  <c r="G22" i="20" s="1"/>
  <c r="B85" i="20" l="1"/>
  <c r="B42" i="20"/>
  <c r="B67" i="20"/>
  <c r="B66" i="20" s="1"/>
  <c r="D42" i="20" l="1"/>
  <c r="C81" i="8" l="1"/>
  <c r="C78" i="7"/>
  <c r="C76" i="15" l="1"/>
  <c r="C80" i="11" l="1"/>
  <c r="C74" i="1"/>
  <c r="B57" i="19" l="1"/>
  <c r="B53" i="19"/>
  <c r="B48" i="19" l="1"/>
  <c r="D29" i="19"/>
  <c r="D35" i="19"/>
  <c r="C35" i="19"/>
  <c r="B35" i="19"/>
  <c r="D33" i="19"/>
  <c r="C33" i="19"/>
  <c r="D31" i="19"/>
  <c r="C31" i="19"/>
  <c r="D30" i="19"/>
  <c r="C30" i="19"/>
  <c r="C29" i="19"/>
  <c r="B29" i="19"/>
  <c r="D26" i="19"/>
  <c r="C26" i="19"/>
  <c r="B26" i="19"/>
  <c r="D22" i="19"/>
  <c r="C22" i="19"/>
  <c r="D20" i="19"/>
  <c r="B20" i="19"/>
  <c r="C20" i="19"/>
  <c r="B30" i="19"/>
  <c r="C81" i="19" l="1"/>
  <c r="B58" i="19" s="1"/>
  <c r="B68" i="19" s="1"/>
  <c r="B81" i="19"/>
  <c r="B69" i="19"/>
  <c r="B62" i="19"/>
  <c r="B72" i="19" s="1"/>
  <c r="L73" i="19"/>
  <c r="B60" i="19" s="1"/>
  <c r="F50" i="19"/>
  <c r="F46" i="19"/>
  <c r="F49" i="19" s="1"/>
  <c r="E38" i="19"/>
  <c r="E37" i="19"/>
  <c r="E36" i="19"/>
  <c r="B71" i="19"/>
  <c r="E34" i="19"/>
  <c r="E33" i="19"/>
  <c r="E32" i="19"/>
  <c r="E31" i="19"/>
  <c r="E30" i="19"/>
  <c r="B28" i="19"/>
  <c r="B39" i="19" s="1"/>
  <c r="D28" i="19"/>
  <c r="D39" i="19" s="1"/>
  <c r="E29" i="19"/>
  <c r="C28" i="19"/>
  <c r="E27" i="19"/>
  <c r="E26" i="19"/>
  <c r="E25" i="19"/>
  <c r="E24" i="19"/>
  <c r="E23" i="19"/>
  <c r="F22" i="19"/>
  <c r="E22" i="19"/>
  <c r="E21" i="19"/>
  <c r="G20" i="19"/>
  <c r="F20" i="19"/>
  <c r="G22" i="19" s="1"/>
  <c r="D8" i="19"/>
  <c r="C8" i="19"/>
  <c r="B87" i="19" s="1"/>
  <c r="B62" i="17"/>
  <c r="B52" i="17"/>
  <c r="B51" i="17"/>
  <c r="B50" i="17"/>
  <c r="B49" i="17"/>
  <c r="B48" i="17"/>
  <c r="B46" i="17"/>
  <c r="B62" i="16"/>
  <c r="B57" i="16"/>
  <c r="B52" i="16"/>
  <c r="B51" i="16"/>
  <c r="B50" i="16"/>
  <c r="B49" i="16"/>
  <c r="B48" i="16"/>
  <c r="B46" i="16"/>
  <c r="B62" i="13"/>
  <c r="B52" i="13"/>
  <c r="B51" i="13"/>
  <c r="B50" i="13"/>
  <c r="B49" i="13"/>
  <c r="B48" i="13"/>
  <c r="B46" i="13"/>
  <c r="E28" i="19" l="1"/>
  <c r="E20" i="19"/>
  <c r="C39" i="19"/>
  <c r="G45" i="19"/>
  <c r="B49" i="19" s="1"/>
  <c r="F47" i="19"/>
  <c r="G47" i="19" s="1"/>
  <c r="B50" i="19" s="1"/>
  <c r="B70" i="19"/>
  <c r="L75" i="19"/>
  <c r="B86" i="19"/>
  <c r="E35" i="19"/>
  <c r="G42" i="19"/>
  <c r="G43" i="19"/>
  <c r="G44" i="19"/>
  <c r="B63" i="19" s="1"/>
  <c r="G46" i="19"/>
  <c r="G50" i="19"/>
  <c r="B52" i="19" s="1"/>
  <c r="F54" i="19"/>
  <c r="B51" i="19" s="1"/>
  <c r="B46" i="19" l="1"/>
  <c r="E39" i="19"/>
  <c r="B56" i="19" l="1"/>
  <c r="B44" i="19" s="1"/>
  <c r="B85" i="19" l="1"/>
  <c r="B67" i="19"/>
  <c r="B66" i="19" s="1"/>
  <c r="B42" i="19"/>
  <c r="B65" i="19" l="1"/>
  <c r="D42" i="19"/>
  <c r="B51" i="14" l="1"/>
  <c r="L71" i="18"/>
  <c r="J71" i="18"/>
  <c r="J70" i="18"/>
  <c r="L70" i="18"/>
  <c r="L69" i="18"/>
  <c r="J69" i="18"/>
  <c r="J68" i="18"/>
  <c r="J67" i="18"/>
  <c r="J66" i="18"/>
  <c r="J65" i="18"/>
  <c r="J64" i="18"/>
  <c r="L63" i="18"/>
  <c r="J63" i="18"/>
  <c r="J62" i="18"/>
  <c r="L62" i="18"/>
  <c r="L61" i="18"/>
  <c r="J61" i="18"/>
  <c r="L60" i="18"/>
  <c r="J60" i="18"/>
  <c r="B53" i="18"/>
  <c r="B57" i="18"/>
  <c r="B43" i="18"/>
  <c r="D35" i="18"/>
  <c r="C35" i="18"/>
  <c r="B71" i="18" s="1"/>
  <c r="D31" i="18"/>
  <c r="C31" i="18"/>
  <c r="D33" i="18"/>
  <c r="C33" i="18"/>
  <c r="D30" i="18"/>
  <c r="C30" i="18"/>
  <c r="B30" i="18"/>
  <c r="D29" i="18"/>
  <c r="C29" i="18"/>
  <c r="D26" i="18"/>
  <c r="D22" i="18"/>
  <c r="D20" i="18"/>
  <c r="C81" i="18"/>
  <c r="B58" i="18" s="1"/>
  <c r="B68" i="18" s="1"/>
  <c r="B81" i="18"/>
  <c r="B69" i="18"/>
  <c r="B62" i="18"/>
  <c r="B72" i="18" s="1"/>
  <c r="F50" i="18"/>
  <c r="F46" i="18"/>
  <c r="F49" i="18" s="1"/>
  <c r="E38" i="18"/>
  <c r="E37" i="18"/>
  <c r="E36" i="18"/>
  <c r="E34" i="18"/>
  <c r="E32" i="18"/>
  <c r="B28" i="18"/>
  <c r="B39" i="18" s="1"/>
  <c r="E27" i="18"/>
  <c r="E26" i="18"/>
  <c r="E25" i="18"/>
  <c r="E24" i="18"/>
  <c r="E23" i="18"/>
  <c r="F22" i="18"/>
  <c r="F20" i="18" s="1"/>
  <c r="E21" i="18"/>
  <c r="G20" i="18"/>
  <c r="D8" i="18"/>
  <c r="C8" i="18"/>
  <c r="B87" i="18" s="1"/>
  <c r="J70" i="17"/>
  <c r="J69" i="17"/>
  <c r="J68" i="17"/>
  <c r="L67" i="17"/>
  <c r="B53" i="17"/>
  <c r="B55" i="17"/>
  <c r="D33" i="17"/>
  <c r="C33" i="17"/>
  <c r="D37" i="17"/>
  <c r="E37" i="17" s="1"/>
  <c r="D32" i="17"/>
  <c r="E32" i="17" s="1"/>
  <c r="C32" i="17"/>
  <c r="D31" i="17"/>
  <c r="C31" i="17"/>
  <c r="E31" i="17" s="1"/>
  <c r="D30" i="17"/>
  <c r="E30" i="17" s="1"/>
  <c r="C30" i="17"/>
  <c r="D29" i="17"/>
  <c r="C29" i="17"/>
  <c r="D22" i="17"/>
  <c r="C22" i="17"/>
  <c r="D20" i="17"/>
  <c r="C20" i="17"/>
  <c r="C80" i="17"/>
  <c r="B57" i="17" s="1"/>
  <c r="B80" i="17"/>
  <c r="B70" i="17"/>
  <c r="L72" i="17"/>
  <c r="B59" i="17" s="1"/>
  <c r="B68" i="17"/>
  <c r="B61" i="17"/>
  <c r="B71" i="17" s="1"/>
  <c r="F50" i="17"/>
  <c r="F46" i="17"/>
  <c r="E38" i="17"/>
  <c r="E36" i="17"/>
  <c r="E35" i="17"/>
  <c r="E34" i="17"/>
  <c r="D28" i="17"/>
  <c r="C28" i="17"/>
  <c r="B28" i="17"/>
  <c r="B39" i="17" s="1"/>
  <c r="E27" i="17"/>
  <c r="E26" i="17"/>
  <c r="E25" i="17"/>
  <c r="E24" i="17"/>
  <c r="E23" i="17"/>
  <c r="F22" i="17"/>
  <c r="E21" i="17"/>
  <c r="G20" i="17"/>
  <c r="D8" i="17"/>
  <c r="C8" i="17"/>
  <c r="B86" i="17" s="1"/>
  <c r="J70" i="16"/>
  <c r="J69" i="16"/>
  <c r="J68" i="16"/>
  <c r="C28" i="13"/>
  <c r="C28" i="14"/>
  <c r="C28" i="15"/>
  <c r="C28" i="16"/>
  <c r="D33" i="16"/>
  <c r="E33" i="16" s="1"/>
  <c r="C33" i="16"/>
  <c r="D32" i="16"/>
  <c r="D31" i="16"/>
  <c r="D30" i="16"/>
  <c r="C30" i="16"/>
  <c r="D29" i="16"/>
  <c r="D22" i="16"/>
  <c r="D20" i="16"/>
  <c r="C20" i="16"/>
  <c r="C80" i="16"/>
  <c r="B80" i="16"/>
  <c r="B70" i="16"/>
  <c r="B61" i="16"/>
  <c r="B71" i="16" s="1"/>
  <c r="L72" i="16"/>
  <c r="B59" i="16" s="1"/>
  <c r="F50" i="16"/>
  <c r="F46" i="16"/>
  <c r="E38" i="16"/>
  <c r="E37" i="16"/>
  <c r="E36" i="16"/>
  <c r="E35" i="16"/>
  <c r="E34" i="16"/>
  <c r="E32" i="16"/>
  <c r="E31" i="16"/>
  <c r="D28" i="16"/>
  <c r="B28" i="16"/>
  <c r="B39" i="16" s="1"/>
  <c r="E27" i="16"/>
  <c r="B68" i="16"/>
  <c r="E25" i="16"/>
  <c r="E24" i="16"/>
  <c r="E23" i="16"/>
  <c r="F22" i="16"/>
  <c r="E21" i="16"/>
  <c r="G20" i="16"/>
  <c r="D8" i="16"/>
  <c r="C8" i="16"/>
  <c r="B86" i="16" s="1"/>
  <c r="J70" i="15"/>
  <c r="J69" i="15"/>
  <c r="L69" i="15"/>
  <c r="J68" i="15"/>
  <c r="J67" i="15"/>
  <c r="L67" i="15"/>
  <c r="L66" i="15"/>
  <c r="J66" i="15"/>
  <c r="L65" i="15"/>
  <c r="J65" i="15"/>
  <c r="L64" i="15"/>
  <c r="J64" i="15"/>
  <c r="J63" i="15"/>
  <c r="L63" i="15"/>
  <c r="L62" i="15"/>
  <c r="J62" i="15"/>
  <c r="J61" i="15"/>
  <c r="L61" i="15"/>
  <c r="J60" i="15"/>
  <c r="L60" i="15"/>
  <c r="L59" i="15"/>
  <c r="J59" i="15"/>
  <c r="B53" i="15"/>
  <c r="B37" i="15"/>
  <c r="D33" i="15"/>
  <c r="C33" i="15"/>
  <c r="D31" i="15"/>
  <c r="E31" i="15" s="1"/>
  <c r="C31" i="15"/>
  <c r="D30" i="15"/>
  <c r="D28" i="15" s="1"/>
  <c r="D39" i="15" s="1"/>
  <c r="C30" i="15"/>
  <c r="B30" i="15"/>
  <c r="D29" i="15"/>
  <c r="E29" i="15" s="1"/>
  <c r="C29" i="15"/>
  <c r="D26" i="15"/>
  <c r="E26" i="15" s="1"/>
  <c r="C26" i="15"/>
  <c r="D22" i="15"/>
  <c r="C22" i="15"/>
  <c r="D20" i="15"/>
  <c r="C20" i="15"/>
  <c r="C80" i="15"/>
  <c r="B57" i="15" s="1"/>
  <c r="B80" i="15"/>
  <c r="B70" i="15"/>
  <c r="B68" i="15"/>
  <c r="B61" i="15"/>
  <c r="B71" i="15" s="1"/>
  <c r="F50" i="15"/>
  <c r="F46" i="15"/>
  <c r="F49" i="15" s="1"/>
  <c r="E38" i="15"/>
  <c r="E37" i="15"/>
  <c r="E36" i="15"/>
  <c r="E35" i="15"/>
  <c r="E34" i="15"/>
  <c r="E33" i="15"/>
  <c r="E32" i="15"/>
  <c r="E30" i="15"/>
  <c r="B28" i="15"/>
  <c r="B39" i="15" s="1"/>
  <c r="E27" i="15"/>
  <c r="E25" i="15"/>
  <c r="E24" i="15"/>
  <c r="E23" i="15"/>
  <c r="F22" i="15"/>
  <c r="E21" i="15"/>
  <c r="G20" i="15"/>
  <c r="F20" i="15"/>
  <c r="D8" i="15"/>
  <c r="C8" i="15"/>
  <c r="B86" i="15" s="1"/>
  <c r="J70" i="14"/>
  <c r="J69" i="14"/>
  <c r="D31" i="14"/>
  <c r="C31" i="14"/>
  <c r="D29" i="14"/>
  <c r="C29" i="14"/>
  <c r="D33" i="14"/>
  <c r="E33" i="14" s="1"/>
  <c r="C33" i="14"/>
  <c r="D30" i="14"/>
  <c r="C30" i="14"/>
  <c r="D22" i="14"/>
  <c r="C22" i="14"/>
  <c r="D20" i="14"/>
  <c r="C20" i="14"/>
  <c r="C80" i="14"/>
  <c r="B57" i="14" s="1"/>
  <c r="B80" i="14"/>
  <c r="B70" i="14"/>
  <c r="L72" i="14"/>
  <c r="B59" i="14" s="1"/>
  <c r="B61" i="14"/>
  <c r="B71" i="14" s="1"/>
  <c r="F50" i="14"/>
  <c r="F46" i="14"/>
  <c r="E38" i="14"/>
  <c r="E37" i="14"/>
  <c r="E36" i="14"/>
  <c r="E35" i="14"/>
  <c r="E34" i="14"/>
  <c r="E32" i="14"/>
  <c r="D28" i="14"/>
  <c r="B28" i="14"/>
  <c r="B39" i="14" s="1"/>
  <c r="E27" i="14"/>
  <c r="E26" i="14"/>
  <c r="E25" i="14"/>
  <c r="E24" i="14"/>
  <c r="E23" i="14"/>
  <c r="F22" i="14"/>
  <c r="E21" i="14"/>
  <c r="G20" i="14"/>
  <c r="D8" i="14"/>
  <c r="C8" i="14"/>
  <c r="G44" i="14" s="1"/>
  <c r="B62" i="14" s="1"/>
  <c r="J70" i="13"/>
  <c r="J69" i="13"/>
  <c r="B58" i="13"/>
  <c r="D30" i="13"/>
  <c r="C30" i="13"/>
  <c r="D33" i="13"/>
  <c r="C33" i="13"/>
  <c r="D29" i="13"/>
  <c r="C29" i="13"/>
  <c r="D31" i="13"/>
  <c r="C31" i="13"/>
  <c r="D20" i="13"/>
  <c r="C20" i="13"/>
  <c r="D28" i="18" l="1"/>
  <c r="D39" i="18" s="1"/>
  <c r="E31" i="18"/>
  <c r="C28" i="18"/>
  <c r="L73" i="18"/>
  <c r="B60" i="18" s="1"/>
  <c r="B70" i="18" s="1"/>
  <c r="E35" i="18"/>
  <c r="E33" i="18"/>
  <c r="E30" i="18"/>
  <c r="E29" i="18"/>
  <c r="E28" i="18"/>
  <c r="G22" i="18"/>
  <c r="B86" i="18"/>
  <c r="G50" i="18"/>
  <c r="B52" i="18" s="1"/>
  <c r="E20" i="18"/>
  <c r="E22" i="18"/>
  <c r="C39" i="18"/>
  <c r="G43" i="18"/>
  <c r="G44" i="18"/>
  <c r="B63" i="18" s="1"/>
  <c r="G46" i="18"/>
  <c r="B48" i="18" s="1"/>
  <c r="F54" i="18"/>
  <c r="B51" i="18" s="1"/>
  <c r="G42" i="18"/>
  <c r="B46" i="18" s="1"/>
  <c r="G45" i="18"/>
  <c r="B49" i="18" s="1"/>
  <c r="F47" i="18"/>
  <c r="G47" i="18" s="1"/>
  <c r="B50" i="18" s="1"/>
  <c r="L74" i="17"/>
  <c r="E33" i="17"/>
  <c r="C39" i="17"/>
  <c r="E29" i="17"/>
  <c r="D39" i="17"/>
  <c r="E22" i="17"/>
  <c r="B67" i="17"/>
  <c r="G50" i="17"/>
  <c r="G46" i="17"/>
  <c r="E20" i="17"/>
  <c r="E28" i="17"/>
  <c r="G42" i="17"/>
  <c r="G45" i="17"/>
  <c r="F47" i="17"/>
  <c r="G47" i="17" s="1"/>
  <c r="F49" i="17"/>
  <c r="F54" i="17"/>
  <c r="B69" i="17"/>
  <c r="B85" i="17"/>
  <c r="F20" i="17"/>
  <c r="G22" i="17" s="1"/>
  <c r="G43" i="17"/>
  <c r="G44" i="17"/>
  <c r="E30" i="16"/>
  <c r="D39" i="16"/>
  <c r="G46" i="16"/>
  <c r="B85" i="16"/>
  <c r="B69" i="16"/>
  <c r="E28" i="16"/>
  <c r="L74" i="16"/>
  <c r="E20" i="16"/>
  <c r="E22" i="16"/>
  <c r="E26" i="16"/>
  <c r="E29" i="16"/>
  <c r="G42" i="16"/>
  <c r="G45" i="16"/>
  <c r="F47" i="16"/>
  <c r="G47" i="16" s="1"/>
  <c r="F49" i="16"/>
  <c r="B67" i="16"/>
  <c r="F20" i="16"/>
  <c r="G22" i="16" s="1"/>
  <c r="C39" i="16"/>
  <c r="G43" i="16"/>
  <c r="G44" i="16"/>
  <c r="G50" i="16"/>
  <c r="F54" i="16"/>
  <c r="L72" i="15"/>
  <c r="B59" i="15" s="1"/>
  <c r="E22" i="15"/>
  <c r="G22" i="15"/>
  <c r="G43" i="15"/>
  <c r="G44" i="15"/>
  <c r="B62" i="15" s="1"/>
  <c r="G46" i="15"/>
  <c r="B48" i="15" s="1"/>
  <c r="G50" i="15"/>
  <c r="B52" i="15" s="1"/>
  <c r="B85" i="15"/>
  <c r="B67" i="15"/>
  <c r="C39" i="15"/>
  <c r="E20" i="15"/>
  <c r="G42" i="15"/>
  <c r="B46" i="15" s="1"/>
  <c r="G45" i="15"/>
  <c r="B49" i="15" s="1"/>
  <c r="F47" i="15"/>
  <c r="G47" i="15" s="1"/>
  <c r="B50" i="15" s="1"/>
  <c r="F54" i="15"/>
  <c r="B51" i="15" s="1"/>
  <c r="E31" i="14"/>
  <c r="E30" i="14"/>
  <c r="E22" i="14"/>
  <c r="D39" i="14"/>
  <c r="G46" i="14"/>
  <c r="B48" i="14" s="1"/>
  <c r="B85" i="14"/>
  <c r="G50" i="14"/>
  <c r="B52" i="14" s="1"/>
  <c r="B86" i="14"/>
  <c r="E28" i="14"/>
  <c r="L74" i="14"/>
  <c r="B69" i="14"/>
  <c r="E29" i="14"/>
  <c r="G42" i="14"/>
  <c r="B46" i="14" s="1"/>
  <c r="G45" i="14"/>
  <c r="B49" i="14" s="1"/>
  <c r="F47" i="14"/>
  <c r="G47" i="14" s="1"/>
  <c r="B50" i="14" s="1"/>
  <c r="F49" i="14"/>
  <c r="F54" i="14"/>
  <c r="B67" i="14"/>
  <c r="E20" i="14"/>
  <c r="E39" i="14" s="1"/>
  <c r="F20" i="14"/>
  <c r="G22" i="14" s="1"/>
  <c r="C39" i="14"/>
  <c r="G43" i="14"/>
  <c r="B68" i="14"/>
  <c r="F42" i="4"/>
  <c r="F41" i="4"/>
  <c r="C80" i="13"/>
  <c r="B80" i="13"/>
  <c r="B68" i="13"/>
  <c r="B61" i="13"/>
  <c r="B71" i="13" s="1"/>
  <c r="L72" i="13"/>
  <c r="B59" i="13" s="1"/>
  <c r="B57" i="13"/>
  <c r="F50" i="13"/>
  <c r="F46" i="13"/>
  <c r="E38" i="13"/>
  <c r="E37" i="13"/>
  <c r="E36" i="13"/>
  <c r="B70" i="13"/>
  <c r="E34" i="13"/>
  <c r="E33" i="13"/>
  <c r="E32" i="13"/>
  <c r="E31" i="13"/>
  <c r="E30" i="13"/>
  <c r="D28" i="13"/>
  <c r="B28" i="13"/>
  <c r="E27" i="13"/>
  <c r="E26" i="13"/>
  <c r="E25" i="13"/>
  <c r="E24" i="13"/>
  <c r="E23" i="13"/>
  <c r="F22" i="13"/>
  <c r="E22" i="13"/>
  <c r="E21" i="13"/>
  <c r="G20" i="13"/>
  <c r="D39" i="13"/>
  <c r="B39" i="13"/>
  <c r="D8" i="13"/>
  <c r="C8" i="13"/>
  <c r="B86" i="13" s="1"/>
  <c r="L70" i="12"/>
  <c r="J70" i="12"/>
  <c r="J69" i="12"/>
  <c r="L69" i="12"/>
  <c r="J68" i="12"/>
  <c r="L68" i="12"/>
  <c r="J67" i="12"/>
  <c r="L67" i="12"/>
  <c r="J66" i="12"/>
  <c r="L66" i="12"/>
  <c r="L65" i="12"/>
  <c r="J65" i="12"/>
  <c r="L64" i="12"/>
  <c r="J64" i="12"/>
  <c r="L63" i="11"/>
  <c r="J63" i="12"/>
  <c r="L63" i="12"/>
  <c r="L62" i="12"/>
  <c r="L62" i="11"/>
  <c r="J62" i="12"/>
  <c r="J61" i="12"/>
  <c r="L61" i="12"/>
  <c r="J60" i="12"/>
  <c r="L60" i="11"/>
  <c r="L60" i="12"/>
  <c r="L59" i="12"/>
  <c r="L59" i="11"/>
  <c r="J59" i="12"/>
  <c r="B60" i="12"/>
  <c r="B56" i="14" l="1"/>
  <c r="L75" i="18"/>
  <c r="E39" i="18"/>
  <c r="B56" i="18"/>
  <c r="B44" i="18" s="1"/>
  <c r="E39" i="17"/>
  <c r="E39" i="16"/>
  <c r="L74" i="15"/>
  <c r="B69" i="15"/>
  <c r="E28" i="15"/>
  <c r="E39" i="15"/>
  <c r="B56" i="15"/>
  <c r="B44" i="15" s="1"/>
  <c r="G46" i="13"/>
  <c r="B85" i="13"/>
  <c r="E28" i="13"/>
  <c r="L74" i="13"/>
  <c r="B69" i="13"/>
  <c r="E20" i="13"/>
  <c r="E29" i="13"/>
  <c r="G42" i="13"/>
  <c r="G45" i="13"/>
  <c r="F47" i="13"/>
  <c r="G47" i="13" s="1"/>
  <c r="F49" i="13"/>
  <c r="F54" i="13"/>
  <c r="B67" i="13"/>
  <c r="F20" i="13"/>
  <c r="G22" i="13" s="1"/>
  <c r="E35" i="13"/>
  <c r="C39" i="13"/>
  <c r="G43" i="13"/>
  <c r="G44" i="13"/>
  <c r="G50" i="13"/>
  <c r="B85" i="18" l="1"/>
  <c r="B42" i="18"/>
  <c r="B67" i="18"/>
  <c r="B66" i="18" s="1"/>
  <c r="B56" i="17"/>
  <c r="B44" i="17" s="1"/>
  <c r="B56" i="16"/>
  <c r="B44" i="16" s="1"/>
  <c r="B84" i="15"/>
  <c r="B42" i="15"/>
  <c r="B66" i="15"/>
  <c r="B65" i="15" s="1"/>
  <c r="B44" i="14"/>
  <c r="E39" i="13"/>
  <c r="B65" i="18" l="1"/>
  <c r="D42" i="18"/>
  <c r="B84" i="17"/>
  <c r="B42" i="17"/>
  <c r="B66" i="17"/>
  <c r="B65" i="17" s="1"/>
  <c r="B84" i="16"/>
  <c r="B42" i="16"/>
  <c r="B66" i="16"/>
  <c r="B65" i="16" s="1"/>
  <c r="B64" i="15"/>
  <c r="D42" i="15"/>
  <c r="B84" i="14"/>
  <c r="B42" i="14"/>
  <c r="B66" i="14"/>
  <c r="B65" i="14" s="1"/>
  <c r="B56" i="13"/>
  <c r="B44" i="13" s="1"/>
  <c r="D42" i="17" l="1"/>
  <c r="B64" i="17"/>
  <c r="B64" i="16"/>
  <c r="D42" i="16"/>
  <c r="B64" i="14"/>
  <c r="D42" i="14"/>
  <c r="B84" i="13"/>
  <c r="B42" i="13"/>
  <c r="B66" i="13"/>
  <c r="B65" i="13" s="1"/>
  <c r="B64" i="13" l="1"/>
  <c r="D42" i="13"/>
  <c r="D20" i="12" l="1"/>
  <c r="C20" i="12"/>
  <c r="B20" i="12"/>
  <c r="D37" i="12"/>
  <c r="E37" i="12" s="1"/>
  <c r="D35" i="12"/>
  <c r="C35" i="12"/>
  <c r="D33" i="12"/>
  <c r="D31" i="12"/>
  <c r="E31" i="12" s="1"/>
  <c r="D30" i="12"/>
  <c r="C30" i="12"/>
  <c r="B30" i="12"/>
  <c r="D29" i="12"/>
  <c r="E29" i="12" s="1"/>
  <c r="C29" i="12"/>
  <c r="D26" i="12"/>
  <c r="D22" i="12"/>
  <c r="C80" i="12"/>
  <c r="B57" i="12" s="1"/>
  <c r="B67" i="12" s="1"/>
  <c r="B80" i="12"/>
  <c r="B70" i="12"/>
  <c r="B61" i="12"/>
  <c r="B71" i="12" s="1"/>
  <c r="L72" i="12"/>
  <c r="B59" i="12" s="1"/>
  <c r="F50" i="12"/>
  <c r="F46" i="12"/>
  <c r="F49" i="12" s="1"/>
  <c r="E38" i="12"/>
  <c r="E36" i="12"/>
  <c r="E34" i="12"/>
  <c r="E33" i="12"/>
  <c r="E32" i="12"/>
  <c r="E30" i="12"/>
  <c r="B28" i="12"/>
  <c r="B39" i="12" s="1"/>
  <c r="D28" i="12"/>
  <c r="E27" i="12"/>
  <c r="B68" i="12"/>
  <c r="E25" i="12"/>
  <c r="E24" i="12"/>
  <c r="E23" i="12"/>
  <c r="F22" i="12"/>
  <c r="E21" i="12"/>
  <c r="G20" i="12"/>
  <c r="F20" i="12"/>
  <c r="D8" i="12"/>
  <c r="C8" i="12"/>
  <c r="B86" i="12" s="1"/>
  <c r="J70" i="11"/>
  <c r="L69" i="11"/>
  <c r="J69" i="11"/>
  <c r="J68" i="11"/>
  <c r="L68" i="11"/>
  <c r="J67" i="11"/>
  <c r="L66" i="11"/>
  <c r="L65" i="11"/>
  <c r="L64" i="11"/>
  <c r="J63" i="11"/>
  <c r="J62" i="11"/>
  <c r="J61" i="11"/>
  <c r="J60" i="11"/>
  <c r="J59" i="11"/>
  <c r="B57" i="11"/>
  <c r="E32" i="11"/>
  <c r="D33" i="11"/>
  <c r="D31" i="11"/>
  <c r="E31" i="11" s="1"/>
  <c r="D30" i="11"/>
  <c r="C30" i="11"/>
  <c r="B30" i="11"/>
  <c r="D29" i="11"/>
  <c r="E29" i="11" s="1"/>
  <c r="C29" i="11"/>
  <c r="D26" i="11"/>
  <c r="C26" i="11"/>
  <c r="D22" i="11"/>
  <c r="C22" i="11"/>
  <c r="F22" i="11" s="1"/>
  <c r="D20" i="11"/>
  <c r="C20" i="11"/>
  <c r="B80" i="11"/>
  <c r="B70" i="11"/>
  <c r="B68" i="11"/>
  <c r="B61" i="11"/>
  <c r="B71" i="11" s="1"/>
  <c r="F50" i="11"/>
  <c r="F46" i="11"/>
  <c r="F49" i="11" s="1"/>
  <c r="E38" i="11"/>
  <c r="E37" i="11"/>
  <c r="E36" i="11"/>
  <c r="E35" i="11"/>
  <c r="E34" i="11"/>
  <c r="E33" i="11"/>
  <c r="B28" i="11"/>
  <c r="B39" i="11" s="1"/>
  <c r="E27" i="11"/>
  <c r="E25" i="11"/>
  <c r="E24" i="11"/>
  <c r="E23" i="11"/>
  <c r="E22" i="11"/>
  <c r="E21" i="11"/>
  <c r="G20" i="11"/>
  <c r="D8" i="11"/>
  <c r="C8" i="11"/>
  <c r="B86" i="11" s="1"/>
  <c r="C39" i="10"/>
  <c r="J70" i="10"/>
  <c r="J69" i="10"/>
  <c r="L69" i="10"/>
  <c r="J68" i="10"/>
  <c r="L67" i="10"/>
  <c r="J67" i="10"/>
  <c r="J66" i="10"/>
  <c r="L66" i="10"/>
  <c r="L65" i="10"/>
  <c r="J65" i="10"/>
  <c r="L64" i="10"/>
  <c r="J64" i="10"/>
  <c r="J63" i="10"/>
  <c r="L63" i="10"/>
  <c r="L62" i="10"/>
  <c r="J62" i="10"/>
  <c r="J61" i="10"/>
  <c r="L61" i="10"/>
  <c r="J60" i="10"/>
  <c r="L60" i="10"/>
  <c r="L59" i="10"/>
  <c r="J59" i="10"/>
  <c r="B53" i="10"/>
  <c r="D33" i="10"/>
  <c r="C33" i="10"/>
  <c r="D31" i="10"/>
  <c r="C31" i="10"/>
  <c r="D30" i="10"/>
  <c r="C30" i="10"/>
  <c r="B30" i="10"/>
  <c r="D29" i="10"/>
  <c r="C29" i="10"/>
  <c r="D28" i="11" l="1"/>
  <c r="D39" i="11" s="1"/>
  <c r="E35" i="12"/>
  <c r="C28" i="12"/>
  <c r="B69" i="12" s="1"/>
  <c r="G22" i="12"/>
  <c r="G50" i="12"/>
  <c r="B52" i="12" s="1"/>
  <c r="B85" i="12"/>
  <c r="D39" i="12"/>
  <c r="E20" i="12"/>
  <c r="E22" i="12"/>
  <c r="E26" i="12"/>
  <c r="C39" i="12"/>
  <c r="G43" i="12"/>
  <c r="G44" i="12"/>
  <c r="B62" i="12" s="1"/>
  <c r="G46" i="12"/>
  <c r="B48" i="12" s="1"/>
  <c r="L74" i="12"/>
  <c r="G42" i="12"/>
  <c r="G45" i="12"/>
  <c r="B49" i="12" s="1"/>
  <c r="F47" i="12"/>
  <c r="G47" i="12" s="1"/>
  <c r="B50" i="12" s="1"/>
  <c r="F54" i="12"/>
  <c r="B51" i="12" s="1"/>
  <c r="L72" i="11"/>
  <c r="B59" i="11" s="1"/>
  <c r="C28" i="11"/>
  <c r="E30" i="11"/>
  <c r="E26" i="11"/>
  <c r="F20" i="11"/>
  <c r="G22" i="11" s="1"/>
  <c r="B85" i="11"/>
  <c r="L74" i="11"/>
  <c r="E20" i="11"/>
  <c r="E28" i="11"/>
  <c r="C39" i="11"/>
  <c r="G43" i="11"/>
  <c r="G44" i="11"/>
  <c r="B62" i="11" s="1"/>
  <c r="G46" i="11"/>
  <c r="B48" i="11" s="1"/>
  <c r="G50" i="11"/>
  <c r="B52" i="11" s="1"/>
  <c r="F54" i="11"/>
  <c r="B51" i="11" s="1"/>
  <c r="G42" i="11"/>
  <c r="B46" i="11" s="1"/>
  <c r="G45" i="11"/>
  <c r="B49" i="11" s="1"/>
  <c r="F47" i="11"/>
  <c r="G47" i="11" s="1"/>
  <c r="B50" i="11" s="1"/>
  <c r="B67" i="11"/>
  <c r="D24" i="10"/>
  <c r="E24" i="10" s="1"/>
  <c r="C24" i="10"/>
  <c r="D22" i="10"/>
  <c r="D20" i="10"/>
  <c r="C20" i="10"/>
  <c r="C78" i="10"/>
  <c r="B78" i="10"/>
  <c r="B68" i="10"/>
  <c r="L72" i="10"/>
  <c r="B59" i="10" s="1"/>
  <c r="B57" i="10"/>
  <c r="F50" i="10"/>
  <c r="F46" i="10"/>
  <c r="F49" i="10" s="1"/>
  <c r="E38" i="10"/>
  <c r="E36" i="10"/>
  <c r="B70" i="10"/>
  <c r="E34" i="10"/>
  <c r="E33" i="10"/>
  <c r="E31" i="10"/>
  <c r="E30" i="10"/>
  <c r="E29" i="10"/>
  <c r="D28" i="10"/>
  <c r="B28" i="10"/>
  <c r="E27" i="10"/>
  <c r="E26" i="10"/>
  <c r="E25" i="10"/>
  <c r="E23" i="10"/>
  <c r="F22" i="10"/>
  <c r="E21" i="10"/>
  <c r="G20" i="10"/>
  <c r="B39" i="10"/>
  <c r="D8" i="10"/>
  <c r="C8" i="10"/>
  <c r="B84" i="10" s="1"/>
  <c r="L68" i="9"/>
  <c r="J68" i="9"/>
  <c r="L69" i="9"/>
  <c r="J70" i="9"/>
  <c r="J69" i="9"/>
  <c r="J67" i="9"/>
  <c r="L67" i="9"/>
  <c r="J66" i="9"/>
  <c r="L66" i="9"/>
  <c r="L65" i="9"/>
  <c r="J65" i="9"/>
  <c r="L64" i="9"/>
  <c r="J64" i="9"/>
  <c r="J63" i="9"/>
  <c r="L63" i="9"/>
  <c r="L62" i="9"/>
  <c r="J62" i="9"/>
  <c r="J61" i="9"/>
  <c r="L61" i="9"/>
  <c r="J60" i="9"/>
  <c r="L60" i="9"/>
  <c r="L59" i="9"/>
  <c r="J59" i="9"/>
  <c r="D37" i="9"/>
  <c r="C37" i="9"/>
  <c r="B37" i="9"/>
  <c r="D35" i="9"/>
  <c r="C35" i="9"/>
  <c r="D33" i="9"/>
  <c r="E33" i="9" s="1"/>
  <c r="C33" i="9"/>
  <c r="D31" i="9"/>
  <c r="C31" i="9"/>
  <c r="D30" i="9"/>
  <c r="E30" i="9" s="1"/>
  <c r="C30" i="9"/>
  <c r="B30" i="9"/>
  <c r="D29" i="9"/>
  <c r="E29" i="9" s="1"/>
  <c r="C29" i="9"/>
  <c r="D22" i="9"/>
  <c r="C22" i="9"/>
  <c r="F22" i="9" s="1"/>
  <c r="D20" i="9"/>
  <c r="C20" i="9"/>
  <c r="B20" i="9"/>
  <c r="B78" i="9"/>
  <c r="C78" i="9"/>
  <c r="B57" i="9" s="1"/>
  <c r="B68" i="9"/>
  <c r="F50" i="9"/>
  <c r="F46" i="9"/>
  <c r="F49" i="9" s="1"/>
  <c r="E38" i="9"/>
  <c r="E36" i="9"/>
  <c r="E34" i="9"/>
  <c r="B28" i="9"/>
  <c r="E27" i="9"/>
  <c r="E26" i="9"/>
  <c r="E25" i="9"/>
  <c r="E24" i="9"/>
  <c r="E23" i="9"/>
  <c r="E22" i="9"/>
  <c r="E21" i="9"/>
  <c r="G20" i="9"/>
  <c r="D8" i="9"/>
  <c r="C8" i="9"/>
  <c r="B84" i="9" s="1"/>
  <c r="B57" i="8"/>
  <c r="B67" i="8" s="1"/>
  <c r="L68" i="8"/>
  <c r="J70" i="8"/>
  <c r="J69" i="8"/>
  <c r="L69" i="8"/>
  <c r="J68" i="8"/>
  <c r="J67" i="8"/>
  <c r="L67" i="8"/>
  <c r="J66" i="8"/>
  <c r="L66" i="8"/>
  <c r="L65" i="8"/>
  <c r="J65" i="8"/>
  <c r="L64" i="8"/>
  <c r="J64" i="8"/>
  <c r="J63" i="8"/>
  <c r="L63" i="8"/>
  <c r="L62" i="8"/>
  <c r="J62" i="8"/>
  <c r="J61" i="8"/>
  <c r="L61" i="8"/>
  <c r="J60" i="8"/>
  <c r="L60" i="8"/>
  <c r="L59" i="8"/>
  <c r="J59" i="8"/>
  <c r="D20" i="8"/>
  <c r="C20" i="8"/>
  <c r="D29" i="8"/>
  <c r="C29" i="8"/>
  <c r="D31" i="8"/>
  <c r="C31" i="8"/>
  <c r="D37" i="8"/>
  <c r="C35" i="8"/>
  <c r="D35" i="8"/>
  <c r="B35" i="8"/>
  <c r="C37" i="8"/>
  <c r="B37" i="8"/>
  <c r="D30" i="8"/>
  <c r="C30" i="8"/>
  <c r="B30" i="8"/>
  <c r="D33" i="8"/>
  <c r="C33" i="8"/>
  <c r="B81" i="8"/>
  <c r="B68" i="8"/>
  <c r="F50" i="8"/>
  <c r="F46" i="8"/>
  <c r="F49" i="8" s="1"/>
  <c r="E38" i="8"/>
  <c r="E36" i="8"/>
  <c r="E34" i="8"/>
  <c r="D28" i="8"/>
  <c r="D39" i="8" s="1"/>
  <c r="C28" i="8"/>
  <c r="B28" i="8"/>
  <c r="B39" i="8" s="1"/>
  <c r="E27" i="8"/>
  <c r="E26" i="8"/>
  <c r="E25" i="8"/>
  <c r="E24" i="8"/>
  <c r="E23" i="8"/>
  <c r="F22" i="8"/>
  <c r="E22" i="8"/>
  <c r="E21" i="8"/>
  <c r="G20" i="8"/>
  <c r="D8" i="8"/>
  <c r="C8" i="8"/>
  <c r="B87" i="8" s="1"/>
  <c r="J74" i="7"/>
  <c r="J73" i="7"/>
  <c r="L73" i="7"/>
  <c r="L72" i="7"/>
  <c r="J72" i="7"/>
  <c r="J71" i="7"/>
  <c r="L71" i="7"/>
  <c r="J70" i="7"/>
  <c r="L70" i="7"/>
  <c r="L69" i="7"/>
  <c r="J69" i="7"/>
  <c r="L68" i="7"/>
  <c r="J68" i="7"/>
  <c r="J67" i="7"/>
  <c r="L67" i="7"/>
  <c r="L66" i="7"/>
  <c r="J66" i="7"/>
  <c r="J65" i="7"/>
  <c r="L65" i="7"/>
  <c r="J64" i="7"/>
  <c r="L64" i="7"/>
  <c r="L63" i="7"/>
  <c r="J63" i="7"/>
  <c r="D29" i="7"/>
  <c r="D35" i="7"/>
  <c r="B35" i="7"/>
  <c r="D31" i="7"/>
  <c r="C31" i="7"/>
  <c r="D27" i="7"/>
  <c r="B27" i="7"/>
  <c r="D20" i="7"/>
  <c r="D22" i="7"/>
  <c r="C35" i="7"/>
  <c r="B70" i="7" s="1"/>
  <c r="E27" i="7"/>
  <c r="D37" i="7"/>
  <c r="C37" i="7"/>
  <c r="B61" i="7" s="1"/>
  <c r="B37" i="7"/>
  <c r="D30" i="7"/>
  <c r="E30" i="7" s="1"/>
  <c r="C30" i="7"/>
  <c r="D33" i="7"/>
  <c r="E33" i="7" s="1"/>
  <c r="C33" i="7"/>
  <c r="B57" i="7"/>
  <c r="B78" i="7"/>
  <c r="B68" i="7"/>
  <c r="F50" i="7"/>
  <c r="F46" i="7"/>
  <c r="F49" i="7" s="1"/>
  <c r="E38" i="7"/>
  <c r="E36" i="7"/>
  <c r="E34" i="7"/>
  <c r="E29" i="7"/>
  <c r="B28" i="7"/>
  <c r="E26" i="7"/>
  <c r="E25" i="7"/>
  <c r="E24" i="7"/>
  <c r="E23" i="7"/>
  <c r="F22" i="7"/>
  <c r="E22" i="7"/>
  <c r="E21" i="7"/>
  <c r="G20" i="7"/>
  <c r="F20" i="7"/>
  <c r="E20" i="7"/>
  <c r="D8" i="7"/>
  <c r="C8" i="7"/>
  <c r="B84" i="7" s="1"/>
  <c r="E30" i="8" l="1"/>
  <c r="E29" i="8"/>
  <c r="D28" i="7"/>
  <c r="D39" i="7" s="1"/>
  <c r="E31" i="7"/>
  <c r="B69" i="11"/>
  <c r="E28" i="12"/>
  <c r="B46" i="12"/>
  <c r="B56" i="12" s="1"/>
  <c r="B44" i="12" s="1"/>
  <c r="E39" i="12"/>
  <c r="B56" i="11"/>
  <c r="B44" i="11" s="1"/>
  <c r="E39" i="11"/>
  <c r="D39" i="10"/>
  <c r="G44" i="10"/>
  <c r="B62" i="10" s="1"/>
  <c r="G46" i="10"/>
  <c r="B48" i="10" s="1"/>
  <c r="G50" i="10"/>
  <c r="B52" i="10" s="1"/>
  <c r="G43" i="10"/>
  <c r="B83" i="10"/>
  <c r="E20" i="10"/>
  <c r="E22" i="10"/>
  <c r="E35" i="10"/>
  <c r="B67" i="10"/>
  <c r="F20" i="10"/>
  <c r="G22" i="10" s="1"/>
  <c r="C28" i="10"/>
  <c r="E37" i="10"/>
  <c r="G42" i="10"/>
  <c r="B46" i="10" s="1"/>
  <c r="G45" i="10"/>
  <c r="B49" i="10" s="1"/>
  <c r="F47" i="10"/>
  <c r="G47" i="10" s="1"/>
  <c r="B50" i="10" s="1"/>
  <c r="F54" i="10"/>
  <c r="B51" i="10" s="1"/>
  <c r="B61" i="10"/>
  <c r="B71" i="10" s="1"/>
  <c r="L72" i="9"/>
  <c r="B59" i="9" s="1"/>
  <c r="E35" i="9"/>
  <c r="E31" i="9"/>
  <c r="D28" i="9"/>
  <c r="D39" i="9" s="1"/>
  <c r="C28" i="9"/>
  <c r="C39" i="9" s="1"/>
  <c r="F20" i="9"/>
  <c r="B39" i="9"/>
  <c r="G22" i="9"/>
  <c r="B67" i="9"/>
  <c r="B83" i="9"/>
  <c r="E20" i="9"/>
  <c r="E37" i="9"/>
  <c r="G42" i="9"/>
  <c r="G45" i="9"/>
  <c r="B49" i="9" s="1"/>
  <c r="F47" i="9"/>
  <c r="G47" i="9" s="1"/>
  <c r="B50" i="9" s="1"/>
  <c r="F54" i="9"/>
  <c r="B51" i="9" s="1"/>
  <c r="B61" i="9"/>
  <c r="B71" i="9" s="1"/>
  <c r="B70" i="9"/>
  <c r="G43" i="9"/>
  <c r="G44" i="9"/>
  <c r="B62" i="9" s="1"/>
  <c r="G46" i="9"/>
  <c r="B48" i="9" s="1"/>
  <c r="G50" i="9"/>
  <c r="B52" i="9" s="1"/>
  <c r="L72" i="8"/>
  <c r="B59" i="8" s="1"/>
  <c r="B69" i="8" s="1"/>
  <c r="E20" i="8"/>
  <c r="E31" i="8"/>
  <c r="E35" i="8"/>
  <c r="E33" i="8"/>
  <c r="B86" i="8"/>
  <c r="F20" i="8"/>
  <c r="G22" i="8" s="1"/>
  <c r="E37" i="8"/>
  <c r="G42" i="8"/>
  <c r="G45" i="8"/>
  <c r="B49" i="8" s="1"/>
  <c r="F47" i="8"/>
  <c r="G47" i="8" s="1"/>
  <c r="B50" i="8" s="1"/>
  <c r="F54" i="8"/>
  <c r="B51" i="8" s="1"/>
  <c r="B61" i="8"/>
  <c r="B71" i="8" s="1"/>
  <c r="B70" i="8"/>
  <c r="E28" i="8"/>
  <c r="C39" i="8"/>
  <c r="G43" i="8"/>
  <c r="G44" i="8"/>
  <c r="B62" i="8" s="1"/>
  <c r="G46" i="8"/>
  <c r="B48" i="8" s="1"/>
  <c r="G50" i="8"/>
  <c r="B52" i="8" s="1"/>
  <c r="L76" i="7"/>
  <c r="B59" i="7" s="1"/>
  <c r="B39" i="7"/>
  <c r="G22" i="7"/>
  <c r="C28" i="7"/>
  <c r="C39" i="7" s="1"/>
  <c r="B83" i="7"/>
  <c r="G50" i="7"/>
  <c r="B52" i="7" s="1"/>
  <c r="E35" i="7"/>
  <c r="G43" i="7"/>
  <c r="G44" i="7"/>
  <c r="B62" i="7" s="1"/>
  <c r="G46" i="7"/>
  <c r="B48" i="7" s="1"/>
  <c r="B67" i="7"/>
  <c r="B71" i="7"/>
  <c r="E37" i="7"/>
  <c r="G42" i="7"/>
  <c r="B46" i="7" s="1"/>
  <c r="G45" i="7"/>
  <c r="B49" i="7" s="1"/>
  <c r="F47" i="7"/>
  <c r="G47" i="7" s="1"/>
  <c r="B50" i="7" s="1"/>
  <c r="F54" i="7"/>
  <c r="B51" i="7" s="1"/>
  <c r="B84" i="12" l="1"/>
  <c r="B42" i="12"/>
  <c r="B66" i="12"/>
  <c r="B65" i="12" s="1"/>
  <c r="B42" i="11"/>
  <c r="B84" i="11"/>
  <c r="B66" i="11"/>
  <c r="B65" i="11" s="1"/>
  <c r="B56" i="10"/>
  <c r="B44" i="10" s="1"/>
  <c r="L74" i="10"/>
  <c r="E28" i="10"/>
  <c r="E39" i="10" s="1"/>
  <c r="B69" i="10"/>
  <c r="E28" i="9"/>
  <c r="L74" i="9"/>
  <c r="B69" i="9"/>
  <c r="B46" i="9"/>
  <c r="E39" i="9"/>
  <c r="L74" i="8"/>
  <c r="E39" i="8"/>
  <c r="B46" i="8"/>
  <c r="B69" i="7"/>
  <c r="E28" i="7"/>
  <c r="E39" i="7" s="1"/>
  <c r="L79" i="7"/>
  <c r="B56" i="7"/>
  <c r="B44" i="7" s="1"/>
  <c r="B64" i="12" l="1"/>
  <c r="D42" i="12"/>
  <c r="B64" i="11"/>
  <c r="D42" i="11"/>
  <c r="B42" i="10"/>
  <c r="B64" i="10" s="1"/>
  <c r="B82" i="10"/>
  <c r="B66" i="10"/>
  <c r="B65" i="10" s="1"/>
  <c r="B56" i="9"/>
  <c r="B44" i="9" s="1"/>
  <c r="B56" i="8"/>
  <c r="B44" i="8" s="1"/>
  <c r="B82" i="7"/>
  <c r="B66" i="7"/>
  <c r="B65" i="7" s="1"/>
  <c r="B42" i="7"/>
  <c r="D42" i="10" l="1"/>
  <c r="B82" i="9"/>
  <c r="B42" i="9"/>
  <c r="B64" i="9" s="1"/>
  <c r="B66" i="9"/>
  <c r="B65" i="9" s="1"/>
  <c r="B85" i="8"/>
  <c r="B66" i="8"/>
  <c r="B65" i="8" s="1"/>
  <c r="B42" i="8"/>
  <c r="B64" i="7"/>
  <c r="D42" i="7"/>
  <c r="D42" i="9" l="1"/>
  <c r="D42" i="8"/>
  <c r="B64" i="8"/>
  <c r="L70" i="6" l="1"/>
  <c r="J73" i="6"/>
  <c r="J72" i="6"/>
  <c r="L72" i="6"/>
  <c r="J71" i="6"/>
  <c r="J70" i="6"/>
  <c r="J69" i="6"/>
  <c r="L69" i="6"/>
  <c r="L68" i="6"/>
  <c r="J68" i="6"/>
  <c r="L67" i="6"/>
  <c r="J67" i="6"/>
  <c r="J66" i="6"/>
  <c r="L66" i="6"/>
  <c r="L65" i="6"/>
  <c r="J65" i="6"/>
  <c r="J64" i="6"/>
  <c r="L64" i="6"/>
  <c r="J63" i="6"/>
  <c r="L63" i="6"/>
  <c r="L62" i="6"/>
  <c r="J62" i="6"/>
  <c r="D34" i="6"/>
  <c r="C34" i="6"/>
  <c r="D30" i="6"/>
  <c r="C30" i="6"/>
  <c r="D20" i="6"/>
  <c r="D28" i="6"/>
  <c r="E28" i="6" s="1"/>
  <c r="B69" i="6"/>
  <c r="D36" i="6"/>
  <c r="C36" i="6"/>
  <c r="B36" i="6"/>
  <c r="D29" i="6"/>
  <c r="E29" i="6" s="1"/>
  <c r="C29" i="6"/>
  <c r="D32" i="6"/>
  <c r="C32" i="6"/>
  <c r="D8" i="6"/>
  <c r="C76" i="6"/>
  <c r="B76" i="6"/>
  <c r="B67" i="6"/>
  <c r="B60" i="6"/>
  <c r="B70" i="6" s="1"/>
  <c r="B56" i="6"/>
  <c r="F49" i="6"/>
  <c r="F45" i="6"/>
  <c r="E37" i="6"/>
  <c r="E35" i="6"/>
  <c r="E33" i="6"/>
  <c r="E30" i="6"/>
  <c r="D27" i="6"/>
  <c r="B27" i="6"/>
  <c r="B38" i="6" s="1"/>
  <c r="E26" i="6"/>
  <c r="E25" i="6"/>
  <c r="E24" i="6"/>
  <c r="E23" i="6"/>
  <c r="F22" i="6"/>
  <c r="E22" i="6"/>
  <c r="E21" i="6"/>
  <c r="G20" i="6"/>
  <c r="F20" i="6"/>
  <c r="E20" i="6"/>
  <c r="C8" i="6"/>
  <c r="B82" i="6" s="1"/>
  <c r="B60" i="5"/>
  <c r="B70" i="5" s="1"/>
  <c r="L75" i="6" l="1"/>
  <c r="B58" i="6" s="1"/>
  <c r="B68" i="6" s="1"/>
  <c r="C27" i="6"/>
  <c r="C38" i="6"/>
  <c r="E36" i="6"/>
  <c r="E32" i="6"/>
  <c r="G22" i="6"/>
  <c r="G45" i="6"/>
  <c r="B47" i="6" s="1"/>
  <c r="B81" i="6"/>
  <c r="G49" i="6"/>
  <c r="B51" i="6" s="1"/>
  <c r="D38" i="6"/>
  <c r="G41" i="6"/>
  <c r="G44" i="6"/>
  <c r="B48" i="6" s="1"/>
  <c r="F46" i="6"/>
  <c r="G46" i="6" s="1"/>
  <c r="B49" i="6" s="1"/>
  <c r="F48" i="6"/>
  <c r="F53" i="6"/>
  <c r="B50" i="6" s="1"/>
  <c r="B66" i="6"/>
  <c r="E27" i="6"/>
  <c r="E34" i="6"/>
  <c r="G42" i="6"/>
  <c r="G43" i="6"/>
  <c r="B61" i="6" s="1"/>
  <c r="J71" i="5"/>
  <c r="J70" i="5"/>
  <c r="J67" i="5"/>
  <c r="J66" i="5"/>
  <c r="L65" i="5"/>
  <c r="J65" i="5"/>
  <c r="J64" i="5"/>
  <c r="J63" i="5"/>
  <c r="J62" i="5"/>
  <c r="L78" i="6" l="1"/>
  <c r="E38" i="6"/>
  <c r="B45" i="6"/>
  <c r="B55" i="6" l="1"/>
  <c r="B43" i="6" s="1"/>
  <c r="B80" i="6" l="1"/>
  <c r="B65" i="6"/>
  <c r="B64" i="6" s="1"/>
  <c r="B41" i="6"/>
  <c r="D41" i="6" l="1"/>
  <c r="B63" i="6"/>
  <c r="D30" i="5" l="1"/>
  <c r="C30" i="5"/>
  <c r="D20" i="5"/>
  <c r="D28" i="5"/>
  <c r="D34" i="5"/>
  <c r="C34" i="5"/>
  <c r="D36" i="5"/>
  <c r="C29" i="5"/>
  <c r="D29" i="5"/>
  <c r="B29" i="5"/>
  <c r="C32" i="5"/>
  <c r="D32" i="5"/>
  <c r="C76" i="5" l="1"/>
  <c r="B76" i="5"/>
  <c r="B69" i="5"/>
  <c r="L75" i="5"/>
  <c r="B58" i="5" s="1"/>
  <c r="B56" i="5"/>
  <c r="F49" i="5"/>
  <c r="F45" i="5"/>
  <c r="F48" i="5" s="1"/>
  <c r="E37" i="5"/>
  <c r="E36" i="5"/>
  <c r="E35" i="5"/>
  <c r="E34" i="5"/>
  <c r="E33" i="5"/>
  <c r="E32" i="5"/>
  <c r="E30" i="5"/>
  <c r="E29" i="5"/>
  <c r="E28" i="5"/>
  <c r="D27" i="5"/>
  <c r="D38" i="5" s="1"/>
  <c r="B27" i="5"/>
  <c r="B38" i="5" s="1"/>
  <c r="B67" i="5"/>
  <c r="E25" i="5"/>
  <c r="E24" i="5"/>
  <c r="E23" i="5"/>
  <c r="E22" i="5"/>
  <c r="E21" i="5"/>
  <c r="G20" i="5"/>
  <c r="C8" i="5"/>
  <c r="B82" i="5" s="1"/>
  <c r="G49" i="5" l="1"/>
  <c r="B51" i="5" s="1"/>
  <c r="B81" i="5"/>
  <c r="F22" i="5"/>
  <c r="F20" i="5" s="1"/>
  <c r="E26" i="5"/>
  <c r="C27" i="5"/>
  <c r="C38" i="5" s="1"/>
  <c r="G42" i="5"/>
  <c r="G43" i="5"/>
  <c r="B61" i="5" s="1"/>
  <c r="G45" i="5"/>
  <c r="B47" i="5" s="1"/>
  <c r="F53" i="5"/>
  <c r="B50" i="5" s="1"/>
  <c r="B66" i="5"/>
  <c r="E20" i="5"/>
  <c r="G41" i="5"/>
  <c r="B45" i="5" s="1"/>
  <c r="G44" i="5"/>
  <c r="B48" i="5" s="1"/>
  <c r="F46" i="5"/>
  <c r="G46" i="5" s="1"/>
  <c r="B49" i="5" s="1"/>
  <c r="B55" i="5" l="1"/>
  <c r="B43" i="5" s="1"/>
  <c r="L78" i="5"/>
  <c r="B68" i="5"/>
  <c r="E27" i="5"/>
  <c r="E38" i="5" s="1"/>
  <c r="G22" i="5"/>
  <c r="J66" i="4"/>
  <c r="J72" i="4"/>
  <c r="J71" i="4"/>
  <c r="L71" i="4"/>
  <c r="L68" i="4"/>
  <c r="J70" i="4"/>
  <c r="L70" i="4"/>
  <c r="J69" i="4"/>
  <c r="L69" i="4"/>
  <c r="J68" i="4"/>
  <c r="L67" i="4"/>
  <c r="J67" i="4"/>
  <c r="L66" i="4"/>
  <c r="J65" i="4"/>
  <c r="L65" i="4"/>
  <c r="L64" i="4"/>
  <c r="J64" i="4"/>
  <c r="J63" i="4"/>
  <c r="L63" i="4"/>
  <c r="J62" i="4"/>
  <c r="L62" i="4"/>
  <c r="L61" i="4"/>
  <c r="J61" i="4"/>
  <c r="B65" i="5" l="1"/>
  <c r="B64" i="5" s="1"/>
  <c r="B41" i="5"/>
  <c r="B63" i="5" s="1"/>
  <c r="B80" i="5"/>
  <c r="B52" i="4"/>
  <c r="D41" i="5" l="1"/>
  <c r="D30" i="4"/>
  <c r="D20" i="4"/>
  <c r="D22" i="4"/>
  <c r="D26" i="4"/>
  <c r="D28" i="4"/>
  <c r="D24" i="4"/>
  <c r="D29" i="4"/>
  <c r="D32" i="4"/>
  <c r="C30" i="4"/>
  <c r="C20" i="4"/>
  <c r="C22" i="4"/>
  <c r="C26" i="4"/>
  <c r="C28" i="4"/>
  <c r="C29" i="4"/>
  <c r="C32" i="4"/>
  <c r="B27" i="4"/>
  <c r="B38" i="4" s="1"/>
  <c r="B30" i="4"/>
  <c r="L74" i="4"/>
  <c r="B58" i="4" s="1"/>
  <c r="C74" i="4"/>
  <c r="B56" i="4" s="1"/>
  <c r="B74" i="4"/>
  <c r="B68" i="4"/>
  <c r="B66" i="4"/>
  <c r="F49" i="4"/>
  <c r="F45" i="4"/>
  <c r="F48" i="4" s="1"/>
  <c r="E37" i="4"/>
  <c r="E36" i="4"/>
  <c r="E35" i="4"/>
  <c r="E34" i="4"/>
  <c r="E33" i="4"/>
  <c r="C27" i="4"/>
  <c r="B67" i="4" s="1"/>
  <c r="E25" i="4"/>
  <c r="E24" i="4"/>
  <c r="E23" i="4"/>
  <c r="E21" i="4"/>
  <c r="G20" i="4"/>
  <c r="E20" i="4"/>
  <c r="C8" i="4"/>
  <c r="B82" i="4" s="1"/>
  <c r="E26" i="4" l="1"/>
  <c r="E30" i="4"/>
  <c r="E28" i="4"/>
  <c r="B65" i="4"/>
  <c r="E29" i="4"/>
  <c r="D27" i="4"/>
  <c r="D38" i="4" s="1"/>
  <c r="E32" i="4"/>
  <c r="B81" i="4"/>
  <c r="E22" i="4"/>
  <c r="C38" i="4"/>
  <c r="G44" i="4"/>
  <c r="B48" i="4" s="1"/>
  <c r="F46" i="4"/>
  <c r="G46" i="4" s="1"/>
  <c r="B49" i="4" s="1"/>
  <c r="L77" i="4"/>
  <c r="F22" i="4"/>
  <c r="G41" i="4"/>
  <c r="G42" i="4"/>
  <c r="G43" i="4"/>
  <c r="B60" i="4" s="1"/>
  <c r="G45" i="4"/>
  <c r="B47" i="4" s="1"/>
  <c r="G49" i="4"/>
  <c r="B51" i="4" s="1"/>
  <c r="F53" i="4"/>
  <c r="B50" i="4" s="1"/>
  <c r="F44" i="1"/>
  <c r="B45" i="4" l="1"/>
  <c r="B55" i="4" s="1"/>
  <c r="E27" i="4"/>
  <c r="E38" i="4" s="1"/>
  <c r="F20" i="4"/>
  <c r="G22" i="4" s="1"/>
  <c r="F48" i="1"/>
  <c r="B51" i="1"/>
  <c r="B43" i="4" l="1"/>
  <c r="B41" i="4" s="1"/>
  <c r="D41" i="4" s="1"/>
  <c r="B72" i="1"/>
  <c r="B64" i="4" l="1"/>
  <c r="B63" i="4" s="1"/>
  <c r="B80" i="4"/>
  <c r="B62" i="4"/>
  <c r="L73" i="1"/>
  <c r="B57" i="1" l="1"/>
  <c r="F45" i="1" l="1"/>
  <c r="B41" i="1" l="1"/>
  <c r="B74" i="1" l="1"/>
  <c r="D22" i="1"/>
  <c r="D20" i="1"/>
  <c r="D30" i="1"/>
  <c r="D31" i="1"/>
  <c r="D29" i="1"/>
  <c r="D28" i="1"/>
  <c r="C22" i="1"/>
  <c r="C31" i="1"/>
  <c r="E31" i="1" s="1"/>
  <c r="C30" i="1"/>
  <c r="C29" i="1"/>
  <c r="C28" i="1"/>
  <c r="B30" i="1"/>
  <c r="B29" i="1"/>
  <c r="B28" i="1"/>
  <c r="B67" i="1"/>
  <c r="B65" i="1"/>
  <c r="F47" i="1"/>
  <c r="E36" i="1"/>
  <c r="E35" i="1"/>
  <c r="E34" i="1"/>
  <c r="E33" i="1"/>
  <c r="E32" i="1"/>
  <c r="E28" i="1"/>
  <c r="B27" i="1"/>
  <c r="B37" i="1" s="1"/>
  <c r="E26" i="1"/>
  <c r="E25" i="1"/>
  <c r="E24" i="1"/>
  <c r="E23" i="1"/>
  <c r="E22" i="1"/>
  <c r="E21" i="1"/>
  <c r="G20" i="1"/>
  <c r="D11" i="1"/>
  <c r="C8" i="1"/>
  <c r="G48" i="1" s="1"/>
  <c r="B50" i="1" s="1"/>
  <c r="D27" i="1" l="1"/>
  <c r="C27" i="1"/>
  <c r="F22" i="1"/>
  <c r="F20" i="1" s="1"/>
  <c r="C37" i="1"/>
  <c r="D37" i="1"/>
  <c r="B82" i="1"/>
  <c r="F52" i="1"/>
  <c r="B49" i="1" s="1"/>
  <c r="E30" i="1"/>
  <c r="G22" i="1"/>
  <c r="B66" i="1"/>
  <c r="E29" i="1"/>
  <c r="B55" i="1"/>
  <c r="G40" i="1"/>
  <c r="G43" i="1"/>
  <c r="B47" i="1" s="1"/>
  <c r="G44" i="1"/>
  <c r="B46" i="1" s="1"/>
  <c r="E20" i="1"/>
  <c r="G41" i="1"/>
  <c r="G42" i="1"/>
  <c r="B59" i="1" s="1"/>
  <c r="G45" i="1"/>
  <c r="B48" i="1" s="1"/>
  <c r="L76" i="1" l="1"/>
  <c r="E27" i="1"/>
  <c r="E37" i="1" s="1"/>
  <c r="B44" i="1"/>
  <c r="B81" i="1"/>
  <c r="B64" i="1"/>
  <c r="B54" i="1" l="1"/>
  <c r="B42" i="1" s="1"/>
  <c r="B63" i="1" s="1"/>
  <c r="B62" i="1" s="1"/>
  <c r="B80" i="1" l="1"/>
  <c r="B40" i="1"/>
  <c r="D40" i="1" l="1"/>
  <c r="B61" i="1"/>
</calcChain>
</file>

<file path=xl/sharedStrings.xml><?xml version="1.0" encoding="utf-8"?>
<sst xmlns="http://schemas.openxmlformats.org/spreadsheetml/2006/main" count="2816" uniqueCount="204">
  <si>
    <t>1.Техническая характеристика.</t>
  </si>
  <si>
    <t>Адрес</t>
  </si>
  <si>
    <t xml:space="preserve"> Общая площадь, м2</t>
  </si>
  <si>
    <t>кол-во проживающих чел.</t>
  </si>
  <si>
    <t>4 Железнодорожная 46б</t>
  </si>
  <si>
    <t>Итого:</t>
  </si>
  <si>
    <t>руб/м2</t>
  </si>
  <si>
    <t>2.1. Управление многоквартирным домом и содержание общего имущества</t>
  </si>
  <si>
    <t>2.2.Текущий ремонт общего имущества</t>
  </si>
  <si>
    <t xml:space="preserve">2.3.Содержание общедомового прибора учета </t>
  </si>
  <si>
    <t>2.4.Капитальный ремонт</t>
  </si>
  <si>
    <t>Статьи</t>
  </si>
  <si>
    <t>Управленческие</t>
  </si>
  <si>
    <t>Содержание общего имущества</t>
  </si>
  <si>
    <t>Содержание общего имущества (нежилые)</t>
  </si>
  <si>
    <t>Текущий ремонт</t>
  </si>
  <si>
    <t>Текущий ремонт ( нежилые)</t>
  </si>
  <si>
    <t>Капитальный ремонт</t>
  </si>
  <si>
    <t>РКО</t>
  </si>
  <si>
    <t>Капитальный ремонт (нежилые)</t>
  </si>
  <si>
    <t>Приборы учета</t>
  </si>
  <si>
    <t>Коммунальные ,всего, в том числе:</t>
  </si>
  <si>
    <t>Отопление</t>
  </si>
  <si>
    <t>ГВС</t>
  </si>
  <si>
    <t>ХВС</t>
  </si>
  <si>
    <t>Стоки</t>
  </si>
  <si>
    <t>Электорэнергия</t>
  </si>
  <si>
    <t>Наем</t>
  </si>
  <si>
    <t>пени</t>
  </si>
  <si>
    <t xml:space="preserve">Итого </t>
  </si>
  <si>
    <t>4.Расходы управляющей компании, всего</t>
  </si>
  <si>
    <t>руб.</t>
  </si>
  <si>
    <t xml:space="preserve">ФОТ </t>
  </si>
  <si>
    <t>ЕСН</t>
  </si>
  <si>
    <t>1.Содержание общего имущества</t>
  </si>
  <si>
    <t>УСН</t>
  </si>
  <si>
    <t>1.1. Вывоз ТБО</t>
  </si>
  <si>
    <t>1.2.Техническое обслуживание (ФОТ,ЕСН)</t>
  </si>
  <si>
    <t>Охрана труда</t>
  </si>
  <si>
    <t>1.3.Автоуслуги</t>
  </si>
  <si>
    <t>1.4. Материальные затраты, охрана труда</t>
  </si>
  <si>
    <t>Средняя площадь</t>
  </si>
  <si>
    <t>1.5.РКО</t>
  </si>
  <si>
    <t xml:space="preserve">1.6.Управление УК" Ангара" </t>
  </si>
  <si>
    <t>1.7.Плата за загрязнение окр. среды.</t>
  </si>
  <si>
    <t>1.8.Информационные услуги паспортного стола</t>
  </si>
  <si>
    <t>1.9. Освещение мест общего пользования</t>
  </si>
  <si>
    <t>1.10. Поверка манометров</t>
  </si>
  <si>
    <t>1.11.Услуги аварийной организации</t>
  </si>
  <si>
    <t>1.12.Рентабельность УК</t>
  </si>
  <si>
    <t>2.Текущий ремонт</t>
  </si>
  <si>
    <t>3.Обслуживание приборов учета</t>
  </si>
  <si>
    <t>4.Коммунальные услуги</t>
  </si>
  <si>
    <t>4.Электроэнергия</t>
  </si>
  <si>
    <t xml:space="preserve">руб. </t>
  </si>
  <si>
    <t>5.Налог УСН</t>
  </si>
  <si>
    <t>Отопление,ГВС</t>
  </si>
  <si>
    <t>ХВС, стоки</t>
  </si>
  <si>
    <t>1.Содержание общего имущества,руб.</t>
  </si>
  <si>
    <t>2.Текущий ремонт общего имущества,руб.</t>
  </si>
  <si>
    <t>3.Обслуживание приборов учета,руб.</t>
  </si>
  <si>
    <t>4.Коммунальные услуги,руб.</t>
  </si>
  <si>
    <t>5.Электроэнергия,руб.</t>
  </si>
  <si>
    <t>Утверждено протоколом общего собрания</t>
  </si>
  <si>
    <t>январь</t>
  </si>
  <si>
    <t>Наименование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</si>
  <si>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</si>
  <si>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</si>
  <si>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</si>
  <si>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</si>
  <si>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</si>
  <si>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</si>
  <si>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</si>
  <si>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</si>
  <si>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</si>
  <si>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</si>
  <si>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</si>
  <si>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</si>
  <si>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Откл</t>
  </si>
  <si>
    <t>Фактически сложившийся тариф:</t>
  </si>
  <si>
    <t>руб./м2</t>
  </si>
  <si>
    <t>2.Текущий ремонт общего имущества</t>
  </si>
  <si>
    <t>3.Содержание приборов учета</t>
  </si>
  <si>
    <t>Директор ООО УК "Ангара"</t>
  </si>
  <si>
    <t>Отчет  по обслуживанию жилого дома ул.4 Железнодорожная, 46б за  2012 год</t>
  </si>
  <si>
    <t xml:space="preserve"> Задолженность   на 31.12.12г.</t>
  </si>
  <si>
    <t>Оплачено квартиросъемщиками, руб. за  2012 г.</t>
  </si>
  <si>
    <t>3.Информация по начислению ЖКУ  за  2012год</t>
  </si>
  <si>
    <t>Задолженность  на 01.01.2012г.</t>
  </si>
  <si>
    <t>Начислено, руб. за  2012г.</t>
  </si>
  <si>
    <t>%</t>
  </si>
  <si>
    <t>5.Работы выполненные по текущему ремонту в 2012году</t>
  </si>
  <si>
    <t>Финансовый результат 2011г.</t>
  </si>
  <si>
    <t>площадь ангары</t>
  </si>
  <si>
    <t>2.Тарифы действующие в 2012 году</t>
  </si>
  <si>
    <t>Д.А. Днепровский</t>
  </si>
  <si>
    <t xml:space="preserve">Выполненно работ согласно актов выполненных работ  </t>
  </si>
  <si>
    <t>Ремонт бетонной отмостки</t>
  </si>
  <si>
    <t>Финансовый результат за 2012год с учетом 2011г.</t>
  </si>
  <si>
    <t>в т.ч. Финансовый результат за 2012год</t>
  </si>
  <si>
    <t>окруж среда за 12г.</t>
  </si>
  <si>
    <t>46б</t>
  </si>
  <si>
    <t>пасп.стол</t>
  </si>
  <si>
    <t>Горького, 29</t>
  </si>
  <si>
    <t>Отчет  по обслуживанию жилого дома ул. Горького, 29   за  2012 год</t>
  </si>
  <si>
    <t>2.Тарифы, действующие в 2012 году</t>
  </si>
  <si>
    <t>ХВС с 01.01.09-01.08.09 г</t>
  </si>
  <si>
    <t>горьк 29</t>
  </si>
  <si>
    <t>Уборка, сброс, вывоз снега</t>
  </si>
  <si>
    <t>Электроэнергия</t>
  </si>
  <si>
    <t>2 Железнодорожная, 4</t>
  </si>
  <si>
    <t>2жд4</t>
  </si>
  <si>
    <t>1.1. Вывоз ТБО, ЖБО</t>
  </si>
  <si>
    <t>5.Наем</t>
  </si>
  <si>
    <t>6.Налог УСН</t>
  </si>
  <si>
    <t>6.Наем</t>
  </si>
  <si>
    <t>Выполненные работы за отчетный год по текущему ремонту</t>
  </si>
  <si>
    <t>Отчет  по обслуживанию жилого дома ул.2 Железнодорожная, 4  за  2012 год</t>
  </si>
  <si>
    <t>Отчет  по обслуживанию жилого дома ул.4-я Железнодорожная,14а  за  2012 год</t>
  </si>
  <si>
    <t>4-я Железнодорожная, 14а</t>
  </si>
  <si>
    <t>4жд 14а</t>
  </si>
  <si>
    <t>5.Работы, выполненные по текущему ремонту в 2012году</t>
  </si>
  <si>
    <t>Отчет  по обслуживанию жилого дома ул. Джамбула, 4  за  2012 год</t>
  </si>
  <si>
    <t>Джамбула, 4</t>
  </si>
  <si>
    <t>Джамбула,4</t>
  </si>
  <si>
    <t>Домофон</t>
  </si>
  <si>
    <t>Отчет  по обслуживанию жилого дома ул. Пушкина, 13  за  2012 год</t>
  </si>
  <si>
    <t>Пушкина, 13</t>
  </si>
  <si>
    <t>Пушкина 13</t>
  </si>
  <si>
    <t>Сброс и вывоз снега</t>
  </si>
  <si>
    <t>Отчет  по обслуживанию жилого дома ул. Румянцева, 15а  за  2012 год</t>
  </si>
  <si>
    <t>Румянцева, 15а</t>
  </si>
  <si>
    <t>румянцева15</t>
  </si>
  <si>
    <t>Отчет  по обслуживанию жилого дома ул. Российская, 25  за  2012 год</t>
  </si>
  <si>
    <t>Российская, 25</t>
  </si>
  <si>
    <t>11,03  /  9,34</t>
  </si>
  <si>
    <t>российская25</t>
  </si>
  <si>
    <t>Отчет  по обслуживанию жилого дома ул. Воронежская, 23  за  2012 год</t>
  </si>
  <si>
    <t>Воронежская, 23</t>
  </si>
  <si>
    <t>сальдо на 01.01.09.</t>
  </si>
  <si>
    <t>Дератизация</t>
  </si>
  <si>
    <t>воронежская23</t>
  </si>
  <si>
    <t>Отчет  по обслуживанию жилого дома ул. Лапина, 17  за  2012 год</t>
  </si>
  <si>
    <t>Лапина, 17</t>
  </si>
  <si>
    <t>лапина 17</t>
  </si>
  <si>
    <t>Отчет  по обслуживанию жилого дома ул. Гоголя,42б  за  2012 год</t>
  </si>
  <si>
    <t>Гоголя, 42б</t>
  </si>
  <si>
    <t>14,50 / 12,50</t>
  </si>
  <si>
    <t>гоголя42б</t>
  </si>
  <si>
    <t>Отчет  по обслуживанию жилого дома ул. Чайковского, 14 за  2012 год</t>
  </si>
  <si>
    <t>Чайковского, 14</t>
  </si>
  <si>
    <t>чайковского14</t>
  </si>
  <si>
    <t>Чайковского, 9</t>
  </si>
  <si>
    <t>Отчет  по обслуживанию жилого дома ул. Чайковского, 9 за  2012 год</t>
  </si>
  <si>
    <t>Чайковского, 9 (нежилые)</t>
  </si>
  <si>
    <t>чайковского9</t>
  </si>
  <si>
    <t>Отчет  по обслуживанию жилого дома ул. Гашека, 4а за  2012 год</t>
  </si>
  <si>
    <t>Гашека, 4а</t>
  </si>
  <si>
    <t>сальдо на 31.08.12.</t>
  </si>
  <si>
    <t>Отчет  по обслуживанию жилого дома ул. Гашека, 7 за  2012 год</t>
  </si>
  <si>
    <t>Гашека, 7</t>
  </si>
  <si>
    <t>гашека7</t>
  </si>
  <si>
    <t>гашека4</t>
  </si>
  <si>
    <t>Отчет  по обслуживанию жилого дома ул. Мичурина, 7 за  2012 год</t>
  </si>
  <si>
    <t>Мичурина, 7</t>
  </si>
  <si>
    <t>1.13.Обслуживание лифта</t>
  </si>
  <si>
    <t>Изготовление и установка входных металлических дверей</t>
  </si>
  <si>
    <t>Отчет  по обслуживанию жилого дома ул. Мичурина, 7/1 за  2012 год</t>
  </si>
  <si>
    <t>Мичурина, 7/1</t>
  </si>
  <si>
    <t>мичурина 7-1</t>
  </si>
  <si>
    <t>приборы учета на отопление ,ГВС,ХВС общие.</t>
  </si>
  <si>
    <t>Расходная часть по жилому дому Мичурина 7/1 в части коммунальных  услуг, списана на дом Мичурина 7.</t>
  </si>
  <si>
    <t>Примечание : Коммунальные услуги по жилым домам Мичурина, 7, 7/1  не разделены, в связи с тем, что по этим домам</t>
  </si>
  <si>
    <t>Установка почтовых ящиков</t>
  </si>
  <si>
    <t>Сбивание сосулек с крыш</t>
  </si>
  <si>
    <t>Уборка мусора с контейнерной площадки</t>
  </si>
  <si>
    <t>Организованный слив с козырька</t>
  </si>
  <si>
    <t>Уборка снега с крыш</t>
  </si>
  <si>
    <t>Замена старых канализационных труб в санузле</t>
  </si>
  <si>
    <t>Ремонт вентиляции</t>
  </si>
  <si>
    <t>Сбивание сосулек с крыши</t>
  </si>
  <si>
    <t>Сбивание сосулек с крыш и уборка снега погрузчиком</t>
  </si>
  <si>
    <t>Сбивание сосулек и снега с крыш и уборка их погрузчиком</t>
  </si>
  <si>
    <t>Ремонт разбитого стеклопакета</t>
  </si>
  <si>
    <t>Очистка от мусора чердака</t>
  </si>
  <si>
    <t>ремонт шиферной кровли</t>
  </si>
  <si>
    <t>Косметический ремонт подъезда</t>
  </si>
  <si>
    <t>Отчет  по обслуживанию жилого дома ул. Свердлова, 1 за  2012 год</t>
  </si>
  <si>
    <t>Свердлова, 1</t>
  </si>
  <si>
    <t>14,5 / 14</t>
  </si>
  <si>
    <t>Козырек в подъезд б/с №2</t>
  </si>
  <si>
    <t>Уборка снега с крыши</t>
  </si>
  <si>
    <t>Ремонт кровли</t>
  </si>
  <si>
    <t>свердлова1</t>
  </si>
  <si>
    <t>мич7</t>
  </si>
  <si>
    <t>Отчет  по обслуживанию жилого дома ул. Шмидта, 32 за  2012 год</t>
  </si>
  <si>
    <t>Шмидта,32</t>
  </si>
  <si>
    <t>Задолженность  на начало</t>
  </si>
  <si>
    <t>шмидта32</t>
  </si>
  <si>
    <t>Отчет  по обслуживанию жилого дома ул. Р.Люксембург, 5 за  2012 год</t>
  </si>
  <si>
    <t>Р.Люксембург, 5</t>
  </si>
  <si>
    <t>розы5</t>
  </si>
  <si>
    <t>Уборка мусора после кап.ремонта</t>
  </si>
  <si>
    <t>Уборка мусора и снега с территории двора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</si>
</sst>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3" fillId="2" borderId="0" xfId="0" applyFont="1" applyFill="1"/>
    <xf numFmtId="4" fontId="0" fillId="2" borderId="0" xfId="0" applyNumberFormat="1" applyFill="1"/>
    <xf numFmtId="0" fontId="3" fillId="0" borderId="1" xfId="0" applyFont="1" applyBorder="1"/>
    <xf numFmtId="4" fontId="3" fillId="0" borderId="2" xfId="0" applyNumberFormat="1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4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/>
    <xf numFmtId="4" fontId="3" fillId="0" borderId="9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/>
    <xf numFmtId="4" fontId="3" fillId="0" borderId="12" xfId="0" applyNumberFormat="1" applyFont="1" applyBorder="1"/>
    <xf numFmtId="3" fontId="3" fillId="0" borderId="13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3" fontId="3" fillId="0" borderId="0" xfId="0" applyNumberFormat="1" applyFont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3" fontId="3" fillId="2" borderId="16" xfId="0" applyNumberFormat="1" applyFont="1" applyFill="1" applyBorder="1" applyAlignment="1">
      <alignment horizontal="right"/>
    </xf>
    <xf numFmtId="0" fontId="3" fillId="0" borderId="17" xfId="0" applyFont="1" applyBorder="1"/>
    <xf numFmtId="4" fontId="3" fillId="0" borderId="18" xfId="0" applyNumberFormat="1" applyFont="1" applyBorder="1"/>
    <xf numFmtId="4" fontId="3" fillId="0" borderId="18" xfId="0" applyNumberFormat="1" applyFont="1" applyBorder="1" applyAlignment="1">
      <alignment horizontal="right"/>
    </xf>
    <xf numFmtId="0" fontId="3" fillId="0" borderId="19" xfId="0" applyFont="1" applyBorder="1"/>
    <xf numFmtId="4" fontId="0" fillId="0" borderId="20" xfId="0" applyNumberFormat="1" applyBorder="1"/>
    <xf numFmtId="4" fontId="3" fillId="0" borderId="21" xfId="0" applyNumberFormat="1" applyFont="1" applyBorder="1"/>
    <xf numFmtId="0" fontId="0" fillId="0" borderId="0" xfId="0" applyBorder="1"/>
    <xf numFmtId="0" fontId="0" fillId="0" borderId="17" xfId="0" applyBorder="1"/>
    <xf numFmtId="4" fontId="0" fillId="0" borderId="0" xfId="0" applyNumberFormat="1" applyBorder="1"/>
    <xf numFmtId="0" fontId="3" fillId="2" borderId="17" xfId="0" applyFont="1" applyFill="1" applyBorder="1"/>
    <xf numFmtId="4" fontId="0" fillId="2" borderId="0" xfId="0" applyNumberFormat="1" applyFill="1" applyBorder="1"/>
    <xf numFmtId="0" fontId="3" fillId="0" borderId="22" xfId="0" applyFont="1" applyBorder="1"/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/>
    <xf numFmtId="4" fontId="4" fillId="0" borderId="6" xfId="0" applyNumberFormat="1" applyFont="1" applyBorder="1"/>
    <xf numFmtId="4" fontId="4" fillId="0" borderId="7" xfId="0" applyNumberFormat="1" applyFont="1" applyFill="1" applyBorder="1"/>
    <xf numFmtId="4" fontId="4" fillId="0" borderId="9" xfId="0" applyNumberFormat="1" applyFont="1" applyFill="1" applyBorder="1"/>
    <xf numFmtId="4" fontId="4" fillId="0" borderId="9" xfId="0" applyNumberFormat="1" applyFont="1" applyBorder="1"/>
    <xf numFmtId="4" fontId="4" fillId="0" borderId="10" xfId="0" applyNumberFormat="1" applyFont="1" applyFill="1" applyBorder="1"/>
    <xf numFmtId="4" fontId="4" fillId="0" borderId="12" xfId="0" applyNumberFormat="1" applyFont="1" applyBorder="1"/>
    <xf numFmtId="4" fontId="4" fillId="0" borderId="13" xfId="0" applyNumberFormat="1" applyFont="1" applyFill="1" applyBorder="1"/>
    <xf numFmtId="0" fontId="3" fillId="0" borderId="23" xfId="0" applyFont="1" applyBorder="1"/>
    <xf numFmtId="4" fontId="3" fillId="0" borderId="24" xfId="0" applyNumberFormat="1" applyFont="1" applyFill="1" applyBorder="1"/>
    <xf numFmtId="4" fontId="5" fillId="0" borderId="24" xfId="0" applyNumberFormat="1" applyFont="1" applyBorder="1"/>
    <xf numFmtId="4" fontId="4" fillId="0" borderId="25" xfId="0" applyNumberFormat="1" applyFont="1" applyFill="1" applyBorder="1"/>
    <xf numFmtId="0" fontId="0" fillId="0" borderId="5" xfId="0" applyBorder="1"/>
    <xf numFmtId="0" fontId="0" fillId="0" borderId="8" xfId="0" applyBorder="1"/>
    <xf numFmtId="4" fontId="6" fillId="0" borderId="9" xfId="0" applyNumberFormat="1" applyFont="1" applyFill="1" applyBorder="1"/>
    <xf numFmtId="4" fontId="5" fillId="0" borderId="9" xfId="0" applyNumberFormat="1" applyFont="1" applyBorder="1"/>
    <xf numFmtId="4" fontId="5" fillId="0" borderId="0" xfId="0" applyNumberFormat="1" applyFont="1" applyBorder="1"/>
    <xf numFmtId="0" fontId="3" fillId="0" borderId="26" xfId="0" applyFont="1" applyFill="1" applyBorder="1"/>
    <xf numFmtId="4" fontId="3" fillId="0" borderId="27" xfId="0" applyNumberFormat="1" applyFont="1" applyFill="1" applyBorder="1"/>
    <xf numFmtId="4" fontId="5" fillId="0" borderId="28" xfId="0" applyNumberFormat="1" applyFont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2" borderId="29" xfId="0" applyFont="1" applyFill="1" applyBorder="1"/>
    <xf numFmtId="4" fontId="3" fillId="2" borderId="30" xfId="0" applyNumberFormat="1" applyFont="1" applyFill="1" applyBorder="1"/>
    <xf numFmtId="4" fontId="5" fillId="2" borderId="31" xfId="0" applyNumberFormat="1" applyFont="1" applyFill="1" applyBorder="1"/>
    <xf numFmtId="0" fontId="3" fillId="0" borderId="32" xfId="0" applyFont="1" applyFill="1" applyBorder="1"/>
    <xf numFmtId="4" fontId="3" fillId="0" borderId="33" xfId="0" applyNumberFormat="1" applyFont="1" applyFill="1" applyBorder="1"/>
    <xf numFmtId="4" fontId="5" fillId="0" borderId="34" xfId="0" applyNumberFormat="1" applyFont="1" applyBorder="1"/>
    <xf numFmtId="0" fontId="3" fillId="0" borderId="8" xfId="0" applyFont="1" applyFill="1" applyBorder="1"/>
    <xf numFmtId="4" fontId="3" fillId="0" borderId="9" xfId="0" applyNumberFormat="1" applyFont="1" applyFill="1" applyBorder="1"/>
    <xf numFmtId="4" fontId="5" fillId="0" borderId="10" xfId="0" applyNumberFormat="1" applyFont="1" applyBorder="1"/>
    <xf numFmtId="0" fontId="7" fillId="0" borderId="8" xfId="0" applyFont="1" applyFill="1" applyBorder="1"/>
    <xf numFmtId="4" fontId="7" fillId="0" borderId="9" xfId="0" applyNumberFormat="1" applyFont="1" applyFill="1" applyBorder="1"/>
    <xf numFmtId="4" fontId="8" fillId="0" borderId="10" xfId="0" applyNumberFormat="1" applyFont="1" applyBorder="1"/>
    <xf numFmtId="0" fontId="7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/>
    <xf numFmtId="4" fontId="3" fillId="0" borderId="12" xfId="0" applyNumberFormat="1" applyFont="1" applyFill="1" applyBorder="1"/>
    <xf numFmtId="4" fontId="5" fillId="0" borderId="13" xfId="0" applyNumberFormat="1" applyFont="1" applyBorder="1"/>
    <xf numFmtId="0" fontId="0" fillId="0" borderId="9" xfId="0" applyBorder="1"/>
    <xf numFmtId="0" fontId="3" fillId="0" borderId="9" xfId="0" applyFont="1" applyBorder="1"/>
    <xf numFmtId="0" fontId="7" fillId="0" borderId="0" xfId="0" applyFont="1" applyFill="1" applyBorder="1"/>
    <xf numFmtId="4" fontId="7" fillId="0" borderId="0" xfId="0" applyNumberFormat="1" applyFont="1"/>
    <xf numFmtId="0" fontId="3" fillId="0" borderId="29" xfId="0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35" xfId="0" applyBorder="1"/>
    <xf numFmtId="0" fontId="0" fillId="0" borderId="22" xfId="0" applyBorder="1"/>
    <xf numFmtId="0" fontId="0" fillId="0" borderId="36" xfId="0" applyBorder="1"/>
    <xf numFmtId="0" fontId="3" fillId="0" borderId="29" xfId="0" applyFont="1" applyBorder="1"/>
    <xf numFmtId="4" fontId="3" fillId="0" borderId="38" xfId="0" applyNumberFormat="1" applyFont="1" applyBorder="1"/>
    <xf numFmtId="4" fontId="5" fillId="0" borderId="31" xfId="0" applyNumberFormat="1" applyFont="1" applyFill="1" applyBorder="1"/>
    <xf numFmtId="0" fontId="0" fillId="0" borderId="19" xfId="0" applyBorder="1"/>
    <xf numFmtId="0" fontId="0" fillId="0" borderId="20" xfId="0" applyBorder="1"/>
    <xf numFmtId="0" fontId="3" fillId="0" borderId="32" xfId="0" applyFont="1" applyBorder="1"/>
    <xf numFmtId="4" fontId="3" fillId="0" borderId="33" xfId="0" applyNumberFormat="1" applyFont="1" applyBorder="1"/>
    <xf numFmtId="4" fontId="5" fillId="0" borderId="33" xfId="0" applyNumberFormat="1" applyFont="1" applyFill="1" applyBorder="1"/>
    <xf numFmtId="4" fontId="4" fillId="0" borderId="12" xfId="0" applyNumberFormat="1" applyFont="1" applyFill="1" applyBorder="1"/>
    <xf numFmtId="4" fontId="4" fillId="0" borderId="0" xfId="0" applyNumberFormat="1" applyFont="1" applyFill="1" applyBorder="1"/>
    <xf numFmtId="4" fontId="4" fillId="3" borderId="0" xfId="0" applyNumberFormat="1" applyFont="1" applyFill="1" applyBorder="1"/>
    <xf numFmtId="4" fontId="4" fillId="0" borderId="0" xfId="0" applyNumberFormat="1" applyFont="1" applyBorder="1"/>
    <xf numFmtId="4" fontId="5" fillId="0" borderId="0" xfId="0" applyNumberFormat="1" applyFont="1" applyFill="1" applyBorder="1"/>
    <xf numFmtId="4" fontId="5" fillId="3" borderId="0" xfId="0" applyNumberFormat="1" applyFont="1" applyFill="1" applyBorder="1"/>
    <xf numFmtId="0" fontId="7" fillId="0" borderId="0" xfId="0" applyFont="1" applyBorder="1"/>
    <xf numFmtId="4" fontId="7" fillId="0" borderId="0" xfId="0" applyNumberFormat="1" applyFont="1" applyBorder="1"/>
    <xf numFmtId="4" fontId="8" fillId="0" borderId="0" xfId="0" applyNumberFormat="1" applyFont="1" applyFill="1" applyBorder="1"/>
    <xf numFmtId="2" fontId="0" fillId="0" borderId="0" xfId="0" applyNumberFormat="1"/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1" fillId="0" borderId="0" xfId="0" applyFont="1"/>
    <xf numFmtId="4" fontId="11" fillId="3" borderId="0" xfId="0" applyNumberFormat="1" applyFont="1" applyFill="1" applyBorder="1"/>
    <xf numFmtId="4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Border="1"/>
    <xf numFmtId="4" fontId="12" fillId="0" borderId="0" xfId="0" applyNumberFormat="1" applyFont="1" applyFill="1" applyBorder="1"/>
    <xf numFmtId="4" fontId="12" fillId="0" borderId="0" xfId="0" applyNumberFormat="1" applyFont="1" applyBorder="1"/>
    <xf numFmtId="0" fontId="10" fillId="0" borderId="0" xfId="0" applyFont="1" applyBorder="1"/>
    <xf numFmtId="4" fontId="12" fillId="3" borderId="0" xfId="0" applyNumberFormat="1" applyFont="1" applyFill="1" applyBorder="1"/>
    <xf numFmtId="4" fontId="9" fillId="0" borderId="0" xfId="0" applyNumberFormat="1" applyFont="1" applyBorder="1"/>
    <xf numFmtId="4" fontId="12" fillId="3" borderId="33" xfId="0" applyNumberFormat="1" applyFont="1" applyFill="1" applyBorder="1"/>
    <xf numFmtId="4" fontId="12" fillId="0" borderId="34" xfId="0" applyNumberFormat="1" applyFont="1" applyBorder="1"/>
    <xf numFmtId="4" fontId="12" fillId="3" borderId="12" xfId="0" applyNumberFormat="1" applyFont="1" applyFill="1" applyBorder="1"/>
    <xf numFmtId="4" fontId="12" fillId="0" borderId="13" xfId="0" applyNumberFormat="1" applyFont="1" applyBorder="1"/>
    <xf numFmtId="4" fontId="8" fillId="0" borderId="10" xfId="0" applyNumberFormat="1" applyFont="1" applyFill="1" applyBorder="1"/>
    <xf numFmtId="0" fontId="0" fillId="4" borderId="0" xfId="0" applyFill="1" applyBorder="1"/>
    <xf numFmtId="0" fontId="3" fillId="4" borderId="0" xfId="0" applyFont="1" applyFill="1" applyBorder="1"/>
    <xf numFmtId="4" fontId="3" fillId="4" borderId="0" xfId="0" applyNumberFormat="1" applyFont="1" applyFill="1" applyBorder="1"/>
    <xf numFmtId="4" fontId="0" fillId="4" borderId="0" xfId="0" applyNumberFormat="1" applyFill="1" applyBorder="1"/>
    <xf numFmtId="4" fontId="0" fillId="0" borderId="9" xfId="0" applyNumberFormat="1" applyBorder="1"/>
    <xf numFmtId="4" fontId="0" fillId="0" borderId="35" xfId="0" applyNumberFormat="1" applyBorder="1"/>
    <xf numFmtId="4" fontId="0" fillId="0" borderId="37" xfId="0" applyNumberFormat="1" applyBorder="1"/>
    <xf numFmtId="4" fontId="0" fillId="0" borderId="21" xfId="0" applyNumberFormat="1" applyBorder="1"/>
    <xf numFmtId="4" fontId="5" fillId="0" borderId="0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2" fillId="0" borderId="0" xfId="0" applyFont="1"/>
    <xf numFmtId="4" fontId="13" fillId="0" borderId="0" xfId="0" applyNumberFormat="1" applyFont="1"/>
    <xf numFmtId="0" fontId="13" fillId="0" borderId="0" xfId="0" applyFont="1"/>
    <xf numFmtId="2" fontId="13" fillId="0" borderId="0" xfId="0" applyNumberFormat="1" applyFont="1"/>
    <xf numFmtId="4" fontId="14" fillId="0" borderId="0" xfId="0" applyNumberFormat="1" applyFont="1" applyBorder="1"/>
    <xf numFmtId="4" fontId="14" fillId="3" borderId="0" xfId="0" applyNumberFormat="1" applyFont="1" applyFill="1" applyBorder="1"/>
    <xf numFmtId="4" fontId="13" fillId="3" borderId="0" xfId="0" applyNumberFormat="1" applyFont="1" applyFill="1" applyBorder="1"/>
    <xf numFmtId="4" fontId="15" fillId="3" borderId="0" xfId="0" applyNumberFormat="1" applyFont="1" applyFill="1" applyBorder="1"/>
    <xf numFmtId="0" fontId="15" fillId="3" borderId="0" xfId="0" applyFont="1" applyFill="1" applyBorder="1"/>
    <xf numFmtId="0" fontId="13" fillId="3" borderId="0" xfId="0" applyFont="1" applyFill="1" applyBorder="1"/>
    <xf numFmtId="0" fontId="13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/>
    <xf numFmtId="4" fontId="16" fillId="0" borderId="0" xfId="0" applyNumberFormat="1" applyFont="1" applyBorder="1"/>
    <xf numFmtId="4" fontId="0" fillId="0" borderId="0" xfId="0" applyNumberFormat="1" applyFont="1"/>
    <xf numFmtId="0" fontId="0" fillId="0" borderId="0" xfId="0" applyFont="1"/>
    <xf numFmtId="4" fontId="1" fillId="0" borderId="0" xfId="0" applyNumberFormat="1" applyFont="1"/>
    <xf numFmtId="4" fontId="0" fillId="2" borderId="15" xfId="0" applyNumberFormat="1" applyFill="1" applyBorder="1"/>
    <xf numFmtId="4" fontId="0" fillId="2" borderId="16" xfId="0" applyNumberFormat="1" applyFill="1" applyBorder="1"/>
    <xf numFmtId="0" fontId="3" fillId="5" borderId="14" xfId="0" applyFont="1" applyFill="1" applyBorder="1"/>
    <xf numFmtId="4" fontId="0" fillId="5" borderId="15" xfId="0" applyNumberFormat="1" applyFill="1" applyBorder="1"/>
    <xf numFmtId="4" fontId="0" fillId="5" borderId="16" xfId="0" applyNumberFormat="1" applyFill="1" applyBorder="1"/>
    <xf numFmtId="4" fontId="10" fillId="3" borderId="0" xfId="0" applyNumberFormat="1" applyFont="1" applyFill="1" applyBorder="1"/>
    <xf numFmtId="4" fontId="9" fillId="3" borderId="0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4" fontId="1" fillId="0" borderId="0" xfId="0" applyNumberFormat="1" applyFont="1" applyBorder="1"/>
    <xf numFmtId="0" fontId="1" fillId="0" borderId="0" xfId="0" applyFont="1" applyBorder="1"/>
    <xf numFmtId="0" fontId="3" fillId="0" borderId="39" xfId="0" applyFont="1" applyFill="1" applyBorder="1"/>
    <xf numFmtId="4" fontId="3" fillId="0" borderId="35" xfId="0" applyNumberFormat="1" applyFont="1" applyFill="1" applyBorder="1"/>
    <xf numFmtId="4" fontId="5" fillId="0" borderId="40" xfId="0" applyNumberFormat="1" applyFont="1" applyBorder="1"/>
    <xf numFmtId="4" fontId="18" fillId="0" borderId="0" xfId="0" applyNumberFormat="1" applyFont="1"/>
    <xf numFmtId="0" fontId="18" fillId="0" borderId="0" xfId="0" applyFont="1"/>
    <xf numFmtId="4" fontId="2" fillId="0" borderId="0" xfId="0" applyNumberFormat="1" applyFont="1"/>
    <xf numFmtId="4" fontId="0" fillId="0" borderId="18" xfId="0" applyNumberFormat="1" applyBorder="1"/>
    <xf numFmtId="0" fontId="0" fillId="0" borderId="23" xfId="0" applyBorder="1"/>
    <xf numFmtId="4" fontId="4" fillId="0" borderId="41" xfId="0" applyNumberFormat="1" applyFont="1" applyFill="1" applyBorder="1"/>
    <xf numFmtId="4" fontId="8" fillId="0" borderId="25" xfId="0" applyNumberFormat="1" applyFont="1" applyFill="1" applyBorder="1"/>
    <xf numFmtId="4" fontId="17" fillId="0" borderId="0" xfId="0" applyNumberFormat="1" applyFont="1"/>
    <xf numFmtId="4" fontId="8" fillId="0" borderId="9" xfId="0" applyNumberFormat="1" applyFont="1" applyFill="1" applyBorder="1"/>
    <xf numFmtId="0" fontId="3" fillId="0" borderId="26" xfId="0" applyFont="1" applyBorder="1"/>
    <xf numFmtId="4" fontId="3" fillId="0" borderId="27" xfId="0" applyNumberFormat="1" applyFont="1" applyBorder="1"/>
    <xf numFmtId="4" fontId="5" fillId="0" borderId="28" xfId="0" applyNumberFormat="1" applyFont="1" applyFill="1" applyBorder="1"/>
    <xf numFmtId="0" fontId="19" fillId="0" borderId="8" xfId="0" applyFont="1" applyBorder="1" applyAlignment="1">
      <alignment wrapText="1"/>
    </xf>
    <xf numFmtId="4" fontId="19" fillId="0" borderId="0" xfId="0" applyNumberFormat="1" applyFont="1" applyBorder="1"/>
    <xf numFmtId="4" fontId="19" fillId="0" borderId="0" xfId="0" applyNumberFormat="1" applyFont="1"/>
    <xf numFmtId="4" fontId="20" fillId="3" borderId="0" xfId="0" applyNumberFormat="1" applyFont="1" applyFill="1" applyBorder="1"/>
    <xf numFmtId="4" fontId="20" fillId="0" borderId="0" xfId="0" applyNumberFormat="1" applyFont="1" applyBorder="1"/>
    <xf numFmtId="4" fontId="21" fillId="0" borderId="0" xfId="0" applyNumberFormat="1" applyFont="1" applyFill="1" applyBorder="1"/>
    <xf numFmtId="0" fontId="21" fillId="0" borderId="0" xfId="0" applyFont="1" applyFill="1" applyBorder="1"/>
    <xf numFmtId="4" fontId="21" fillId="0" borderId="0" xfId="0" applyNumberFormat="1" applyFont="1" applyBorder="1"/>
    <xf numFmtId="0" fontId="0" fillId="0" borderId="8" xfId="0" applyBorder="1" applyAlignment="1">
      <alignment wrapText="1"/>
    </xf>
    <xf numFmtId="0" fontId="3" fillId="0" borderId="42" xfId="0" applyFont="1" applyBorder="1"/>
    <xf numFmtId="3" fontId="3" fillId="0" borderId="34" xfId="0" applyNumberFormat="1" applyFont="1" applyBorder="1"/>
    <xf numFmtId="4" fontId="3" fillId="0" borderId="29" xfId="0" applyNumberFormat="1" applyFont="1" applyBorder="1"/>
    <xf numFmtId="3" fontId="3" fillId="0" borderId="31" xfId="0" applyNumberFormat="1" applyFont="1" applyBorder="1"/>
    <xf numFmtId="0" fontId="0" fillId="0" borderId="9" xfId="0" applyBorder="1" applyAlignment="1"/>
    <xf numFmtId="0" fontId="0" fillId="0" borderId="39" xfId="0" applyBorder="1" applyAlignment="1">
      <alignment horizontal="left"/>
    </xf>
    <xf numFmtId="0" fontId="0" fillId="0" borderId="3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1;&#1088;&#1086;&#1096;&#1077;&#1085;&#1082;&#1086;%20&#1045;&#1083;&#1077;&#1085;&#1072;/2/2012/&#1044;&#1083;&#1103;%20&#1089;&#1072;&#1081;&#1090;&#1072;%20&#1086;&#1090;&#1095;&#1077;&#1090;&#1099;/&#1086;&#1090;&#1095;&#1077;&#1090;&#1099;%202011%20&#1076;&#1086;&#1084;&#1072;%20&#1074;%20&#1087;&#1088;&#1103;&#1084;&#1086;&#1084;%20&#1091;&#1087;&#1088;&#1072;&#1074;&#1083;&#1077;&#1085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железн 4"/>
      <sheetName val="4 Ждор 14 а"/>
      <sheetName val="Джамбула 4"/>
      <sheetName val="Пушкина 13"/>
      <sheetName val="Румянцева 15"/>
      <sheetName val="Российская 25"/>
      <sheetName val="Горького 29"/>
      <sheetName val="Чайковскогот 9"/>
      <sheetName val="Маяковского 19"/>
      <sheetName val="Воронежская"/>
      <sheetName val=" 4 ЖД 46Б"/>
      <sheetName val="Гашека 4"/>
      <sheetName val="Гашека 7"/>
      <sheetName val="Лапина 17"/>
      <sheetName val="Мичурина 71"/>
      <sheetName val="Мичурина 7"/>
      <sheetName val="черемховский 7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1">
          <cell r="B61">
            <v>-16922.985999999946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8"/>
  <sheetViews>
    <sheetView topLeftCell="A60" workbookViewId="0">
      <selection activeCell="E74" sqref="E74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117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110</v>
      </c>
      <c r="B6" s="11"/>
      <c r="C6" s="11">
        <v>176.4</v>
      </c>
      <c r="D6" s="12">
        <v>13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176.4</v>
      </c>
      <c r="D8" s="18">
        <v>13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26.22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/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26158.89</v>
      </c>
      <c r="C20" s="41">
        <v>55502.400000000001</v>
      </c>
      <c r="D20" s="40">
        <f>50623.99+3900.55</f>
        <v>54524.54</v>
      </c>
      <c r="E20" s="42">
        <f t="shared" ref="E20:E37" si="0">C20-D20+B20</f>
        <v>27136.75</v>
      </c>
      <c r="F20" s="137">
        <f>C20+F22</f>
        <v>55502.400000000001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-102.31</v>
      </c>
      <c r="C22" s="44"/>
      <c r="D22" s="43">
        <v>21.82</v>
      </c>
      <c r="E22" s="45">
        <f t="shared" si="0"/>
        <v>-124.13</v>
      </c>
      <c r="F22" s="137">
        <f>C22</f>
        <v>0</v>
      </c>
      <c r="G22" s="139">
        <f>F22*G20/F20</f>
        <v>0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/>
      <c r="C26" s="46"/>
      <c r="D26" s="46"/>
      <c r="E26" s="47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B28+B29+B30+B32+B31</f>
        <v>54128.979999999996</v>
      </c>
      <c r="C27" s="50">
        <f>C28+C29+C30+C32</f>
        <v>95049.700000000012</v>
      </c>
      <c r="D27" s="50">
        <f>D28+D29+D30+D32</f>
        <v>101790.17</v>
      </c>
      <c r="E27" s="51">
        <f>C27-D27+B27</f>
        <v>47388.510000000009</v>
      </c>
      <c r="F27" s="109"/>
      <c r="G27" s="109"/>
      <c r="H27" s="109"/>
      <c r="I27" s="109"/>
      <c r="J27" s="109"/>
      <c r="K27" s="109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52" t="s">
        <v>22</v>
      </c>
      <c r="B28" s="40">
        <v>25803.67</v>
      </c>
      <c r="C28" s="40">
        <v>50337.56</v>
      </c>
      <c r="D28" s="40">
        <f>46889.82+3336.61</f>
        <v>50226.43</v>
      </c>
      <c r="E28" s="42">
        <f t="shared" si="0"/>
        <v>25914.799999999996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3" t="s">
        <v>23</v>
      </c>
      <c r="B29" s="43">
        <f>154.56+17983.52</f>
        <v>18138.080000000002</v>
      </c>
      <c r="C29" s="43">
        <f>4062.43-1264.8+28746.84-386.44-6076.76</f>
        <v>25081.270000000004</v>
      </c>
      <c r="D29" s="43">
        <f>2714.02+24355.85+3230.28</f>
        <v>30300.149999999998</v>
      </c>
      <c r="E29" s="45">
        <f t="shared" si="0"/>
        <v>12919.200000000008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24</v>
      </c>
      <c r="B30" s="43">
        <v>3539.57</v>
      </c>
      <c r="C30" s="43">
        <f>7629.64-72.48-648.47</f>
        <v>6908.6900000000005</v>
      </c>
      <c r="D30" s="43">
        <f>6852.41+612.17</f>
        <v>7464.58</v>
      </c>
      <c r="E30" s="45">
        <f t="shared" si="0"/>
        <v>2983.6800000000007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idden="1" x14ac:dyDescent="0.25">
      <c r="A31" s="53" t="s">
        <v>106</v>
      </c>
      <c r="B31" s="43"/>
      <c r="C31" s="43"/>
      <c r="D31" s="43"/>
      <c r="E31" s="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25</v>
      </c>
      <c r="B32" s="43">
        <v>6647.66</v>
      </c>
      <c r="C32" s="43">
        <f>14080.67-137.18-1221.31</f>
        <v>12722.18</v>
      </c>
      <c r="D32" s="43">
        <f>12643.87+1155.14</f>
        <v>13799.01</v>
      </c>
      <c r="E32" s="45">
        <f t="shared" si="0"/>
        <v>5570.83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53"/>
      <c r="B33" s="43"/>
      <c r="C33" s="44"/>
      <c r="D33" s="44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A34" s="13" t="s">
        <v>109</v>
      </c>
      <c r="B34" s="54">
        <v>12613.72</v>
      </c>
      <c r="C34" s="55">
        <f>29591.66-429.95-2320.12</f>
        <v>26841.59</v>
      </c>
      <c r="D34" s="55">
        <f>25791.2+2321.84</f>
        <v>28113.040000000001</v>
      </c>
      <c r="E34" s="45">
        <f t="shared" si="0"/>
        <v>11342.269999999999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/>
      <c r="B35" s="44"/>
      <c r="C35" s="44"/>
      <c r="D35" s="44"/>
      <c r="E35" s="45">
        <f>C35-D35+B35</f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x14ac:dyDescent="0.25">
      <c r="A36" s="13" t="s">
        <v>27</v>
      </c>
      <c r="B36" s="44">
        <v>1772.39</v>
      </c>
      <c r="C36" s="44">
        <v>4821.96</v>
      </c>
      <c r="D36" s="44">
        <f>4471.18+394.68</f>
        <v>4865.8600000000006</v>
      </c>
      <c r="E36" s="45">
        <f t="shared" si="0"/>
        <v>1728.4899999999996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16" t="s">
        <v>28</v>
      </c>
      <c r="B37" s="46"/>
      <c r="C37" s="46"/>
      <c r="D37" s="46"/>
      <c r="E37" s="47">
        <f t="shared" si="0"/>
        <v>0</v>
      </c>
      <c r="K37" s="3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57" t="s">
        <v>29</v>
      </c>
      <c r="B38" s="58">
        <f>B20+B21+B22+B23+B24+B25+B26+B27+B34+B35+B36+B37</f>
        <v>94571.67</v>
      </c>
      <c r="C38" s="58">
        <f>C20+C21+C22+C23+C24+C25+C26+C27+C34+C35+C36+C37</f>
        <v>182215.65</v>
      </c>
      <c r="D38" s="58">
        <f>D20+D21+D22+D23+D24+D25+D26+D27+D34+D35+D36+D37</f>
        <v>189315.43</v>
      </c>
      <c r="E38" s="59">
        <f>E20+E21+E22+E23+E24+E25+E27+E34+E35+E36+E37+E26</f>
        <v>87471.890000000014</v>
      </c>
      <c r="F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x14ac:dyDescent="0.25">
      <c r="A39" s="60"/>
      <c r="B39" s="61"/>
      <c r="C39" s="56"/>
      <c r="D39" s="114"/>
      <c r="E39" s="114"/>
      <c r="F39" s="152"/>
      <c r="G39" s="109"/>
      <c r="H39" s="109"/>
      <c r="I39" s="109"/>
      <c r="J39" s="109"/>
      <c r="K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60"/>
      <c r="B40" s="61"/>
      <c r="C40" s="56"/>
      <c r="D40" s="114"/>
      <c r="E40" s="114"/>
      <c r="F40" s="152"/>
      <c r="G40" s="109"/>
      <c r="H40" s="109"/>
      <c r="I40" s="109"/>
      <c r="J40" s="109"/>
    </row>
    <row r="41" spans="1:22" ht="15.75" thickBot="1" x14ac:dyDescent="0.3">
      <c r="A41" s="62" t="s">
        <v>30</v>
      </c>
      <c r="B41" s="63">
        <f>B43+B58+B59+B56+B61+B57+B60</f>
        <v>148309.7528186343</v>
      </c>
      <c r="C41" s="64" t="s">
        <v>31</v>
      </c>
      <c r="D41" s="140">
        <f>C38-B41-B61</f>
        <v>33630.01172494988</v>
      </c>
      <c r="E41" s="141" t="s">
        <v>32</v>
      </c>
      <c r="F41" s="142">
        <v>5228898.0599999996</v>
      </c>
      <c r="G41" s="142">
        <f>F41/F47*C8</f>
        <v>8251.5954779372278</v>
      </c>
      <c r="H41" s="136"/>
      <c r="I41" s="136"/>
      <c r="J41" s="109"/>
    </row>
    <row r="42" spans="1:22" x14ac:dyDescent="0.25">
      <c r="A42" s="65"/>
      <c r="B42" s="66"/>
      <c r="C42" s="67"/>
      <c r="D42" s="140"/>
      <c r="E42" s="141" t="s">
        <v>33</v>
      </c>
      <c r="F42" s="142">
        <v>1017312.51</v>
      </c>
      <c r="G42" s="142">
        <f>F42/F47*C8</f>
        <v>1605.3958617745495</v>
      </c>
      <c r="H42" s="136"/>
      <c r="I42" s="136"/>
      <c r="J42" s="109"/>
    </row>
    <row r="43" spans="1:22" x14ac:dyDescent="0.25">
      <c r="A43" s="68" t="s">
        <v>34</v>
      </c>
      <c r="B43" s="69">
        <f>B44+B45+B47+B48+B49+B50+B51+B52+B53+B54+B55+B46</f>
        <v>85875.6755975126</v>
      </c>
      <c r="C43" s="70" t="s">
        <v>31</v>
      </c>
      <c r="D43" s="140"/>
      <c r="E43" s="141" t="s">
        <v>35</v>
      </c>
      <c r="F43" s="142">
        <v>174824</v>
      </c>
      <c r="G43" s="142">
        <f>F43/F47*C8</f>
        <v>275.88545641582039</v>
      </c>
      <c r="H43" s="136"/>
      <c r="I43" s="136"/>
      <c r="J43" s="109"/>
    </row>
    <row r="44" spans="1:22" x14ac:dyDescent="0.25">
      <c r="A44" s="71" t="s">
        <v>112</v>
      </c>
      <c r="B44" s="72">
        <v>41572</v>
      </c>
      <c r="C44" s="73" t="s">
        <v>31</v>
      </c>
      <c r="D44" s="140"/>
      <c r="E44" s="141" t="s">
        <v>18</v>
      </c>
      <c r="F44" s="142">
        <v>206457.71</v>
      </c>
      <c r="G44" s="142">
        <f>F44/F47*C8</f>
        <v>325.80583646361532</v>
      </c>
      <c r="H44" s="136"/>
      <c r="I44" s="136"/>
      <c r="J44" s="109"/>
    </row>
    <row r="45" spans="1:22" x14ac:dyDescent="0.25">
      <c r="A45" s="74" t="s">
        <v>37</v>
      </c>
      <c r="B45" s="72">
        <f>G41+G42</f>
        <v>9856.991339711778</v>
      </c>
      <c r="C45" s="73" t="s">
        <v>31</v>
      </c>
      <c r="D45" s="140"/>
      <c r="E45" s="143" t="s">
        <v>38</v>
      </c>
      <c r="F45" s="142">
        <f>7706.9+43200</f>
        <v>50906.9</v>
      </c>
      <c r="G45" s="142">
        <f>F45/F47*C8</f>
        <v>80.33492736245897</v>
      </c>
      <c r="H45" s="136"/>
      <c r="I45" s="136">
        <v>35134.480000000003</v>
      </c>
      <c r="J45" s="109"/>
    </row>
    <row r="46" spans="1:22" x14ac:dyDescent="0.25">
      <c r="A46" s="74" t="s">
        <v>39</v>
      </c>
      <c r="B46" s="72">
        <v>16925</v>
      </c>
      <c r="C46" s="73" t="s">
        <v>31</v>
      </c>
      <c r="D46" s="140"/>
      <c r="E46" s="142" t="s">
        <v>12</v>
      </c>
      <c r="F46" s="142">
        <f>7038875.3-F45</f>
        <v>6987968.3999999994</v>
      </c>
      <c r="G46" s="142">
        <f>F46/F47*C8</f>
        <v>11027.541135389478</v>
      </c>
      <c r="H46" s="136"/>
      <c r="I46" s="136"/>
      <c r="J46" s="109"/>
    </row>
    <row r="47" spans="1:22" x14ac:dyDescent="0.25">
      <c r="A47" s="71" t="s">
        <v>40</v>
      </c>
      <c r="B47" s="72">
        <f>G45+1322.01</f>
        <v>1402.344927362459</v>
      </c>
      <c r="C47" s="73" t="s">
        <v>31</v>
      </c>
      <c r="D47" s="140"/>
      <c r="E47" s="144" t="s">
        <v>41</v>
      </c>
      <c r="F47" s="145">
        <v>111781.73</v>
      </c>
      <c r="G47" s="142"/>
      <c r="H47" s="136"/>
      <c r="I47" s="136"/>
      <c r="J47" s="109"/>
    </row>
    <row r="48" spans="1:22" x14ac:dyDescent="0.25">
      <c r="A48" s="71" t="s">
        <v>42</v>
      </c>
      <c r="B48" s="72">
        <f>G44+35.4</f>
        <v>361.2058364636153</v>
      </c>
      <c r="C48" s="73" t="s">
        <v>31</v>
      </c>
      <c r="D48" s="140"/>
      <c r="E48" s="145"/>
      <c r="F48" s="142">
        <f>F45*0.6559</f>
        <v>33389.835709999999</v>
      </c>
      <c r="G48" s="142"/>
      <c r="H48" s="136"/>
      <c r="I48" s="136"/>
      <c r="J48" s="109"/>
    </row>
    <row r="49" spans="1:12" x14ac:dyDescent="0.25">
      <c r="A49" s="71" t="s">
        <v>43</v>
      </c>
      <c r="B49" s="72">
        <f>G46</f>
        <v>11027.541135389478</v>
      </c>
      <c r="C49" s="73" t="s">
        <v>31</v>
      </c>
      <c r="D49" s="140"/>
      <c r="E49" s="146" t="s">
        <v>102</v>
      </c>
      <c r="F49" s="146">
        <f>2946.5</f>
        <v>2946.5</v>
      </c>
      <c r="G49" s="146">
        <f>F49/F47*C8</f>
        <v>4.6497992113738089</v>
      </c>
      <c r="H49" s="136"/>
      <c r="I49" s="136"/>
      <c r="J49" s="109"/>
    </row>
    <row r="50" spans="1:12" x14ac:dyDescent="0.25">
      <c r="A50" s="71" t="s">
        <v>44</v>
      </c>
      <c r="B50" s="72">
        <f>F53</f>
        <v>121.96925556003168</v>
      </c>
      <c r="C50" s="73" t="s">
        <v>31</v>
      </c>
      <c r="D50" s="140"/>
      <c r="E50" s="140"/>
      <c r="F50" s="147"/>
      <c r="G50" s="148"/>
      <c r="H50" s="136"/>
      <c r="I50" s="136"/>
      <c r="J50" s="109"/>
    </row>
    <row r="51" spans="1:12" x14ac:dyDescent="0.25">
      <c r="A51" s="71" t="s">
        <v>45</v>
      </c>
      <c r="B51" s="72">
        <f>G49</f>
        <v>4.6497992113738089</v>
      </c>
      <c r="C51" s="73" t="s">
        <v>31</v>
      </c>
      <c r="D51" s="140"/>
      <c r="E51" s="140" t="s">
        <v>100</v>
      </c>
      <c r="F51" s="147">
        <v>20905.240000000002</v>
      </c>
      <c r="G51" s="148"/>
      <c r="H51" s="136"/>
      <c r="I51" s="136"/>
      <c r="J51" s="109"/>
    </row>
    <row r="52" spans="1:12" x14ac:dyDescent="0.25">
      <c r="A52" s="71" t="s">
        <v>46</v>
      </c>
      <c r="B52" s="72"/>
      <c r="C52" s="73" t="s">
        <v>31</v>
      </c>
      <c r="D52" s="140"/>
      <c r="E52" s="140" t="s">
        <v>93</v>
      </c>
      <c r="F52" s="147">
        <v>30234.54</v>
      </c>
      <c r="G52" s="148"/>
      <c r="H52" s="136"/>
      <c r="I52" s="136"/>
      <c r="J52" s="109"/>
    </row>
    <row r="53" spans="1:12" x14ac:dyDescent="0.25">
      <c r="A53" s="71" t="s">
        <v>47</v>
      </c>
      <c r="B53" s="72"/>
      <c r="C53" s="73" t="s">
        <v>31</v>
      </c>
      <c r="D53" s="140"/>
      <c r="E53" s="140" t="s">
        <v>111</v>
      </c>
      <c r="F53" s="147">
        <f>F51/F52*C8</f>
        <v>121.96925556003168</v>
      </c>
      <c r="G53" s="148"/>
      <c r="H53" s="136"/>
      <c r="I53" s="136"/>
      <c r="J53" s="109"/>
    </row>
    <row r="54" spans="1:12" x14ac:dyDescent="0.25">
      <c r="A54" s="71" t="s">
        <v>48</v>
      </c>
      <c r="B54" s="72">
        <v>646.20000000000005</v>
      </c>
      <c r="C54" s="73" t="s">
        <v>31</v>
      </c>
      <c r="D54" s="114"/>
      <c r="E54" s="114"/>
      <c r="F54" s="152"/>
      <c r="G54" s="109"/>
      <c r="H54" s="109"/>
      <c r="I54" s="109"/>
      <c r="J54" s="109"/>
    </row>
    <row r="55" spans="1:12" x14ac:dyDescent="0.25">
      <c r="A55" s="71" t="s">
        <v>49</v>
      </c>
      <c r="B55" s="72">
        <f>(B45+B46+B47+B48+B49+B51+B52+B53)*0.1</f>
        <v>3957.7733038138704</v>
      </c>
      <c r="C55" s="73" t="s">
        <v>31</v>
      </c>
      <c r="D55" s="114"/>
      <c r="E55" s="114"/>
      <c r="F55" s="152"/>
      <c r="G55" s="109"/>
      <c r="H55" s="109"/>
      <c r="I55" s="109"/>
      <c r="J55" s="109"/>
    </row>
    <row r="56" spans="1:12" x14ac:dyDescent="0.25">
      <c r="A56" s="68" t="s">
        <v>50</v>
      </c>
      <c r="B56" s="69">
        <f>C76</f>
        <v>0</v>
      </c>
      <c r="C56" s="70" t="s">
        <v>31</v>
      </c>
      <c r="D56" s="114"/>
      <c r="E56" s="114"/>
      <c r="F56" s="152"/>
      <c r="G56" s="109"/>
      <c r="H56" s="109"/>
      <c r="I56" s="109"/>
      <c r="J56" s="109"/>
    </row>
    <row r="57" spans="1:12" x14ac:dyDescent="0.25">
      <c r="A57" s="68" t="s">
        <v>51</v>
      </c>
      <c r="B57" s="69"/>
      <c r="C57" s="70" t="s">
        <v>31</v>
      </c>
      <c r="D57" s="56"/>
      <c r="E57" s="56"/>
      <c r="F57" s="3"/>
    </row>
    <row r="58" spans="1:12" x14ac:dyDescent="0.25">
      <c r="A58" s="68" t="s">
        <v>52</v>
      </c>
      <c r="B58" s="69">
        <f>L75</f>
        <v>27354.690000000006</v>
      </c>
      <c r="C58" s="70" t="s">
        <v>31</v>
      </c>
      <c r="D58" s="56"/>
      <c r="E58" s="56"/>
      <c r="F58" s="3"/>
    </row>
    <row r="59" spans="1:12" x14ac:dyDescent="0.25">
      <c r="A59" s="68" t="s">
        <v>53</v>
      </c>
      <c r="B59" s="69">
        <v>30076.09</v>
      </c>
      <c r="C59" s="70" t="s">
        <v>54</v>
      </c>
      <c r="D59" s="56"/>
      <c r="E59" s="56"/>
      <c r="F59" s="3"/>
    </row>
    <row r="60" spans="1:12" x14ac:dyDescent="0.25">
      <c r="A60" s="164" t="s">
        <v>113</v>
      </c>
      <c r="B60" s="165">
        <f>C36/1.02</f>
        <v>4727.411764705882</v>
      </c>
      <c r="C60" s="166"/>
      <c r="D60" s="56"/>
      <c r="E60" s="56"/>
      <c r="F60" s="3"/>
    </row>
    <row r="61" spans="1:12" ht="15.75" thickBot="1" x14ac:dyDescent="0.3">
      <c r="A61" s="75" t="s">
        <v>114</v>
      </c>
      <c r="B61" s="76">
        <f>G43</f>
        <v>275.88545641582039</v>
      </c>
      <c r="C61" s="77" t="s">
        <v>31</v>
      </c>
      <c r="D61" s="56"/>
      <c r="E61" s="56"/>
      <c r="F61" s="3"/>
      <c r="I61" s="79"/>
      <c r="J61" s="79" t="s">
        <v>56</v>
      </c>
      <c r="K61" s="79"/>
      <c r="L61" s="79" t="s">
        <v>57</v>
      </c>
    </row>
    <row r="62" spans="1:12" x14ac:dyDescent="0.25">
      <c r="A62" s="60"/>
      <c r="B62" s="61"/>
      <c r="C62" s="56"/>
      <c r="D62" s="56"/>
      <c r="E62" s="56"/>
      <c r="F62" s="3"/>
      <c r="I62" s="78" t="s">
        <v>64</v>
      </c>
      <c r="J62" s="129">
        <f>6108.57+272.04</f>
        <v>6380.61</v>
      </c>
      <c r="K62" s="78"/>
      <c r="L62" s="129">
        <v>36.880000000000003</v>
      </c>
    </row>
    <row r="63" spans="1:12" x14ac:dyDescent="0.25">
      <c r="A63" s="60" t="s">
        <v>98</v>
      </c>
      <c r="B63" s="3">
        <f>C38+B42-B41</f>
        <v>33905.897181365697</v>
      </c>
      <c r="C63" s="56" t="s">
        <v>31</v>
      </c>
      <c r="D63" s="56"/>
      <c r="E63" s="56"/>
      <c r="F63" s="3"/>
      <c r="I63" s="78" t="s">
        <v>66</v>
      </c>
      <c r="J63" s="129">
        <f>4945.76+250.69</f>
        <v>5196.45</v>
      </c>
      <c r="K63" s="78"/>
      <c r="L63" s="129">
        <v>110.63</v>
      </c>
    </row>
    <row r="64" spans="1:12" x14ac:dyDescent="0.25">
      <c r="A64" s="60" t="s">
        <v>99</v>
      </c>
      <c r="B64" s="2">
        <f>B65+B66+B67+B68+B69+B70</f>
        <v>33905.897181365712</v>
      </c>
      <c r="C64" s="56" t="s">
        <v>31</v>
      </c>
      <c r="D64" s="56"/>
      <c r="E64" s="56"/>
      <c r="F64" s="3"/>
      <c r="I64" s="78" t="s">
        <v>67</v>
      </c>
      <c r="J64" s="129">
        <f>3943.37+285.69</f>
        <v>4229.0599999999995</v>
      </c>
      <c r="K64" s="78"/>
      <c r="L64" s="129">
        <v>125.38</v>
      </c>
    </row>
    <row r="65" spans="1:12" x14ac:dyDescent="0.25">
      <c r="A65" s="80" t="s">
        <v>58</v>
      </c>
      <c r="B65" s="81">
        <f>C20-B43-B61</f>
        <v>-30649.161053928419</v>
      </c>
      <c r="C65" s="56" t="s">
        <v>31</v>
      </c>
      <c r="D65" s="56"/>
      <c r="E65" s="56"/>
      <c r="F65" s="3"/>
      <c r="I65" s="78" t="s">
        <v>68</v>
      </c>
      <c r="J65" s="129">
        <f>2434.61+203.81+989.51+34.86</f>
        <v>3662.7900000000004</v>
      </c>
      <c r="K65" s="78"/>
      <c r="L65" s="129">
        <f>331.88+280.25</f>
        <v>612.13</v>
      </c>
    </row>
    <row r="66" spans="1:12" x14ac:dyDescent="0.25">
      <c r="A66" s="80" t="s">
        <v>59</v>
      </c>
      <c r="B66" s="81">
        <f>C22-B56</f>
        <v>0</v>
      </c>
      <c r="C66" s="56" t="s">
        <v>31</v>
      </c>
      <c r="D66" s="56"/>
      <c r="E66" s="56"/>
      <c r="F66" s="3"/>
      <c r="I66" s="78" t="s">
        <v>69</v>
      </c>
      <c r="J66" s="129">
        <f>989.51+34.86</f>
        <v>1024.3699999999999</v>
      </c>
      <c r="K66" s="78"/>
      <c r="L66" s="129">
        <v>280.25</v>
      </c>
    </row>
    <row r="67" spans="1:12" x14ac:dyDescent="0.25">
      <c r="A67" s="80" t="s">
        <v>60</v>
      </c>
      <c r="B67" s="81">
        <f>C26-B57</f>
        <v>0</v>
      </c>
      <c r="C67" s="56" t="s">
        <v>31</v>
      </c>
      <c r="D67" s="56"/>
      <c r="E67" s="56"/>
      <c r="F67" s="3"/>
      <c r="I67" s="78" t="s">
        <v>70</v>
      </c>
      <c r="J67" s="129">
        <f>60.62+0.22</f>
        <v>60.839999999999996</v>
      </c>
      <c r="K67" s="78"/>
      <c r="L67" s="129">
        <v>405.63</v>
      </c>
    </row>
    <row r="68" spans="1:12" x14ac:dyDescent="0.25">
      <c r="A68" s="80" t="s">
        <v>61</v>
      </c>
      <c r="B68" s="81">
        <f>C27-B58</f>
        <v>67695.010000000009</v>
      </c>
      <c r="C68" s="56" t="s">
        <v>31</v>
      </c>
      <c r="D68" s="56"/>
      <c r="E68" s="56"/>
      <c r="F68" s="3"/>
      <c r="I68" s="78" t="s">
        <v>71</v>
      </c>
      <c r="J68" s="129"/>
      <c r="K68" s="78"/>
      <c r="L68" s="129">
        <v>331.88</v>
      </c>
    </row>
    <row r="69" spans="1:12" x14ac:dyDescent="0.25">
      <c r="A69" s="80" t="s">
        <v>62</v>
      </c>
      <c r="B69" s="81">
        <f>C34-B59</f>
        <v>-3234.5</v>
      </c>
      <c r="C69" s="56" t="s">
        <v>31</v>
      </c>
      <c r="D69" s="56"/>
      <c r="E69" s="56"/>
      <c r="F69" s="3"/>
      <c r="I69" s="78" t="s">
        <v>72</v>
      </c>
      <c r="J69" s="129"/>
      <c r="K69" s="78"/>
      <c r="L69" s="129">
        <v>346.63</v>
      </c>
    </row>
    <row r="70" spans="1:12" x14ac:dyDescent="0.25">
      <c r="A70" s="80" t="s">
        <v>115</v>
      </c>
      <c r="B70" s="81">
        <f>C36-B60</f>
        <v>94.548235294118058</v>
      </c>
      <c r="C70" s="56" t="s">
        <v>31</v>
      </c>
      <c r="I70" s="78" t="s">
        <v>73</v>
      </c>
      <c r="J70" s="129">
        <f>1090.85+84.08</f>
        <v>1174.9299999999998</v>
      </c>
      <c r="K70" s="78"/>
      <c r="L70" s="129">
        <v>379.42</v>
      </c>
    </row>
    <row r="71" spans="1:12" ht="15.75" thickBot="1" x14ac:dyDescent="0.3">
      <c r="A71" s="80"/>
      <c r="B71" s="81"/>
      <c r="C71" s="56"/>
      <c r="D71" s="111"/>
      <c r="E71" s="112"/>
      <c r="F71" s="113"/>
      <c r="G71" s="109"/>
      <c r="I71" s="78" t="s">
        <v>74</v>
      </c>
      <c r="J71" s="129">
        <f>2624.52+232.07</f>
        <v>2856.59</v>
      </c>
      <c r="K71" s="78"/>
      <c r="L71" s="129">
        <v>140.22</v>
      </c>
    </row>
    <row r="72" spans="1:12" ht="15.75" thickBot="1" x14ac:dyDescent="0.3">
      <c r="A72" s="155" t="s">
        <v>91</v>
      </c>
      <c r="B72" s="156"/>
      <c r="C72" s="157"/>
      <c r="D72" s="114"/>
      <c r="E72" s="114"/>
      <c r="F72" s="114"/>
      <c r="G72" s="109"/>
      <c r="I72" s="78" t="s">
        <v>75</v>
      </c>
      <c r="J72" s="129"/>
      <c r="K72" s="78"/>
      <c r="L72" s="129"/>
    </row>
    <row r="73" spans="1:12" ht="51.75" thickBot="1" x14ac:dyDescent="0.3">
      <c r="A73" s="82" t="s">
        <v>116</v>
      </c>
      <c r="B73" s="83" t="s">
        <v>63</v>
      </c>
      <c r="C73" s="84" t="s">
        <v>96</v>
      </c>
      <c r="D73" s="115"/>
      <c r="E73" s="116"/>
      <c r="F73" s="117"/>
      <c r="G73" s="109"/>
      <c r="I73" s="86" t="s">
        <v>76</v>
      </c>
      <c r="J73" s="130"/>
      <c r="K73" s="86"/>
      <c r="L73" s="130">
        <v>0</v>
      </c>
    </row>
    <row r="74" spans="1:12" x14ac:dyDescent="0.25">
      <c r="A74" s="85" t="s">
        <v>65</v>
      </c>
      <c r="B74" s="134" t="s">
        <v>31</v>
      </c>
      <c r="C74" s="135" t="s">
        <v>31</v>
      </c>
      <c r="D74" s="115"/>
      <c r="E74" s="116"/>
      <c r="F74" s="117"/>
      <c r="G74" s="109"/>
      <c r="I74" s="87"/>
      <c r="J74" s="88"/>
      <c r="K74" s="88"/>
      <c r="L74" s="131"/>
    </row>
    <row r="75" spans="1:12" ht="15.75" thickBot="1" x14ac:dyDescent="0.3">
      <c r="A75" s="53"/>
      <c r="B75" s="43"/>
      <c r="C75" s="124"/>
      <c r="D75" s="115"/>
      <c r="E75" s="116"/>
      <c r="F75" s="117"/>
      <c r="G75" s="109"/>
      <c r="I75" s="92" t="s">
        <v>77</v>
      </c>
      <c r="J75" s="93"/>
      <c r="K75" s="93"/>
      <c r="L75" s="132">
        <f>J62+J63+J64+J65+J66+J67+J68+J69+J70+J71+J72+J73+L62+L63+L64+L65+L66+L67+L68+L69+L70+L71+L72+L73+N29</f>
        <v>27354.690000000006</v>
      </c>
    </row>
    <row r="76" spans="1:12" ht="15.75" thickBot="1" x14ac:dyDescent="0.3">
      <c r="A76" s="89" t="s">
        <v>5</v>
      </c>
      <c r="B76" s="90">
        <f>B75</f>
        <v>0</v>
      </c>
      <c r="C76" s="91">
        <f>C75</f>
        <v>0</v>
      </c>
      <c r="D76" s="118"/>
      <c r="E76" s="116"/>
      <c r="F76" s="117"/>
      <c r="G76" s="109"/>
    </row>
    <row r="77" spans="1:12" x14ac:dyDescent="0.25">
      <c r="A77" s="31"/>
      <c r="B77" s="33"/>
      <c r="C77" s="98"/>
      <c r="D77" s="118"/>
      <c r="E77" s="116"/>
      <c r="F77" s="117"/>
      <c r="G77" s="109"/>
    </row>
    <row r="78" spans="1:12" x14ac:dyDescent="0.25">
      <c r="A78" s="60"/>
      <c r="B78" s="33"/>
      <c r="C78" s="98"/>
      <c r="D78" s="118"/>
      <c r="E78" s="116"/>
      <c r="F78" s="117"/>
      <c r="G78" s="109"/>
      <c r="I78" s="1" t="s">
        <v>78</v>
      </c>
      <c r="J78" s="1"/>
      <c r="K78" s="1"/>
      <c r="L78" s="2">
        <f>C27-L75</f>
        <v>67695.010000000009</v>
      </c>
    </row>
    <row r="79" spans="1:12" x14ac:dyDescent="0.25">
      <c r="A79" s="60" t="s">
        <v>79</v>
      </c>
      <c r="B79" s="33"/>
      <c r="D79" s="118"/>
      <c r="E79" s="116"/>
      <c r="F79" s="117"/>
      <c r="G79" s="109"/>
    </row>
    <row r="80" spans="1:12" x14ac:dyDescent="0.25">
      <c r="A80" s="60" t="s">
        <v>34</v>
      </c>
      <c r="B80" s="20">
        <f>B43/C8/12</f>
        <v>40.56862981741903</v>
      </c>
      <c r="C80" s="101" t="s">
        <v>80</v>
      </c>
      <c r="D80" s="118"/>
      <c r="E80" s="116"/>
      <c r="F80" s="117"/>
      <c r="G80" s="109"/>
    </row>
    <row r="81" spans="1:7" x14ac:dyDescent="0.25">
      <c r="A81" s="60" t="s">
        <v>81</v>
      </c>
      <c r="B81" s="20">
        <f>B56/C8/12</f>
        <v>0</v>
      </c>
      <c r="C81" s="101" t="s">
        <v>80</v>
      </c>
      <c r="D81" s="118"/>
      <c r="E81" s="116"/>
      <c r="F81" s="117"/>
      <c r="G81" s="109"/>
    </row>
    <row r="82" spans="1:7" x14ac:dyDescent="0.25">
      <c r="A82" s="60" t="s">
        <v>82</v>
      </c>
      <c r="B82" s="20">
        <f>B57/C8/12</f>
        <v>0</v>
      </c>
      <c r="C82" s="101" t="s">
        <v>80</v>
      </c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/>
      <c r="B84" s="33"/>
      <c r="C84" s="101"/>
      <c r="D84" s="110"/>
      <c r="E84" s="114"/>
      <c r="F84" s="119"/>
      <c r="G84" s="109"/>
    </row>
    <row r="85" spans="1:7" x14ac:dyDescent="0.25">
      <c r="A85" s="19"/>
      <c r="B85" s="20"/>
      <c r="C85" s="101"/>
      <c r="D85" s="118"/>
      <c r="E85" s="116"/>
      <c r="F85" s="109"/>
      <c r="G85" s="109"/>
    </row>
    <row r="86" spans="1:7" x14ac:dyDescent="0.25">
      <c r="A86" s="19" t="s">
        <v>83</v>
      </c>
      <c r="B86" s="20"/>
      <c r="C86" s="98"/>
      <c r="E86" s="116"/>
      <c r="F86" s="109"/>
      <c r="G86" s="109"/>
    </row>
    <row r="87" spans="1:7" x14ac:dyDescent="0.25">
      <c r="A87" s="31"/>
      <c r="B87" s="33"/>
      <c r="C87" s="105"/>
      <c r="D87" s="133" t="s">
        <v>95</v>
      </c>
      <c r="E87" s="116"/>
      <c r="F87" s="109"/>
      <c r="G87" s="109"/>
    </row>
    <row r="88" spans="1:7" x14ac:dyDescent="0.25">
      <c r="A88" s="103"/>
      <c r="B88" s="104"/>
      <c r="C88" s="105"/>
      <c r="D88" s="118"/>
      <c r="E88" s="116"/>
      <c r="F88" s="109"/>
      <c r="G88" s="109"/>
    </row>
    <row r="89" spans="1:7" x14ac:dyDescent="0.25">
      <c r="A89" s="103"/>
      <c r="B89" s="104"/>
      <c r="C89" s="105"/>
      <c r="D89" s="99"/>
      <c r="E89" s="100"/>
    </row>
    <row r="90" spans="1:7" x14ac:dyDescent="0.25">
      <c r="A90" s="103"/>
      <c r="B90" s="104"/>
      <c r="C90" s="105"/>
      <c r="D90" s="99"/>
      <c r="E90" s="100"/>
    </row>
    <row r="91" spans="1:7" x14ac:dyDescent="0.25">
      <c r="A91" s="103"/>
      <c r="B91" s="104"/>
      <c r="C91" s="98"/>
      <c r="D91" s="99"/>
      <c r="E91" s="100"/>
    </row>
    <row r="92" spans="1:7" x14ac:dyDescent="0.25">
      <c r="A92" s="31"/>
      <c r="B92" s="33"/>
      <c r="C92" s="98"/>
      <c r="D92" s="99"/>
      <c r="E92" s="100"/>
    </row>
    <row r="93" spans="1:7" x14ac:dyDescent="0.25">
      <c r="A93" s="31"/>
      <c r="B93" s="33"/>
      <c r="C93" s="56"/>
      <c r="D93" s="99"/>
      <c r="E93" s="100"/>
    </row>
    <row r="94" spans="1:7" x14ac:dyDescent="0.25">
      <c r="A94" s="19"/>
      <c r="B94" s="20"/>
      <c r="C94" s="56"/>
      <c r="D94" s="56"/>
      <c r="E94" s="56"/>
    </row>
    <row r="95" spans="1:7" x14ac:dyDescent="0.25">
      <c r="A95" s="19"/>
      <c r="B95" s="20"/>
      <c r="C95" s="56"/>
      <c r="D95" s="102"/>
      <c r="E95" s="56"/>
    </row>
    <row r="96" spans="1:7" x14ac:dyDescent="0.25">
      <c r="A96" s="19"/>
      <c r="B96" s="20"/>
      <c r="C96" s="100"/>
      <c r="D96" s="99"/>
      <c r="E96" s="100"/>
    </row>
    <row r="97" spans="1:6" x14ac:dyDescent="0.25">
      <c r="A97" s="31"/>
      <c r="B97" s="33"/>
      <c r="C97" s="100"/>
      <c r="D97" s="99"/>
      <c r="E97" s="100"/>
    </row>
    <row r="98" spans="1:6" x14ac:dyDescent="0.25">
      <c r="A98" s="31"/>
      <c r="B98" s="33"/>
      <c r="C98" s="100"/>
      <c r="D98" s="105"/>
      <c r="E98" s="100"/>
    </row>
    <row r="99" spans="1:6" x14ac:dyDescent="0.25">
      <c r="A99" s="107"/>
      <c r="B99" s="108"/>
      <c r="C99" s="100"/>
      <c r="D99" s="105"/>
      <c r="E99" s="100"/>
    </row>
    <row r="100" spans="1:6" x14ac:dyDescent="0.25">
      <c r="A100" s="107"/>
      <c r="B100" s="108"/>
      <c r="C100" s="100"/>
      <c r="D100" s="105"/>
      <c r="E100" s="100"/>
      <c r="F100" s="106"/>
    </row>
    <row r="101" spans="1:6" x14ac:dyDescent="0.25">
      <c r="A101" s="31"/>
      <c r="B101" s="33"/>
      <c r="C101" s="100"/>
      <c r="D101" s="105"/>
      <c r="E101" s="100"/>
    </row>
    <row r="102" spans="1:6" x14ac:dyDescent="0.25">
      <c r="A102" s="31"/>
      <c r="B102" s="33"/>
      <c r="C102" s="56"/>
      <c r="D102" s="98"/>
      <c r="E102" s="100"/>
    </row>
    <row r="103" spans="1:6" x14ac:dyDescent="0.25">
      <c r="A103" s="19"/>
      <c r="B103" s="20"/>
      <c r="C103" s="100"/>
      <c r="D103" s="98"/>
      <c r="E103" s="100"/>
    </row>
    <row r="104" spans="1:6" x14ac:dyDescent="0.25">
      <c r="A104" s="31"/>
      <c r="B104" s="33"/>
      <c r="C104" s="100"/>
      <c r="D104" s="56"/>
      <c r="E104" s="56"/>
      <c r="F104" s="3"/>
    </row>
    <row r="105" spans="1:6" x14ac:dyDescent="0.25">
      <c r="A105" s="31"/>
      <c r="B105" s="33"/>
      <c r="C105" s="33"/>
      <c r="D105" s="56"/>
      <c r="E105" s="100"/>
    </row>
    <row r="106" spans="1:6" x14ac:dyDescent="0.25">
      <c r="A106" s="31"/>
      <c r="B106" s="33"/>
      <c r="C106" s="33"/>
      <c r="D106" s="56"/>
      <c r="E106" s="56"/>
    </row>
    <row r="107" spans="1:6" x14ac:dyDescent="0.25">
      <c r="A107" s="31"/>
      <c r="B107" s="33"/>
      <c r="C107" s="33"/>
      <c r="D107" s="100"/>
      <c r="E107" s="100"/>
    </row>
    <row r="108" spans="1:6" x14ac:dyDescent="0.25">
      <c r="A108" s="31"/>
      <c r="B108" s="33"/>
      <c r="D108" s="100"/>
      <c r="E108" s="100"/>
    </row>
    <row r="109" spans="1:6" x14ac:dyDescent="0.25">
      <c r="D109" s="100"/>
      <c r="E109" s="100"/>
    </row>
    <row r="110" spans="1:6" x14ac:dyDescent="0.25">
      <c r="D110" s="100"/>
      <c r="E110" s="100"/>
    </row>
    <row r="111" spans="1:6" x14ac:dyDescent="0.25">
      <c r="D111" s="100"/>
      <c r="E111" s="100"/>
    </row>
    <row r="112" spans="1:6" x14ac:dyDescent="0.25">
      <c r="D112" s="100"/>
      <c r="E112" s="100"/>
    </row>
    <row r="113" spans="2:6" x14ac:dyDescent="0.25">
      <c r="B113"/>
      <c r="C113"/>
      <c r="D113" s="56"/>
      <c r="E113" s="56"/>
      <c r="F113" s="3"/>
    </row>
    <row r="114" spans="2:6" x14ac:dyDescent="0.25">
      <c r="B114"/>
      <c r="C114"/>
      <c r="D114" s="100"/>
      <c r="E114" s="100"/>
      <c r="F114" s="3"/>
    </row>
    <row r="115" spans="2:6" x14ac:dyDescent="0.25">
      <c r="B115"/>
      <c r="C115"/>
      <c r="D115" s="100"/>
      <c r="E115" s="100"/>
    </row>
    <row r="116" spans="2:6" x14ac:dyDescent="0.25">
      <c r="B116"/>
      <c r="C116"/>
      <c r="D116" s="33"/>
      <c r="E116" s="33"/>
    </row>
    <row r="117" spans="2:6" x14ac:dyDescent="0.25">
      <c r="B117"/>
      <c r="C117"/>
      <c r="D117" s="33"/>
      <c r="E117" s="33"/>
    </row>
    <row r="118" spans="2:6" x14ac:dyDescent="0.25">
      <c r="D118" s="33"/>
      <c r="E118" s="33"/>
    </row>
  </sheetData>
  <pageMargins left="0.7" right="0.7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79" workbookViewId="0">
      <selection sqref="A1:E9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142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143</v>
      </c>
      <c r="B6" s="11"/>
      <c r="C6" s="11">
        <v>840.8</v>
      </c>
      <c r="D6" s="12">
        <v>23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840.8</v>
      </c>
      <c r="D8" s="18">
        <f>D6</f>
        <v>23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13.95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7.14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0.18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43936.05+1189.51</f>
        <v>45125.560000000005</v>
      </c>
      <c r="C20" s="41">
        <f>140750.16+3271.32</f>
        <v>144021.48000000001</v>
      </c>
      <c r="D20" s="40">
        <f>134799.24+8164.08+3218.2</f>
        <v>146181.51999999999</v>
      </c>
      <c r="E20" s="42">
        <f t="shared" ref="E20:E38" si="0">C20-D20+B20</f>
        <v>42965.520000000026</v>
      </c>
      <c r="F20" s="137">
        <f>C20+F22</f>
        <v>216061.32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22462.41</v>
      </c>
      <c r="C22" s="44">
        <v>72039.839999999997</v>
      </c>
      <c r="D22" s="43">
        <f>68969.32+4178.55</f>
        <v>73147.87000000001</v>
      </c>
      <c r="E22" s="45">
        <f t="shared" si="0"/>
        <v>21354.379999999986</v>
      </c>
      <c r="F22" s="137">
        <f>C22</f>
        <v>72039.839999999997</v>
      </c>
      <c r="G22" s="139">
        <f>F22*G20/F20</f>
        <v>33.342312265795655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>
        <v>312.08</v>
      </c>
      <c r="C24" s="44"/>
      <c r="D24" s="44">
        <v>1251.1300000000001</v>
      </c>
      <c r="E24" s="45">
        <f t="shared" si="0"/>
        <v>-939.05000000000018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561.12</v>
      </c>
      <c r="C26" s="44">
        <v>1816.08</v>
      </c>
      <c r="D26" s="44">
        <f>1733.46+105.36</f>
        <v>1838.82</v>
      </c>
      <c r="E26" s="45">
        <f t="shared" si="0"/>
        <v>538.38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-17883.900000000001</v>
      </c>
      <c r="C28" s="50">
        <f>C29+C30+C31+C33</f>
        <v>272717.14</v>
      </c>
      <c r="D28" s="50">
        <f>D29+D30+D31+D33+D32</f>
        <v>190067.57</v>
      </c>
      <c r="E28" s="51">
        <f>C28-D28+B28</f>
        <v>64765.670000000006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-23924.27</v>
      </c>
      <c r="C29" s="40">
        <f>201848.35-63983.97</f>
        <v>137864.38</v>
      </c>
      <c r="D29" s="40">
        <f>69256.19+3265.04</f>
        <v>72521.23</v>
      </c>
      <c r="E29" s="42">
        <f t="shared" si="0"/>
        <v>41418.880000000005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22056.84-26069.22</f>
        <v>-4012.380000000001</v>
      </c>
      <c r="C30" s="43">
        <f>67402.76+19897.82</f>
        <v>87300.579999999987</v>
      </c>
      <c r="D30" s="43">
        <f>67204.65+3754.59+4912.45+181.45</f>
        <v>76053.139999999985</v>
      </c>
      <c r="E30" s="45">
        <f t="shared" si="0"/>
        <v>7235.0600000000013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3465.38</v>
      </c>
      <c r="C31" s="43">
        <v>16246.51</v>
      </c>
      <c r="D31" s="43">
        <f>12165.48+1151.84</f>
        <v>13317.32</v>
      </c>
      <c r="E31" s="45">
        <f t="shared" si="0"/>
        <v>6394.5700000000006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>
        <v>-1148.77</v>
      </c>
      <c r="C32" s="43"/>
      <c r="D32" s="43">
        <v>0.68</v>
      </c>
      <c r="E32" s="45">
        <f t="shared" si="0"/>
        <v>-1149.45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7736.14</v>
      </c>
      <c r="C33" s="43">
        <v>31305.67</v>
      </c>
      <c r="D33" s="43">
        <f>26146.98+2028.22</f>
        <v>28175.200000000001</v>
      </c>
      <c r="E33" s="45">
        <f t="shared" si="0"/>
        <v>10866.609999999997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v>14521.99</v>
      </c>
      <c r="C35" s="55">
        <f>45829.93-953.36</f>
        <v>44876.57</v>
      </c>
      <c r="D35" s="55">
        <f>45661.75+1172.2</f>
        <v>46833.95</v>
      </c>
      <c r="E35" s="45">
        <f t="shared" si="0"/>
        <v>12564.610000000002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>
        <v>-2149.15</v>
      </c>
      <c r="C37" s="44">
        <v>1770.6</v>
      </c>
      <c r="D37" s="44">
        <f>1870.39</f>
        <v>1870.39</v>
      </c>
      <c r="E37" s="45">
        <f t="shared" si="0"/>
        <v>-2248.9400000000005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>
        <v>-1208.8900000000001</v>
      </c>
      <c r="C38" s="46"/>
      <c r="D38" s="46"/>
      <c r="E38" s="47">
        <f t="shared" si="0"/>
        <v>-1208.8900000000001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61741.219999999994</v>
      </c>
      <c r="C39" s="58">
        <f>C20+C21+C22+C23+C24+C25+C26+C28+C35+C36+C37+C38</f>
        <v>537241.71</v>
      </c>
      <c r="D39" s="58">
        <f>D20+D21+D22+D23+D24+D25+D26+D28+D35+D36+D37+D38+D27</f>
        <v>461191.25000000006</v>
      </c>
      <c r="E39" s="58">
        <f>E20+E21+E22+E23+E24+E25+E26+E28+E35+E36+E37+E38+E27</f>
        <v>137791.67999999999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516270.67530159774</v>
      </c>
      <c r="C42" s="64" t="s">
        <v>31</v>
      </c>
      <c r="D42" s="140">
        <f>C39-B42-B62</f>
        <v>19656.043248547219</v>
      </c>
      <c r="E42" s="141" t="s">
        <v>32</v>
      </c>
      <c r="F42" s="142">
        <v>5228898.0599999996</v>
      </c>
      <c r="G42" s="142">
        <f>F42/F48*C8</f>
        <v>39330.734001415076</v>
      </c>
      <c r="H42" s="136"/>
      <c r="I42" s="109"/>
      <c r="J42" s="168"/>
    </row>
    <row r="43" spans="1:22" x14ac:dyDescent="0.25">
      <c r="A43" s="65" t="s">
        <v>92</v>
      </c>
      <c r="B43" s="66">
        <v>36.6</v>
      </c>
      <c r="C43" s="70" t="s">
        <v>31</v>
      </c>
      <c r="D43" s="140"/>
      <c r="E43" s="141" t="s">
        <v>33</v>
      </c>
      <c r="F43" s="142">
        <v>1017312.51</v>
      </c>
      <c r="G43" s="142">
        <f>F43/F48*C8</f>
        <v>7652.0229057825463</v>
      </c>
      <c r="H43" s="136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158257.1814988016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1314.9914498549988</v>
      </c>
      <c r="H44" s="136"/>
      <c r="I44" s="109"/>
      <c r="J44" s="168"/>
    </row>
    <row r="45" spans="1:22" x14ac:dyDescent="0.25">
      <c r="A45" s="71" t="s">
        <v>112</v>
      </c>
      <c r="B45" s="72">
        <v>12173.92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1552.9339416020846</v>
      </c>
      <c r="H45" s="136"/>
      <c r="I45" s="109"/>
      <c r="J45" s="168"/>
    </row>
    <row r="46" spans="1:22" x14ac:dyDescent="0.25">
      <c r="A46" s="74" t="s">
        <v>37</v>
      </c>
      <c r="B46" s="72">
        <f>G42+G43</f>
        <v>46982.756907197625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382.91160389090419</v>
      </c>
      <c r="H46" s="136"/>
      <c r="I46" s="109"/>
      <c r="J46" s="168"/>
    </row>
    <row r="47" spans="1:22" x14ac:dyDescent="0.25">
      <c r="A47" s="74" t="s">
        <v>39</v>
      </c>
      <c r="B47" s="72">
        <v>18100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52562.112169135326</v>
      </c>
      <c r="H47" s="136"/>
      <c r="I47" s="109"/>
      <c r="J47" s="168"/>
    </row>
    <row r="48" spans="1:22" x14ac:dyDescent="0.25">
      <c r="A48" s="71" t="s">
        <v>40</v>
      </c>
      <c r="B48" s="72">
        <f>G46+8546.95</f>
        <v>8929.8616038909058</v>
      </c>
      <c r="C48" s="73" t="s">
        <v>31</v>
      </c>
      <c r="D48" s="140"/>
      <c r="E48" s="144" t="s">
        <v>41</v>
      </c>
      <c r="F48" s="145">
        <v>111781.73</v>
      </c>
      <c r="G48" s="142"/>
      <c r="H48" s="136"/>
      <c r="I48" s="109"/>
      <c r="J48" s="168"/>
    </row>
    <row r="49" spans="1:12" x14ac:dyDescent="0.25">
      <c r="A49" s="71" t="s">
        <v>42</v>
      </c>
      <c r="B49" s="72">
        <f>G45+181.68</f>
        <v>1734.6139416020847</v>
      </c>
      <c r="C49" s="73" t="s">
        <v>31</v>
      </c>
      <c r="D49" s="140"/>
      <c r="E49" s="145"/>
      <c r="F49" s="142">
        <f>F46*0.6559</f>
        <v>33389.835709999999</v>
      </c>
      <c r="G49" s="142"/>
      <c r="H49" s="136"/>
      <c r="I49" s="109"/>
      <c r="J49" s="168"/>
    </row>
    <row r="50" spans="1:12" x14ac:dyDescent="0.25">
      <c r="A50" s="71" t="s">
        <v>43</v>
      </c>
      <c r="B50" s="72">
        <f>G47</f>
        <v>52562.112169135326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22.162988531310081</v>
      </c>
      <c r="H50" s="136"/>
      <c r="I50" s="109"/>
      <c r="J50" s="168"/>
    </row>
    <row r="51" spans="1:12" x14ac:dyDescent="0.25">
      <c r="A51" s="71" t="s">
        <v>44</v>
      </c>
      <c r="B51" s="72">
        <f>F54</f>
        <v>581.35912740858635</v>
      </c>
      <c r="C51" s="73" t="s">
        <v>31</v>
      </c>
      <c r="D51" s="140"/>
      <c r="E51" s="140"/>
      <c r="F51" s="147"/>
      <c r="G51" s="148"/>
      <c r="H51" s="136"/>
      <c r="I51" s="109"/>
      <c r="J51" s="168"/>
    </row>
    <row r="52" spans="1:12" x14ac:dyDescent="0.25">
      <c r="A52" s="71" t="s">
        <v>45</v>
      </c>
      <c r="B52" s="72">
        <f>G50</f>
        <v>22.162988531310081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36"/>
      <c r="I52" s="109"/>
      <c r="J52" s="168"/>
    </row>
    <row r="53" spans="1:12" x14ac:dyDescent="0.25">
      <c r="A53" s="71" t="s">
        <v>46</v>
      </c>
      <c r="B53" s="72">
        <v>1191.24</v>
      </c>
      <c r="C53" s="73" t="s">
        <v>31</v>
      </c>
      <c r="D53" s="140"/>
      <c r="E53" s="140" t="s">
        <v>93</v>
      </c>
      <c r="F53" s="147">
        <v>30234.54</v>
      </c>
      <c r="G53" s="148"/>
      <c r="H53" s="136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144</v>
      </c>
      <c r="F54" s="147">
        <f>F52/F53*C8</f>
        <v>581.35912740858635</v>
      </c>
      <c r="G54" s="148"/>
      <c r="H54" s="136"/>
      <c r="I54" s="109"/>
      <c r="J54" s="168"/>
    </row>
    <row r="55" spans="1:12" x14ac:dyDescent="0.25">
      <c r="A55" s="71" t="s">
        <v>48</v>
      </c>
      <c r="B55" s="72">
        <v>3026.88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12952.274761035726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C80</f>
        <v>38554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804.48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266173.52</v>
      </c>
      <c r="C59" s="70" t="s">
        <v>31</v>
      </c>
      <c r="D59" s="56"/>
      <c r="E59" s="56"/>
      <c r="F59" s="3"/>
      <c r="I59" s="78" t="s">
        <v>64</v>
      </c>
      <c r="J59" s="129">
        <f>23766.57+1769.93</f>
        <v>25536.5</v>
      </c>
      <c r="K59" s="78"/>
      <c r="L59" s="129">
        <f>1172.63+2462.16</f>
        <v>3634.79</v>
      </c>
    </row>
    <row r="60" spans="1:12" x14ac:dyDescent="0.25">
      <c r="A60" s="68" t="s">
        <v>53</v>
      </c>
      <c r="B60" s="69">
        <f>47736.93+1693.69</f>
        <v>49430.62</v>
      </c>
      <c r="C60" s="70" t="s">
        <v>54</v>
      </c>
      <c r="D60" s="56"/>
      <c r="E60" s="56"/>
      <c r="F60" s="3"/>
      <c r="I60" s="78" t="s">
        <v>66</v>
      </c>
      <c r="J60" s="129">
        <f>25152.6+1772.36</f>
        <v>26924.959999999999</v>
      </c>
      <c r="K60" s="78"/>
      <c r="L60" s="129">
        <f>892.38+2053.22</f>
        <v>2945.6</v>
      </c>
    </row>
    <row r="61" spans="1:12" x14ac:dyDescent="0.25">
      <c r="A61" s="164" t="s">
        <v>113</v>
      </c>
      <c r="B61" s="165">
        <f>C37/1.02</f>
        <v>1735.8823529411764</v>
      </c>
      <c r="C61" s="166"/>
      <c r="D61" s="56"/>
      <c r="E61" s="56"/>
      <c r="F61" s="3"/>
      <c r="I61" s="78" t="s">
        <v>67</v>
      </c>
      <c r="J61" s="129">
        <f>23629.06+1690.01</f>
        <v>25319.07</v>
      </c>
      <c r="K61" s="78"/>
      <c r="L61" s="129">
        <f>870.25+2070.26</f>
        <v>2940.51</v>
      </c>
    </row>
    <row r="62" spans="1:12" ht="15.75" thickBot="1" x14ac:dyDescent="0.3">
      <c r="A62" s="75" t="s">
        <v>114</v>
      </c>
      <c r="B62" s="76">
        <f>G44</f>
        <v>1314.9914498549988</v>
      </c>
      <c r="C62" s="77" t="s">
        <v>31</v>
      </c>
      <c r="D62" s="56"/>
      <c r="E62" s="56"/>
      <c r="F62" s="3"/>
      <c r="I62" s="78" t="s">
        <v>68</v>
      </c>
      <c r="J62" s="129">
        <f>11468.66+1410.1</f>
        <v>12878.76</v>
      </c>
      <c r="K62" s="78"/>
      <c r="L62" s="129">
        <f>774.37+1746.52</f>
        <v>2520.89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10629.29+1478.63</f>
        <v>12107.920000000002</v>
      </c>
      <c r="K63" s="78"/>
      <c r="L63" s="129">
        <f>899.75+1891.35</f>
        <v>2791.1</v>
      </c>
    </row>
    <row r="64" spans="1:12" x14ac:dyDescent="0.25">
      <c r="A64" s="60" t="s">
        <v>98</v>
      </c>
      <c r="B64" s="174">
        <f>C39-C24+B43-B42</f>
        <v>21007.634698402195</v>
      </c>
      <c r="C64" s="56" t="s">
        <v>31</v>
      </c>
      <c r="D64" s="56"/>
      <c r="E64" s="56"/>
      <c r="F64" s="3"/>
      <c r="I64" s="78" t="s">
        <v>70</v>
      </c>
      <c r="J64" s="129">
        <f>3374.38+989.32</f>
        <v>4363.7</v>
      </c>
      <c r="K64" s="78"/>
      <c r="L64" s="129">
        <f>641.62+1593.17</f>
        <v>2234.79</v>
      </c>
    </row>
    <row r="65" spans="1:12" x14ac:dyDescent="0.25">
      <c r="A65" s="60" t="s">
        <v>99</v>
      </c>
      <c r="B65" s="2">
        <f>B66+B67+B68+B69+B70+B71</f>
        <v>20971.034698402225</v>
      </c>
      <c r="C65" s="56" t="s">
        <v>31</v>
      </c>
      <c r="D65" s="56"/>
      <c r="E65" s="56"/>
      <c r="F65" s="3"/>
      <c r="I65" s="78" t="s">
        <v>71</v>
      </c>
      <c r="J65" s="129">
        <f>4899.86+1237.08</f>
        <v>6136.94</v>
      </c>
      <c r="K65" s="78"/>
      <c r="L65" s="129">
        <f>867.09+1902.2</f>
        <v>2769.29</v>
      </c>
    </row>
    <row r="66" spans="1:12" x14ac:dyDescent="0.25">
      <c r="A66" s="80" t="s">
        <v>58</v>
      </c>
      <c r="B66" s="81">
        <f>C20-B44-B62</f>
        <v>-15550.692948656586</v>
      </c>
      <c r="C66" s="56" t="s">
        <v>31</v>
      </c>
      <c r="D66" s="56"/>
      <c r="E66" s="56"/>
      <c r="F66" s="3"/>
      <c r="I66" s="78" t="s">
        <v>72</v>
      </c>
      <c r="J66" s="129">
        <f>4434.9+1029.94</f>
        <v>5464.84</v>
      </c>
      <c r="K66" s="78"/>
      <c r="L66" s="129">
        <f>937.39+1983.35</f>
        <v>2920.74</v>
      </c>
    </row>
    <row r="67" spans="1:12" x14ac:dyDescent="0.25">
      <c r="A67" s="80" t="s">
        <v>59</v>
      </c>
      <c r="B67" s="81">
        <f>C22-B57</f>
        <v>33485.839999999997</v>
      </c>
      <c r="C67" s="56" t="s">
        <v>31</v>
      </c>
      <c r="D67" s="56"/>
      <c r="E67" s="56"/>
      <c r="F67" s="3"/>
      <c r="I67" s="78" t="s">
        <v>73</v>
      </c>
      <c r="J67" s="129">
        <f>6682.92+1215.65</f>
        <v>7898.57</v>
      </c>
      <c r="K67" s="78"/>
      <c r="L67" s="129">
        <f>1171.24+2304.47</f>
        <v>3475.71</v>
      </c>
    </row>
    <row r="68" spans="1:12" x14ac:dyDescent="0.25">
      <c r="A68" s="80" t="s">
        <v>60</v>
      </c>
      <c r="B68" s="81">
        <f>C26-B58</f>
        <v>1011.5999999999999</v>
      </c>
      <c r="C68" s="56" t="s">
        <v>31</v>
      </c>
      <c r="D68" s="56"/>
      <c r="E68" s="56"/>
      <c r="F68" s="3"/>
      <c r="I68" s="78" t="s">
        <v>74</v>
      </c>
      <c r="J68" s="129">
        <f>22688.46+1622.18</f>
        <v>24310.639999999999</v>
      </c>
      <c r="K68" s="78"/>
      <c r="L68" s="129">
        <f>783.58+1999.75</f>
        <v>2783.33</v>
      </c>
    </row>
    <row r="69" spans="1:12" x14ac:dyDescent="0.25">
      <c r="A69" s="80" t="s">
        <v>61</v>
      </c>
      <c r="B69" s="81">
        <f>C28-B59</f>
        <v>6543.6199999999953</v>
      </c>
      <c r="C69" s="56" t="s">
        <v>31</v>
      </c>
      <c r="D69" s="56"/>
      <c r="E69" s="56"/>
      <c r="F69" s="3"/>
      <c r="I69" s="78" t="s">
        <v>75</v>
      </c>
      <c r="J69" s="129">
        <f>29492.21+1992.05</f>
        <v>31484.26</v>
      </c>
      <c r="K69" s="78"/>
      <c r="L69" s="129">
        <f>2614.68+3970.92</f>
        <v>6585.6</v>
      </c>
    </row>
    <row r="70" spans="1:12" ht="15.75" thickBot="1" x14ac:dyDescent="0.3">
      <c r="A70" s="80" t="s">
        <v>62</v>
      </c>
      <c r="B70" s="81">
        <f>C35-B60</f>
        <v>-4554.0500000000029</v>
      </c>
      <c r="C70" s="56" t="s">
        <v>31</v>
      </c>
      <c r="D70" s="56"/>
      <c r="E70" s="56"/>
      <c r="F70" s="3"/>
      <c r="I70" s="86" t="s">
        <v>76</v>
      </c>
      <c r="J70" s="130">
        <f>40460.02+2217.53</f>
        <v>42677.549999999996</v>
      </c>
      <c r="K70" s="86"/>
      <c r="L70" s="130">
        <f>1839.35+3628.11</f>
        <v>5467.46</v>
      </c>
    </row>
    <row r="71" spans="1:12" x14ac:dyDescent="0.25">
      <c r="A71" s="80" t="s">
        <v>115</v>
      </c>
      <c r="B71" s="81">
        <f>C37-B61</f>
        <v>34.717647058823559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266173.52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6543.6199999999953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ht="30" x14ac:dyDescent="0.25">
      <c r="A76" s="187" t="s">
        <v>182</v>
      </c>
      <c r="B76" s="43"/>
      <c r="C76" s="124">
        <v>31006</v>
      </c>
      <c r="D76" s="115"/>
      <c r="E76" s="116"/>
      <c r="F76" s="117"/>
      <c r="G76" s="109"/>
    </row>
    <row r="77" spans="1:12" x14ac:dyDescent="0.25">
      <c r="A77" s="78" t="s">
        <v>177</v>
      </c>
      <c r="B77" s="43"/>
      <c r="C77" s="175">
        <v>7548</v>
      </c>
      <c r="D77" s="115"/>
      <c r="E77" s="116"/>
      <c r="F77" s="117"/>
      <c r="G77" s="109"/>
    </row>
    <row r="78" spans="1:12" x14ac:dyDescent="0.25">
      <c r="A78" s="78"/>
      <c r="B78" s="43"/>
      <c r="C78" s="175"/>
      <c r="D78" s="115"/>
      <c r="E78" s="116"/>
      <c r="F78" s="117"/>
      <c r="G78" s="109"/>
    </row>
    <row r="79" spans="1:12" x14ac:dyDescent="0.25">
      <c r="A79" s="78"/>
      <c r="B79" s="43"/>
      <c r="C79" s="175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38554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x14ac:dyDescent="0.25">
      <c r="A83" s="60" t="s">
        <v>79</v>
      </c>
      <c r="B83" s="33"/>
      <c r="D83" s="118"/>
      <c r="E83" s="116"/>
      <c r="F83" s="117"/>
      <c r="G83" s="109"/>
    </row>
    <row r="84" spans="1:7" x14ac:dyDescent="0.25">
      <c r="A84" s="60" t="s">
        <v>34</v>
      </c>
      <c r="B84" s="20">
        <f>B44/C8/12</f>
        <v>15.685178946519349</v>
      </c>
      <c r="C84" s="101" t="s">
        <v>80</v>
      </c>
      <c r="D84" s="118"/>
      <c r="E84" s="116"/>
      <c r="F84" s="117"/>
      <c r="G84" s="109"/>
    </row>
    <row r="85" spans="1:7" x14ac:dyDescent="0.25">
      <c r="A85" s="60" t="s">
        <v>81</v>
      </c>
      <c r="B85" s="20">
        <f>B57/C8/12</f>
        <v>3.8211623850301302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82</v>
      </c>
      <c r="B86" s="20">
        <f>B58/C8/12</f>
        <v>7.973358705994292E-2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60" workbookViewId="0">
      <selection activeCell="E71" sqref="E7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145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146</v>
      </c>
      <c r="B6" s="11"/>
      <c r="C6" s="11">
        <v>1373.4</v>
      </c>
      <c r="D6" s="12">
        <v>46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1373.4</v>
      </c>
      <c r="D8" s="18">
        <f>D6</f>
        <v>46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 t="s">
        <v>147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0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104670.84+2629.17+165.38</f>
        <v>107465.39</v>
      </c>
      <c r="D20" s="40">
        <f>74638.02+3837</f>
        <v>78475.02</v>
      </c>
      <c r="E20" s="42">
        <f t="shared" ref="E20:E38" si="0">C20-D20+B20</f>
        <v>28990.369999999995</v>
      </c>
      <c r="F20" s="137">
        <f>C20+F22</f>
        <v>107465.39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/>
      <c r="D22" s="43"/>
      <c r="E22" s="45">
        <f t="shared" si="0"/>
        <v>0</v>
      </c>
      <c r="F22" s="137">
        <f>C22</f>
        <v>0</v>
      </c>
      <c r="G22" s="139">
        <f>F22*G20/F20</f>
        <v>0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</f>
        <v>289656.8</v>
      </c>
      <c r="D28" s="50">
        <f>D29+D30+D31+D33+D32</f>
        <v>220232.69999999998</v>
      </c>
      <c r="E28" s="51">
        <f>C28-D28+B28</f>
        <v>69424.100000000006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>
        <f>187929.36+9504.18+287.71</f>
        <v>197721.24999999997</v>
      </c>
      <c r="D29" s="40">
        <f>139053.34+7972.46</f>
        <v>147025.79999999999</v>
      </c>
      <c r="E29" s="42">
        <f t="shared" si="0"/>
        <v>50695.449999999983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>
        <f>4822.65+50205.21+3214.85-1471.41</f>
        <v>56771.299999999996</v>
      </c>
      <c r="D30" s="43">
        <f>39811.38+1809.31+2785.41+53.87</f>
        <v>44459.969999999994</v>
      </c>
      <c r="E30" s="45">
        <f t="shared" si="0"/>
        <v>12311.330000000002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f>12084.11+700.11-421.93</f>
        <v>12362.29</v>
      </c>
      <c r="D31" s="43">
        <f>10701.37+410.44</f>
        <v>11111.810000000001</v>
      </c>
      <c r="E31" s="45">
        <f t="shared" si="0"/>
        <v>1250.4799999999996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22038.28+1251.46-487.78</f>
        <v>22801.96</v>
      </c>
      <c r="D33" s="43">
        <f>16898.09+737.03</f>
        <v>17635.12</v>
      </c>
      <c r="E33" s="45">
        <f t="shared" si="0"/>
        <v>5166.84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397122.19</v>
      </c>
      <c r="D39" s="58">
        <f>D20+D21+D22+D23+D24+D25+D26+D28+D35+D36+D37+D38+D27</f>
        <v>298707.71999999997</v>
      </c>
      <c r="E39" s="58">
        <f>E20+E21+E22+E23+E24+E25+E26+E28+E35+E36+E37+E38+E27</f>
        <v>98414.47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09"/>
    </row>
    <row r="42" spans="1:22" ht="15.75" thickBot="1" x14ac:dyDescent="0.3">
      <c r="A42" s="62" t="s">
        <v>30</v>
      </c>
      <c r="B42" s="63">
        <f>B44+B59+B60+B57+B62+B58+B61</f>
        <v>284587.46799564996</v>
      </c>
      <c r="C42" s="64" t="s">
        <v>31</v>
      </c>
      <c r="D42" s="140">
        <f>C39-B42-B62</f>
        <v>111460.73933473132</v>
      </c>
      <c r="E42" s="141" t="s">
        <v>32</v>
      </c>
      <c r="F42" s="142">
        <v>5228898.0599999996</v>
      </c>
      <c r="G42" s="142">
        <f>F42/F48*C8</f>
        <v>64244.564792511272</v>
      </c>
      <c r="H42" s="136"/>
      <c r="I42" s="109"/>
      <c r="J42" s="109"/>
    </row>
    <row r="43" spans="1:22" x14ac:dyDescent="0.25">
      <c r="A43" s="65"/>
      <c r="B43" s="66"/>
      <c r="C43" s="70" t="s">
        <v>31</v>
      </c>
      <c r="D43" s="140"/>
      <c r="E43" s="141" t="s">
        <v>33</v>
      </c>
      <c r="F43" s="142">
        <v>1017312.51</v>
      </c>
      <c r="G43" s="142">
        <f>F43/F48*C8</f>
        <v>12499.153495244707</v>
      </c>
      <c r="H43" s="136"/>
      <c r="I43" s="109"/>
      <c r="J43" s="109"/>
    </row>
    <row r="44" spans="1:22" x14ac:dyDescent="0.25">
      <c r="A44" s="68" t="s">
        <v>34</v>
      </c>
      <c r="B44" s="69">
        <f>B45+B46+B48+B49+B50+B51+B52+B53+B54+B55+B56+B47</f>
        <v>116283.67532603123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2147.9653392374589</v>
      </c>
      <c r="H44" s="136"/>
      <c r="I44" s="109"/>
      <c r="J44" s="109"/>
    </row>
    <row r="45" spans="1:22" x14ac:dyDescent="0.25">
      <c r="A45" s="71" t="s">
        <v>112</v>
      </c>
      <c r="B45" s="72">
        <v>7517.34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2536.631155323862</v>
      </c>
      <c r="H45" s="136"/>
      <c r="I45" s="109"/>
      <c r="J45" s="109"/>
    </row>
    <row r="46" spans="1:22" x14ac:dyDescent="0.25">
      <c r="A46" s="74" t="s">
        <v>37</v>
      </c>
      <c r="B46" s="72">
        <f>(G42+G43)/12*6</f>
        <v>38371.859143877991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625.46479160771628</v>
      </c>
      <c r="H46" s="136"/>
      <c r="I46" s="109"/>
      <c r="J46" s="109"/>
    </row>
    <row r="47" spans="1:22" x14ac:dyDescent="0.25">
      <c r="A47" s="74" t="s">
        <v>39</v>
      </c>
      <c r="B47" s="72">
        <v>6750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85857.284554103782</v>
      </c>
      <c r="H47" s="136"/>
      <c r="I47" s="109"/>
      <c r="J47" s="109"/>
    </row>
    <row r="48" spans="1:22" x14ac:dyDescent="0.25">
      <c r="A48" s="71" t="s">
        <v>40</v>
      </c>
      <c r="B48" s="72">
        <f>G46/12*6+3292.56+580</f>
        <v>4185.2923958038582</v>
      </c>
      <c r="C48" s="73" t="s">
        <v>31</v>
      </c>
      <c r="D48" s="140"/>
      <c r="E48" s="144" t="s">
        <v>41</v>
      </c>
      <c r="F48" s="145">
        <v>111781.73</v>
      </c>
      <c r="G48" s="142"/>
      <c r="H48" s="136"/>
      <c r="I48" s="109"/>
      <c r="J48" s="109"/>
    </row>
    <row r="49" spans="1:12" x14ac:dyDescent="0.25">
      <c r="A49" s="71" t="s">
        <v>42</v>
      </c>
      <c r="B49" s="72">
        <f>G45/12*6+39.4</f>
        <v>1307.7155776619311</v>
      </c>
      <c r="C49" s="73" t="s">
        <v>31</v>
      </c>
      <c r="D49" s="140"/>
      <c r="E49" s="145"/>
      <c r="F49" s="142">
        <f>F46*0.6559</f>
        <v>33389.835709999999</v>
      </c>
      <c r="G49" s="142"/>
      <c r="H49" s="136"/>
      <c r="I49" s="109"/>
      <c r="J49" s="109"/>
    </row>
    <row r="50" spans="1:12" x14ac:dyDescent="0.25">
      <c r="A50" s="71" t="s">
        <v>43</v>
      </c>
      <c r="B50" s="72">
        <f>G47/12*6</f>
        <v>42928.642277051891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36.202008145696084</v>
      </c>
      <c r="H50" s="136"/>
      <c r="I50" s="109"/>
      <c r="J50" s="109"/>
    </row>
    <row r="51" spans="1:12" x14ac:dyDescent="0.25">
      <c r="A51" s="71" t="s">
        <v>44</v>
      </c>
      <c r="B51" s="72">
        <f>F54/12*6</f>
        <v>474.80888771583773</v>
      </c>
      <c r="C51" s="73" t="s">
        <v>31</v>
      </c>
      <c r="D51" s="140"/>
      <c r="E51" s="140"/>
      <c r="F51" s="147"/>
      <c r="G51" s="148"/>
      <c r="H51" s="136"/>
      <c r="I51" s="109"/>
      <c r="J51" s="109"/>
    </row>
    <row r="52" spans="1:12" x14ac:dyDescent="0.25">
      <c r="A52" s="71" t="s">
        <v>45</v>
      </c>
      <c r="B52" s="72">
        <f>G50/12*6</f>
        <v>18.101004072848042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36"/>
      <c r="I52" s="109"/>
      <c r="J52" s="109"/>
    </row>
    <row r="53" spans="1:12" x14ac:dyDescent="0.25">
      <c r="A53" s="71" t="s">
        <v>46</v>
      </c>
      <c r="B53" s="72">
        <v>2782.15</v>
      </c>
      <c r="C53" s="73" t="s">
        <v>31</v>
      </c>
      <c r="D53" s="140"/>
      <c r="E53" s="140" t="s">
        <v>93</v>
      </c>
      <c r="F53" s="147">
        <v>30234.54</v>
      </c>
      <c r="G53" s="148"/>
      <c r="H53" s="136"/>
      <c r="I53" s="109"/>
      <c r="J53" s="109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148</v>
      </c>
      <c r="F54" s="147">
        <f>F52/F53*C8</f>
        <v>949.61777543167534</v>
      </c>
      <c r="G54" s="148"/>
      <c r="H54" s="136"/>
      <c r="I54" s="109"/>
      <c r="J54" s="109"/>
    </row>
    <row r="55" spans="1:12" x14ac:dyDescent="0.25">
      <c r="A55" s="71" t="s">
        <v>48</v>
      </c>
      <c r="B55" s="72">
        <v>2313.39</v>
      </c>
      <c r="C55" s="73" t="s">
        <v>31</v>
      </c>
      <c r="D55" s="114"/>
      <c r="E55" s="114"/>
      <c r="F55" s="152"/>
      <c r="G55" s="109"/>
      <c r="H55" s="109"/>
      <c r="I55" s="109"/>
      <c r="J55" s="109"/>
    </row>
    <row r="56" spans="1:12" x14ac:dyDescent="0.25">
      <c r="A56" s="71" t="s">
        <v>49</v>
      </c>
      <c r="B56" s="72">
        <f>(B46+B47+B48+B49+B50+B52+B53+B54)*0.1</f>
        <v>9634.3760398468512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C80</f>
        <v>0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f>20675</f>
        <v>20675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146554.81</v>
      </c>
      <c r="C59" s="70" t="s">
        <v>31</v>
      </c>
      <c r="D59" s="56"/>
      <c r="E59" s="56"/>
      <c r="F59" s="3"/>
      <c r="I59" s="78" t="s">
        <v>64</v>
      </c>
      <c r="J59" s="129"/>
      <c r="K59" s="78"/>
      <c r="L59" s="129"/>
    </row>
    <row r="60" spans="1:12" x14ac:dyDescent="0.25">
      <c r="A60" s="68" t="s">
        <v>53</v>
      </c>
      <c r="B60" s="69"/>
      <c r="C60" s="70" t="s">
        <v>54</v>
      </c>
      <c r="D60" s="56"/>
      <c r="E60" s="56"/>
      <c r="F60" s="3"/>
      <c r="I60" s="78" t="s">
        <v>66</v>
      </c>
      <c r="J60" s="129"/>
      <c r="K60" s="78"/>
      <c r="L60" s="129"/>
    </row>
    <row r="61" spans="1:12" x14ac:dyDescent="0.25">
      <c r="A61" s="164" t="s">
        <v>113</v>
      </c>
      <c r="B61" s="165">
        <f>C37/1.02</f>
        <v>0</v>
      </c>
      <c r="C61" s="166"/>
      <c r="D61" s="56"/>
      <c r="E61" s="56"/>
      <c r="F61" s="3"/>
      <c r="I61" s="78" t="s">
        <v>67</v>
      </c>
      <c r="J61" s="129"/>
      <c r="K61" s="78"/>
      <c r="L61" s="129"/>
    </row>
    <row r="62" spans="1:12" ht="15.75" thickBot="1" x14ac:dyDescent="0.3">
      <c r="A62" s="75" t="s">
        <v>114</v>
      </c>
      <c r="B62" s="76">
        <f>G44/12*6</f>
        <v>1073.9826696187295</v>
      </c>
      <c r="C62" s="77" t="s">
        <v>31</v>
      </c>
      <c r="D62" s="56"/>
      <c r="E62" s="56"/>
      <c r="F62" s="3"/>
      <c r="I62" s="78" t="s">
        <v>68</v>
      </c>
      <c r="J62" s="129"/>
      <c r="K62" s="78"/>
      <c r="L62" s="129"/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/>
      <c r="K63" s="78"/>
      <c r="L63" s="129"/>
    </row>
    <row r="64" spans="1:12" x14ac:dyDescent="0.25">
      <c r="A64" s="60" t="s">
        <v>98</v>
      </c>
      <c r="B64" s="174">
        <f>C39-C24+B43-B42</f>
        <v>112534.72200435004</v>
      </c>
      <c r="C64" s="56" t="s">
        <v>31</v>
      </c>
      <c r="D64" s="56"/>
      <c r="E64" s="56"/>
      <c r="F64" s="3"/>
      <c r="I64" s="78" t="s">
        <v>70</v>
      </c>
      <c r="J64" s="129"/>
      <c r="K64" s="78"/>
      <c r="L64" s="129"/>
    </row>
    <row r="65" spans="1:12" x14ac:dyDescent="0.25">
      <c r="A65" s="60" t="s">
        <v>99</v>
      </c>
      <c r="B65" s="2">
        <f>B66+B67+B68+B69+B70+B71</f>
        <v>112534.72200435004</v>
      </c>
      <c r="C65" s="56" t="s">
        <v>31</v>
      </c>
      <c r="D65" s="56"/>
      <c r="E65" s="56"/>
      <c r="F65" s="3"/>
      <c r="I65" s="78" t="s">
        <v>71</v>
      </c>
      <c r="J65" s="129"/>
      <c r="K65" s="78"/>
      <c r="L65" s="129"/>
    </row>
    <row r="66" spans="1:12" x14ac:dyDescent="0.25">
      <c r="A66" s="80" t="s">
        <v>58</v>
      </c>
      <c r="B66" s="81">
        <f>C20-B44-B62</f>
        <v>-9892.267995649956</v>
      </c>
      <c r="C66" s="56" t="s">
        <v>31</v>
      </c>
      <c r="D66" s="56"/>
      <c r="E66" s="56"/>
      <c r="F66" s="3"/>
      <c r="I66" s="78" t="s">
        <v>72</v>
      </c>
      <c r="J66" s="129"/>
      <c r="K66" s="78"/>
      <c r="L66" s="129"/>
    </row>
    <row r="67" spans="1:12" x14ac:dyDescent="0.25">
      <c r="A67" s="80" t="s">
        <v>59</v>
      </c>
      <c r="B67" s="81">
        <f>C22-B57</f>
        <v>0</v>
      </c>
      <c r="C67" s="56" t="s">
        <v>31</v>
      </c>
      <c r="D67" s="56"/>
      <c r="E67" s="56"/>
      <c r="F67" s="3"/>
      <c r="I67" s="78" t="s">
        <v>73</v>
      </c>
      <c r="J67" s="129"/>
      <c r="K67" s="78"/>
      <c r="L67" s="129"/>
    </row>
    <row r="68" spans="1:12" x14ac:dyDescent="0.25">
      <c r="A68" s="80" t="s">
        <v>60</v>
      </c>
      <c r="B68" s="81">
        <f>C26-B58</f>
        <v>-20675</v>
      </c>
      <c r="C68" s="56" t="s">
        <v>31</v>
      </c>
      <c r="D68" s="56"/>
      <c r="E68" s="56"/>
      <c r="F68" s="3"/>
      <c r="I68" s="78" t="s">
        <v>74</v>
      </c>
      <c r="J68" s="129"/>
      <c r="K68" s="78"/>
      <c r="L68" s="129"/>
    </row>
    <row r="69" spans="1:12" x14ac:dyDescent="0.25">
      <c r="A69" s="80" t="s">
        <v>61</v>
      </c>
      <c r="B69" s="81">
        <f>C28-B59</f>
        <v>143101.99</v>
      </c>
      <c r="C69" s="56" t="s">
        <v>31</v>
      </c>
      <c r="D69" s="56"/>
      <c r="E69" s="56"/>
      <c r="F69" s="3"/>
      <c r="I69" s="78" t="s">
        <v>75</v>
      </c>
      <c r="J69" s="129">
        <f>70965.35+2871.25</f>
        <v>73836.600000000006</v>
      </c>
      <c r="K69" s="78"/>
      <c r="L69" s="129"/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70342.61+2375.6</f>
        <v>72718.210000000006</v>
      </c>
      <c r="K70" s="86"/>
      <c r="L70" s="130"/>
    </row>
    <row r="71" spans="1:12" x14ac:dyDescent="0.25">
      <c r="A71" s="80" t="s">
        <v>115</v>
      </c>
      <c r="B71" s="81">
        <f>C37-B61</f>
        <v>0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146554.81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143101.99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/>
      <c r="B76" s="43"/>
      <c r="C76" s="124"/>
      <c r="D76" s="115"/>
      <c r="E76" s="116"/>
      <c r="F76" s="117"/>
      <c r="G76" s="109"/>
    </row>
    <row r="77" spans="1:12" x14ac:dyDescent="0.25">
      <c r="A77" s="53"/>
      <c r="B77" s="43"/>
      <c r="C77" s="124"/>
      <c r="D77" s="115"/>
      <c r="E77" s="116"/>
      <c r="F77" s="117"/>
      <c r="G77" s="109"/>
    </row>
    <row r="78" spans="1:12" x14ac:dyDescent="0.25">
      <c r="A78" s="53"/>
      <c r="B78" s="43"/>
      <c r="C78" s="124"/>
      <c r="D78" s="115"/>
      <c r="E78" s="116"/>
      <c r="F78" s="117"/>
      <c r="G78" s="109"/>
    </row>
    <row r="79" spans="1:12" x14ac:dyDescent="0.25">
      <c r="A79" s="53"/>
      <c r="B79" s="43"/>
      <c r="C79" s="124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0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hidden="1" x14ac:dyDescent="0.25">
      <c r="A83" s="60" t="s">
        <v>79</v>
      </c>
      <c r="B83" s="33"/>
      <c r="D83" s="118"/>
      <c r="E83" s="116"/>
      <c r="F83" s="117"/>
      <c r="G83" s="109"/>
    </row>
    <row r="84" spans="1:7" hidden="1" x14ac:dyDescent="0.25">
      <c r="A84" s="60" t="s">
        <v>34</v>
      </c>
      <c r="B84" s="20">
        <f>B44/C8/12</f>
        <v>7.0557057500868412</v>
      </c>
      <c r="C84" s="101" t="s">
        <v>80</v>
      </c>
      <c r="D84" s="118"/>
      <c r="E84" s="116"/>
      <c r="F84" s="117"/>
      <c r="G84" s="109"/>
    </row>
    <row r="85" spans="1:7" hidden="1" x14ac:dyDescent="0.25">
      <c r="A85" s="60" t="s">
        <v>81</v>
      </c>
      <c r="B85" s="20">
        <f>B57/C8/12</f>
        <v>0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82</v>
      </c>
      <c r="B86" s="20">
        <f>B58/C8/12</f>
        <v>1.2544900732974127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62" workbookViewId="0">
      <selection sqref="A1:E9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149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150</v>
      </c>
      <c r="B6" s="11"/>
      <c r="C6" s="11">
        <v>980.2</v>
      </c>
      <c r="D6" s="12">
        <v>40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980.2</v>
      </c>
      <c r="D8" s="18">
        <f>D6</f>
        <v>40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13.95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9.1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40343.58+677.97</f>
        <v>41021.550000000003</v>
      </c>
      <c r="D20" s="40">
        <f>17399.28+0.22</f>
        <v>17399.5</v>
      </c>
      <c r="E20" s="42">
        <f t="shared" ref="E20:E38" si="0">C20-D20+B20</f>
        <v>23622.050000000003</v>
      </c>
      <c r="F20" s="137">
        <f>C20+F22</f>
        <v>67781.010000000009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f>26317.2+442.26</f>
        <v>26759.46</v>
      </c>
      <c r="D22" s="43">
        <f>11350.02+0.15</f>
        <v>11350.17</v>
      </c>
      <c r="E22" s="45">
        <f t="shared" si="0"/>
        <v>15409.289999999999</v>
      </c>
      <c r="F22" s="137">
        <f>C22</f>
        <v>26759.46</v>
      </c>
      <c r="G22" s="139">
        <f>F22*G20/F20</f>
        <v>39.479287782817039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</f>
        <v>121914.84</v>
      </c>
      <c r="D28" s="50">
        <f>D29+D30+D31+D33+D32</f>
        <v>51534.96</v>
      </c>
      <c r="E28" s="51">
        <f>C28-D28+B28</f>
        <v>70379.88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>
        <f>72589.2+1219.86</f>
        <v>73809.06</v>
      </c>
      <c r="D29" s="40">
        <f>31306.11+0.4</f>
        <v>31306.510000000002</v>
      </c>
      <c r="E29" s="42">
        <f t="shared" si="0"/>
        <v>42502.549999999996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>
        <f>872.48+28647.64</f>
        <v>29520.12</v>
      </c>
      <c r="D30" s="43">
        <f>407.54+12024.36+0.03</f>
        <v>12431.930000000002</v>
      </c>
      <c r="E30" s="45">
        <f t="shared" si="0"/>
        <v>17088.189999999995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f>6697.14</f>
        <v>6697.14</v>
      </c>
      <c r="D31" s="43">
        <f>2806.08+0.02</f>
        <v>2806.1</v>
      </c>
      <c r="E31" s="45">
        <f t="shared" si="0"/>
        <v>3891.0400000000004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11888.52</f>
        <v>11888.52</v>
      </c>
      <c r="D33" s="43">
        <f>4990.4+0.02</f>
        <v>4990.42</v>
      </c>
      <c r="E33" s="45">
        <f t="shared" si="0"/>
        <v>6898.1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189695.85</v>
      </c>
      <c r="D39" s="58">
        <f>D20+D21+D22+D23+D24+D25+D26+D28+D35+D36+D37+D38+D27</f>
        <v>80284.63</v>
      </c>
      <c r="E39" s="58">
        <f>E20+E21+E22+E23+E24+E25+E26+E28+E35+E36+E37+E38+E27</f>
        <v>109411.22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14"/>
      <c r="E40" s="114"/>
      <c r="F40" s="152"/>
      <c r="G40" s="109"/>
      <c r="H40" s="109"/>
      <c r="I40" s="109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144133.00676595894</v>
      </c>
      <c r="C42" s="64" t="s">
        <v>31</v>
      </c>
      <c r="D42" s="140">
        <f>C39-B42-B62</f>
        <v>45179.590790193579</v>
      </c>
      <c r="E42" s="141" t="s">
        <v>32</v>
      </c>
      <c r="F42" s="142">
        <v>5228898.0599999996</v>
      </c>
      <c r="G42" s="142">
        <f>F42/F48*C8</f>
        <v>45851.552650079764</v>
      </c>
      <c r="H42" s="109"/>
      <c r="I42" s="109"/>
      <c r="J42" s="168"/>
    </row>
    <row r="43" spans="1:22" x14ac:dyDescent="0.25">
      <c r="A43" s="65"/>
      <c r="B43" s="66"/>
      <c r="C43" s="70" t="s">
        <v>31</v>
      </c>
      <c r="D43" s="140"/>
      <c r="E43" s="141" t="s">
        <v>33</v>
      </c>
      <c r="F43" s="142">
        <v>1017312.51</v>
      </c>
      <c r="G43" s="142">
        <f>F43/F48*C8</f>
        <v>8920.6860754615282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38529.01432211147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1533.0097753899499</v>
      </c>
      <c r="H44" s="109"/>
      <c r="I44" s="109"/>
      <c r="J44" s="168"/>
      <c r="K44" s="106"/>
    </row>
    <row r="45" spans="1:22" x14ac:dyDescent="0.25">
      <c r="A45" s="71" t="s">
        <v>112</v>
      </c>
      <c r="B45" s="72"/>
      <c r="C45" s="73" t="s">
        <v>31</v>
      </c>
      <c r="D45" s="140"/>
      <c r="E45" s="141" t="s">
        <v>18</v>
      </c>
      <c r="F45" s="142">
        <v>206457.71</v>
      </c>
      <c r="G45" s="142">
        <f>F45/F48*C8</f>
        <v>1810.4018191702705</v>
      </c>
      <c r="H45" s="109"/>
      <c r="I45" s="109"/>
      <c r="J45" s="168"/>
    </row>
    <row r="46" spans="1:22" x14ac:dyDescent="0.25">
      <c r="A46" s="74" t="s">
        <v>37</v>
      </c>
      <c r="B46" s="72">
        <f>(G42+G43)/12*3</f>
        <v>13693.059681385323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446.39623469774534</v>
      </c>
      <c r="H46" s="109"/>
      <c r="I46" s="109"/>
      <c r="J46" s="168"/>
    </row>
    <row r="47" spans="1:22" x14ac:dyDescent="0.25">
      <c r="A47" s="74" t="s">
        <v>39</v>
      </c>
      <c r="B47" s="72">
        <v>2700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61276.620299936316</v>
      </c>
      <c r="H47" s="109"/>
      <c r="I47" s="109"/>
      <c r="J47" s="168"/>
    </row>
    <row r="48" spans="1:22" x14ac:dyDescent="0.25">
      <c r="A48" s="71" t="s">
        <v>40</v>
      </c>
      <c r="B48" s="72">
        <f>G46/12*3+1359.07+160</f>
        <v>1630.6690586744362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G45/12*3</f>
        <v>452.60045479256769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G47/12*3</f>
        <v>15319.155074984079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25.837489722157642</v>
      </c>
      <c r="H50" s="109"/>
      <c r="I50" s="109"/>
      <c r="J50" s="168"/>
    </row>
    <row r="51" spans="1:12" x14ac:dyDescent="0.25">
      <c r="A51" s="71" t="s">
        <v>44</v>
      </c>
      <c r="B51" s="72">
        <f>F54/12*3</f>
        <v>169.43631561783315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G50/12*3</f>
        <v>6.4593724305394105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/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151</v>
      </c>
      <c r="F54" s="147">
        <f>F52/F53*C8</f>
        <v>677.74526247133258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1177.44</v>
      </c>
      <c r="C55" s="73" t="s">
        <v>31</v>
      </c>
      <c r="D55" s="140"/>
      <c r="E55" s="140"/>
      <c r="F55" s="169"/>
      <c r="G55" s="136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3380.1943642266947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C80</f>
        <v>0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/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105220.73999999999</v>
      </c>
      <c r="C59" s="70" t="s">
        <v>31</v>
      </c>
      <c r="D59" s="56"/>
      <c r="E59" s="56"/>
      <c r="F59" s="3"/>
      <c r="I59" s="78" t="s">
        <v>64</v>
      </c>
      <c r="J59" s="129"/>
      <c r="K59" s="78"/>
      <c r="L59" s="129"/>
    </row>
    <row r="60" spans="1:12" x14ac:dyDescent="0.25">
      <c r="A60" s="68" t="s">
        <v>53</v>
      </c>
      <c r="B60" s="69"/>
      <c r="C60" s="70" t="s">
        <v>54</v>
      </c>
      <c r="D60" s="56"/>
      <c r="E60" s="56"/>
      <c r="F60" s="3"/>
      <c r="I60" s="78" t="s">
        <v>66</v>
      </c>
      <c r="J60" s="129"/>
      <c r="K60" s="78"/>
      <c r="L60" s="129"/>
    </row>
    <row r="61" spans="1:12" x14ac:dyDescent="0.25">
      <c r="A61" s="164" t="s">
        <v>113</v>
      </c>
      <c r="B61" s="165">
        <f>C37/1.02</f>
        <v>0</v>
      </c>
      <c r="C61" s="166"/>
      <c r="D61" s="56"/>
      <c r="E61" s="56"/>
      <c r="F61" s="3"/>
      <c r="I61" s="78" t="s">
        <v>67</v>
      </c>
      <c r="J61" s="129"/>
      <c r="K61" s="78"/>
      <c r="L61" s="129"/>
    </row>
    <row r="62" spans="1:12" ht="15.75" thickBot="1" x14ac:dyDescent="0.3">
      <c r="A62" s="75" t="s">
        <v>114</v>
      </c>
      <c r="B62" s="76">
        <f>G44/12*3</f>
        <v>383.25244384748748</v>
      </c>
      <c r="C62" s="77" t="s">
        <v>31</v>
      </c>
      <c r="D62" s="56"/>
      <c r="E62" s="56"/>
      <c r="F62" s="3"/>
      <c r="I62" s="78" t="s">
        <v>68</v>
      </c>
      <c r="J62" s="129"/>
      <c r="K62" s="78"/>
      <c r="L62" s="129"/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/>
      <c r="K63" s="78"/>
      <c r="L63" s="129"/>
    </row>
    <row r="64" spans="1:12" x14ac:dyDescent="0.25">
      <c r="A64" s="60" t="s">
        <v>98</v>
      </c>
      <c r="B64" s="174">
        <f>C39-C24+B43-B42</f>
        <v>45562.843234041065</v>
      </c>
      <c r="C64" s="56" t="s">
        <v>31</v>
      </c>
      <c r="D64" s="56"/>
      <c r="E64" s="56"/>
      <c r="F64" s="3"/>
      <c r="I64" s="78" t="s">
        <v>70</v>
      </c>
      <c r="J64" s="129"/>
      <c r="K64" s="78"/>
      <c r="L64" s="129"/>
    </row>
    <row r="65" spans="1:12" x14ac:dyDescent="0.25">
      <c r="A65" s="60" t="s">
        <v>99</v>
      </c>
      <c r="B65" s="2">
        <f>B66+B67+B68+B69+B70+B71</f>
        <v>45562.843234041051</v>
      </c>
      <c r="C65" s="56" t="s">
        <v>31</v>
      </c>
      <c r="D65" s="56"/>
      <c r="E65" s="56"/>
      <c r="F65" s="3"/>
      <c r="I65" s="78" t="s">
        <v>71</v>
      </c>
      <c r="J65" s="129"/>
      <c r="K65" s="78"/>
      <c r="L65" s="129"/>
    </row>
    <row r="66" spans="1:12" x14ac:dyDescent="0.25">
      <c r="A66" s="80" t="s">
        <v>58</v>
      </c>
      <c r="B66" s="81">
        <f>C20-B44-B62</f>
        <v>2109.283234041045</v>
      </c>
      <c r="C66" s="56" t="s">
        <v>31</v>
      </c>
      <c r="D66" s="56"/>
      <c r="E66" s="56"/>
      <c r="F66" s="3"/>
      <c r="I66" s="78" t="s">
        <v>72</v>
      </c>
      <c r="J66" s="129"/>
      <c r="K66" s="78"/>
      <c r="L66" s="129"/>
    </row>
    <row r="67" spans="1:12" x14ac:dyDescent="0.25">
      <c r="A67" s="80" t="s">
        <v>59</v>
      </c>
      <c r="B67" s="81">
        <f>C22-B57</f>
        <v>26759.46</v>
      </c>
      <c r="C67" s="56" t="s">
        <v>31</v>
      </c>
      <c r="D67" s="56"/>
      <c r="E67" s="56"/>
      <c r="F67" s="3"/>
      <c r="I67" s="78" t="s">
        <v>73</v>
      </c>
      <c r="J67" s="129"/>
      <c r="K67" s="78"/>
      <c r="L67" s="129"/>
    </row>
    <row r="68" spans="1:12" x14ac:dyDescent="0.25">
      <c r="A68" s="80" t="s">
        <v>60</v>
      </c>
      <c r="B68" s="81">
        <f>C26-B58</f>
        <v>0</v>
      </c>
      <c r="C68" s="56" t="s">
        <v>31</v>
      </c>
      <c r="D68" s="56"/>
      <c r="E68" s="56"/>
      <c r="F68" s="3"/>
      <c r="I68" s="78" t="s">
        <v>74</v>
      </c>
      <c r="J68" s="129"/>
      <c r="K68" s="78"/>
      <c r="L68" s="129"/>
    </row>
    <row r="69" spans="1:12" x14ac:dyDescent="0.25">
      <c r="A69" s="80" t="s">
        <v>61</v>
      </c>
      <c r="B69" s="81">
        <f>C28-B59</f>
        <v>16694.100000000006</v>
      </c>
      <c r="C69" s="56" t="s">
        <v>31</v>
      </c>
      <c r="D69" s="56"/>
      <c r="E69" s="56"/>
      <c r="F69" s="3"/>
      <c r="I69" s="78" t="s">
        <v>75</v>
      </c>
      <c r="J69" s="129">
        <f>41017.7+1944.11</f>
        <v>42961.81</v>
      </c>
      <c r="K69" s="78"/>
      <c r="L69" s="129"/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60036.59+2222.34</f>
        <v>62258.929999999993</v>
      </c>
      <c r="K70" s="86"/>
      <c r="L70" s="130"/>
    </row>
    <row r="71" spans="1:12" x14ac:dyDescent="0.25">
      <c r="A71" s="80" t="s">
        <v>115</v>
      </c>
      <c r="B71" s="81">
        <f>C37-B61</f>
        <v>0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105220.73999999999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16694.100000000006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/>
      <c r="B76" s="43"/>
      <c r="C76" s="124"/>
      <c r="D76" s="115"/>
      <c r="E76" s="116"/>
      <c r="F76" s="117"/>
      <c r="G76" s="109"/>
    </row>
    <row r="77" spans="1:12" hidden="1" x14ac:dyDescent="0.25">
      <c r="A77" s="53"/>
      <c r="B77" s="43"/>
      <c r="C77" s="124"/>
      <c r="D77" s="115"/>
      <c r="E77" s="116"/>
      <c r="F77" s="117"/>
      <c r="G77" s="109"/>
    </row>
    <row r="78" spans="1:12" hidden="1" x14ac:dyDescent="0.25">
      <c r="A78" s="53"/>
      <c r="B78" s="43"/>
      <c r="C78" s="124"/>
      <c r="D78" s="115"/>
      <c r="E78" s="116"/>
      <c r="F78" s="117"/>
      <c r="G78" s="109"/>
    </row>
    <row r="79" spans="1:12" hidden="1" x14ac:dyDescent="0.25">
      <c r="A79" s="53"/>
      <c r="B79" s="43"/>
      <c r="C79" s="124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0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hidden="1" x14ac:dyDescent="0.25">
      <c r="A83" s="60" t="s">
        <v>79</v>
      </c>
      <c r="B83" s="33"/>
      <c r="D83" s="118"/>
      <c r="E83" s="116"/>
      <c r="F83" s="117"/>
      <c r="G83" s="109"/>
    </row>
    <row r="84" spans="1:7" hidden="1" x14ac:dyDescent="0.25">
      <c r="A84" s="60" t="s">
        <v>34</v>
      </c>
      <c r="B84" s="20">
        <f>B44/C8/12</f>
        <v>3.2756082365938473</v>
      </c>
      <c r="C84" s="101" t="s">
        <v>80</v>
      </c>
      <c r="D84" s="118"/>
      <c r="E84" s="116"/>
      <c r="F84" s="117"/>
      <c r="G84" s="109"/>
    </row>
    <row r="85" spans="1:7" hidden="1" x14ac:dyDescent="0.25">
      <c r="A85" s="60" t="s">
        <v>81</v>
      </c>
      <c r="B85" s="20">
        <f>B57/C8/12</f>
        <v>0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82</v>
      </c>
      <c r="B86" s="20">
        <f>B58/C8/12</f>
        <v>0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59" workbookViewId="0">
      <selection sqref="A1:E91"/>
    </sheetView>
  </sheetViews>
  <sheetFormatPr defaultRowHeight="15" x14ac:dyDescent="0.25"/>
  <cols>
    <col min="1" max="1" width="51.2851562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153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ht="15.75" thickBot="1" x14ac:dyDescent="0.3">
      <c r="A6" s="10" t="s">
        <v>152</v>
      </c>
      <c r="B6" s="11"/>
      <c r="C6" s="11">
        <v>1253.9000000000001</v>
      </c>
      <c r="D6" s="12">
        <v>48</v>
      </c>
      <c r="L6" s="125"/>
      <c r="M6" s="125"/>
      <c r="N6" s="125"/>
      <c r="O6" s="125"/>
    </row>
    <row r="7" spans="1:22" x14ac:dyDescent="0.25">
      <c r="A7" s="10" t="s">
        <v>154</v>
      </c>
      <c r="B7" s="14"/>
      <c r="C7" s="14">
        <v>214.3</v>
      </c>
      <c r="D7" s="15">
        <v>2</v>
      </c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1468.2</v>
      </c>
      <c r="D8" s="18">
        <f>D6</f>
        <v>48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13.84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6.6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0.18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78084.17</v>
      </c>
      <c r="C20" s="41">
        <f>243838.56+925.9</f>
        <v>244764.46</v>
      </c>
      <c r="D20" s="40">
        <f>223950.23+4098.82</f>
        <v>228049.05000000002</v>
      </c>
      <c r="E20" s="42">
        <f t="shared" ref="E20:E38" si="0">C20-D20+B20</f>
        <v>94799.579999999973</v>
      </c>
      <c r="F20" s="137">
        <f>C20+F22</f>
        <v>361487.44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38054.870000000003</v>
      </c>
      <c r="C22" s="44">
        <f>116281.44+441.54</f>
        <v>116722.98</v>
      </c>
      <c r="D22" s="43">
        <f>107361.84+1954.65</f>
        <v>109316.48999999999</v>
      </c>
      <c r="E22" s="45">
        <f t="shared" si="0"/>
        <v>45461.360000000008</v>
      </c>
      <c r="F22" s="137">
        <f>C22</f>
        <v>116722.98</v>
      </c>
      <c r="G22" s="139">
        <f>F22*G20/F20</f>
        <v>32.289636397878724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>
        <v>70701.100000000006</v>
      </c>
      <c r="C24" s="44"/>
      <c r="D24" s="44">
        <v>78877.81</v>
      </c>
      <c r="E24" s="45">
        <f t="shared" si="0"/>
        <v>-8176.7099999999919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1026.25</v>
      </c>
      <c r="C26" s="44">
        <f>3171.24+12.04</f>
        <v>3183.2799999999997</v>
      </c>
      <c r="D26" s="44">
        <f>2910.68+53.31</f>
        <v>2963.99</v>
      </c>
      <c r="E26" s="45">
        <f t="shared" si="0"/>
        <v>1245.54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182934.47</v>
      </c>
      <c r="C28" s="50">
        <f>C29+C30+C31+C33</f>
        <v>613091.97</v>
      </c>
      <c r="D28" s="50">
        <f>D29+D30+D31+D33+D32</f>
        <v>551390.99</v>
      </c>
      <c r="E28" s="51">
        <f>C28-D28+B28</f>
        <v>244635.44999999998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127129.66</v>
      </c>
      <c r="C29" s="40">
        <f>416891.13-1262.89</f>
        <v>415628.24</v>
      </c>
      <c r="D29" s="40">
        <f>347832.69+6379.95</f>
        <v>354212.64</v>
      </c>
      <c r="E29" s="42">
        <f t="shared" si="0"/>
        <v>188545.25999999998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1014.9+28251.43</f>
        <v>29266.33</v>
      </c>
      <c r="C30" s="43">
        <f>55018.85+79960.39+713.68-595.87-564.59-2691.38</f>
        <v>131841.07999999999</v>
      </c>
      <c r="D30" s="43">
        <f>34119.82+823.3+87591.08+2409.13</f>
        <v>124943.33000000002</v>
      </c>
      <c r="E30" s="45">
        <f t="shared" si="0"/>
        <v>36164.079999999973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7393.81</v>
      </c>
      <c r="C31" s="43">
        <f>20840.62-373.37-160.6</f>
        <v>20306.650000000001</v>
      </c>
      <c r="D31" s="43">
        <f>22280.57+520.37</f>
        <v>22800.94</v>
      </c>
      <c r="E31" s="45">
        <f t="shared" si="0"/>
        <v>4899.5200000000032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>
        <v>-97.93</v>
      </c>
      <c r="C32" s="43"/>
      <c r="D32" s="43"/>
      <c r="E32" s="45">
        <f t="shared" si="0"/>
        <v>-97.93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19242.599999999999</v>
      </c>
      <c r="C33" s="43">
        <f>45670.69+68-422.69</f>
        <v>45316</v>
      </c>
      <c r="D33" s="43">
        <f>48207.84+1226.24</f>
        <v>49434.079999999994</v>
      </c>
      <c r="E33" s="45">
        <f t="shared" si="0"/>
        <v>15124.520000000004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>
        <f>-213.39+2008.13</f>
        <v>1794.7400000000002</v>
      </c>
      <c r="C37" s="44">
        <v>6204.36</v>
      </c>
      <c r="D37" s="44">
        <v>5964.59</v>
      </c>
      <c r="E37" s="45">
        <f t="shared" si="0"/>
        <v>2034.5099999999998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372595.6</v>
      </c>
      <c r="C39" s="58">
        <f>C20+C21+C22+C23+C24+C25+C26+C28+C35+C36+C37+C38</f>
        <v>983967.04999999993</v>
      </c>
      <c r="D39" s="58">
        <f>D20+D21+D22+D23+D24+D25+D26+D28+D35+D36+D37+D38+D27</f>
        <v>976562.92</v>
      </c>
      <c r="E39" s="58">
        <f>E20+E21+E22+E23+E24+E25+E26+E28+E35+E36+E37+E38+E27</f>
        <v>379999.73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09"/>
    </row>
    <row r="42" spans="1:22" ht="15.75" thickBot="1" x14ac:dyDescent="0.3">
      <c r="A42" s="62" t="s">
        <v>30</v>
      </c>
      <c r="B42" s="63">
        <f>B44+B59+B60+B57+B62+B58+B61</f>
        <v>924742.03978698864</v>
      </c>
      <c r="C42" s="64" t="s">
        <v>31</v>
      </c>
      <c r="D42" s="140">
        <f>C39-B42-B62</f>
        <v>56928.779900597983</v>
      </c>
      <c r="E42" s="141" t="s">
        <v>32</v>
      </c>
      <c r="F42" s="142">
        <v>5228898.0599999996</v>
      </c>
      <c r="G42" s="142">
        <f>F42/F48*C8</f>
        <v>68679.095695620388</v>
      </c>
      <c r="H42" s="136"/>
      <c r="I42" s="109"/>
      <c r="J42" s="109"/>
    </row>
    <row r="43" spans="1:22" x14ac:dyDescent="0.25">
      <c r="A43" s="65" t="s">
        <v>92</v>
      </c>
      <c r="B43" s="66">
        <v>-36860.07</v>
      </c>
      <c r="C43" s="70" t="s">
        <v>31</v>
      </c>
      <c r="D43" s="140"/>
      <c r="E43" s="141" t="s">
        <v>33</v>
      </c>
      <c r="F43" s="142">
        <v>1017312.51</v>
      </c>
      <c r="G43" s="142">
        <f>F43/F48*C8</f>
        <v>13361.917257694977</v>
      </c>
      <c r="H43" s="136"/>
      <c r="I43" s="109"/>
      <c r="J43" s="109"/>
    </row>
    <row r="44" spans="1:22" x14ac:dyDescent="0.25">
      <c r="A44" s="68" t="s">
        <v>34</v>
      </c>
      <c r="B44" s="69">
        <f>B45+B46+B48+B49+B50+B51+B52+B53+B54+B55+B56+B47</f>
        <v>286255.54359222227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2296.2303124133077</v>
      </c>
      <c r="H44" s="136"/>
      <c r="I44" s="109"/>
      <c r="J44" s="109"/>
    </row>
    <row r="45" spans="1:22" x14ac:dyDescent="0.25">
      <c r="A45" s="71" t="s">
        <v>112</v>
      </c>
      <c r="B45" s="72">
        <v>46141.87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2711.7240878451248</v>
      </c>
      <c r="H45" s="136"/>
      <c r="I45" s="109"/>
      <c r="J45" s="109"/>
    </row>
    <row r="46" spans="1:22" x14ac:dyDescent="0.25">
      <c r="A46" s="74" t="s">
        <v>37</v>
      </c>
      <c r="B46" s="72">
        <f>G42+G43</f>
        <v>82041.012953315367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668.63798386373162</v>
      </c>
      <c r="H46" s="136"/>
      <c r="I46" s="109"/>
      <c r="J46" s="109"/>
    </row>
    <row r="47" spans="1:22" x14ac:dyDescent="0.25">
      <c r="A47" s="74" t="s">
        <v>39</v>
      </c>
      <c r="B47" s="72">
        <v>8550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91783.650198292686</v>
      </c>
      <c r="H47" s="136"/>
      <c r="I47" s="109"/>
      <c r="J47" s="109"/>
    </row>
    <row r="48" spans="1:22" x14ac:dyDescent="0.25">
      <c r="A48" s="71" t="s">
        <v>40</v>
      </c>
      <c r="B48" s="72">
        <f>G46+12436.17+40.5+560</f>
        <v>13705.307983863731</v>
      </c>
      <c r="C48" s="73" t="s">
        <v>31</v>
      </c>
      <c r="D48" s="140"/>
      <c r="E48" s="144" t="s">
        <v>41</v>
      </c>
      <c r="F48" s="145">
        <v>111781.73</v>
      </c>
      <c r="G48" s="142"/>
      <c r="H48" s="136"/>
      <c r="I48" s="109"/>
      <c r="J48" s="109"/>
    </row>
    <row r="49" spans="1:12" x14ac:dyDescent="0.25">
      <c r="A49" s="71" t="s">
        <v>42</v>
      </c>
      <c r="B49" s="72">
        <f>G45+22.35</f>
        <v>2734.0740878451247</v>
      </c>
      <c r="C49" s="73" t="s">
        <v>31</v>
      </c>
      <c r="D49" s="140"/>
      <c r="E49" s="145"/>
      <c r="F49" s="142">
        <f>F46*0.6559</f>
        <v>33389.835709999999</v>
      </c>
      <c r="G49" s="142"/>
      <c r="H49" s="136"/>
      <c r="I49" s="109"/>
      <c r="J49" s="109"/>
    </row>
    <row r="50" spans="1:12" x14ac:dyDescent="0.25">
      <c r="A50" s="71" t="s">
        <v>43</v>
      </c>
      <c r="B50" s="72">
        <f>G47</f>
        <v>91783.650198292686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38.700879830720105</v>
      </c>
      <c r="H50" s="136"/>
      <c r="I50" s="109"/>
      <c r="J50" s="109"/>
    </row>
    <row r="51" spans="1:12" x14ac:dyDescent="0.25">
      <c r="A51" s="71" t="s">
        <v>44</v>
      </c>
      <c r="B51" s="72">
        <f>F54</f>
        <v>1015.1658787598556</v>
      </c>
      <c r="C51" s="73" t="s">
        <v>31</v>
      </c>
      <c r="D51" s="140"/>
      <c r="E51" s="140"/>
      <c r="F51" s="147"/>
      <c r="G51" s="148"/>
      <c r="H51" s="136"/>
      <c r="I51" s="109"/>
      <c r="J51" s="109"/>
    </row>
    <row r="52" spans="1:12" x14ac:dyDescent="0.25">
      <c r="A52" s="71" t="s">
        <v>45</v>
      </c>
      <c r="B52" s="72">
        <f>G50</f>
        <v>38.700879830720105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36"/>
      <c r="I52" s="109"/>
      <c r="J52" s="109"/>
    </row>
    <row r="53" spans="1:12" x14ac:dyDescent="0.25">
      <c r="A53" s="71" t="s">
        <v>46</v>
      </c>
      <c r="B53" s="72">
        <f>4862.01+9984.96</f>
        <v>14846.97</v>
      </c>
      <c r="C53" s="73" t="s">
        <v>31</v>
      </c>
      <c r="D53" s="140"/>
      <c r="E53" s="140" t="s">
        <v>93</v>
      </c>
      <c r="F53" s="147">
        <v>30234.54</v>
      </c>
      <c r="G53" s="148"/>
      <c r="H53" s="136"/>
      <c r="I53" s="109"/>
      <c r="J53" s="109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155</v>
      </c>
      <c r="F54" s="147">
        <f>F52/F53*C8</f>
        <v>1015.1658787598556</v>
      </c>
      <c r="G54" s="148"/>
      <c r="H54" s="136"/>
      <c r="I54" s="109"/>
      <c r="J54" s="109"/>
    </row>
    <row r="55" spans="1:12" x14ac:dyDescent="0.25">
      <c r="A55" s="71" t="s">
        <v>48</v>
      </c>
      <c r="B55" s="72">
        <v>4028.82</v>
      </c>
      <c r="C55" s="73" t="s">
        <v>31</v>
      </c>
      <c r="D55" s="114"/>
      <c r="E55" s="114"/>
      <c r="F55" s="152"/>
      <c r="G55" s="109"/>
      <c r="H55" s="109"/>
      <c r="I55" s="109"/>
      <c r="J55" s="109"/>
    </row>
    <row r="56" spans="1:12" x14ac:dyDescent="0.25">
      <c r="A56" s="71" t="s">
        <v>49</v>
      </c>
      <c r="B56" s="72">
        <f>(B46+B47+B48+B49+B50+B52+B53+B54)*0.1</f>
        <v>21369.971610314766</v>
      </c>
      <c r="C56" s="73" t="s">
        <v>31</v>
      </c>
      <c r="D56" s="114"/>
      <c r="E56" s="114"/>
      <c r="F56" s="152"/>
      <c r="G56" s="109"/>
      <c r="H56" s="109"/>
      <c r="I56" s="109"/>
      <c r="J56" s="109"/>
    </row>
    <row r="57" spans="1:12" x14ac:dyDescent="0.25">
      <c r="A57" s="68" t="s">
        <v>50</v>
      </c>
      <c r="B57" s="69">
        <f>C80</f>
        <v>33892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2204.8000000000002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594010.76000000013</v>
      </c>
      <c r="C59" s="70" t="s">
        <v>31</v>
      </c>
      <c r="D59" s="56"/>
      <c r="E59" s="56"/>
      <c r="F59" s="3"/>
      <c r="I59" s="78" t="s">
        <v>64</v>
      </c>
      <c r="J59" s="129">
        <f>73660.92+2823.87</f>
        <v>76484.789999999994</v>
      </c>
      <c r="K59" s="78"/>
      <c r="L59" s="129">
        <f>154.88+247.07+2426.38+4890.25</f>
        <v>7718.58</v>
      </c>
    </row>
    <row r="60" spans="1:12" x14ac:dyDescent="0.25">
      <c r="A60" s="68" t="s">
        <v>53</v>
      </c>
      <c r="B60" s="69"/>
      <c r="C60" s="70" t="s">
        <v>54</v>
      </c>
      <c r="D60" s="56"/>
      <c r="E60" s="56"/>
      <c r="F60" s="3"/>
      <c r="I60" s="78" t="s">
        <v>66</v>
      </c>
      <c r="J60" s="129">
        <f>64264.97+4176.43</f>
        <v>68441.399999999994</v>
      </c>
      <c r="K60" s="78"/>
      <c r="L60" s="129">
        <f>154.88+247.07+958.75+3194.85</f>
        <v>4555.55</v>
      </c>
    </row>
    <row r="61" spans="1:12" x14ac:dyDescent="0.25">
      <c r="A61" s="164" t="s">
        <v>113</v>
      </c>
      <c r="B61" s="165">
        <f>C37/1.02</f>
        <v>6082.7058823529405</v>
      </c>
      <c r="C61" s="166"/>
      <c r="D61" s="56"/>
      <c r="E61" s="56"/>
      <c r="F61" s="3"/>
      <c r="I61" s="78" t="s">
        <v>67</v>
      </c>
      <c r="J61" s="129">
        <f>49231.23+2928.22</f>
        <v>52159.450000000004</v>
      </c>
      <c r="K61" s="78"/>
      <c r="L61" s="129">
        <f>154.88+247.07+1806.88+3859.38</f>
        <v>6068.21</v>
      </c>
    </row>
    <row r="62" spans="1:12" ht="15.75" thickBot="1" x14ac:dyDescent="0.3">
      <c r="A62" s="75" t="s">
        <v>114</v>
      </c>
      <c r="B62" s="76">
        <f>G44</f>
        <v>2296.2303124133077</v>
      </c>
      <c r="C62" s="77" t="s">
        <v>31</v>
      </c>
      <c r="D62" s="56"/>
      <c r="E62" s="56"/>
      <c r="F62" s="3"/>
      <c r="I62" s="78" t="s">
        <v>68</v>
      </c>
      <c r="J62" s="129">
        <f>27290.26+3556.56</f>
        <v>30846.82</v>
      </c>
      <c r="K62" s="78"/>
      <c r="L62" s="129">
        <f>154.88+247.07+1283.25+3629.35</f>
        <v>5314.55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19309.86+2955.43</f>
        <v>22265.29</v>
      </c>
      <c r="K63" s="78"/>
      <c r="L63" s="129">
        <f>154.88+247.07+1585.63+6193.75</f>
        <v>8181.33</v>
      </c>
    </row>
    <row r="64" spans="1:12" x14ac:dyDescent="0.25">
      <c r="A64" s="60" t="s">
        <v>98</v>
      </c>
      <c r="B64" s="174">
        <f>C39-C24+B43-B42</f>
        <v>22364.940213011345</v>
      </c>
      <c r="C64" s="56" t="s">
        <v>31</v>
      </c>
      <c r="D64" s="56"/>
      <c r="E64" s="56"/>
      <c r="F64" s="3"/>
      <c r="I64" s="78" t="s">
        <v>70</v>
      </c>
      <c r="J64" s="129">
        <f>10097.81+1828.91</f>
        <v>11926.72</v>
      </c>
      <c r="K64" s="78"/>
      <c r="L64" s="129">
        <f>154.88+247.07+1607.75+3561.19</f>
        <v>5570.89</v>
      </c>
    </row>
    <row r="65" spans="1:12" x14ac:dyDescent="0.25">
      <c r="A65" s="60" t="s">
        <v>99</v>
      </c>
      <c r="B65" s="2">
        <f>B66+B67+B68+B69+B70+B71</f>
        <v>59225.010213011315</v>
      </c>
      <c r="C65" s="56" t="s">
        <v>31</v>
      </c>
      <c r="D65" s="56"/>
      <c r="E65" s="56"/>
      <c r="F65" s="3"/>
      <c r="I65" s="78" t="s">
        <v>71</v>
      </c>
      <c r="J65" s="129">
        <f>623.05+20466.71+1730.2</f>
        <v>22819.96</v>
      </c>
      <c r="K65" s="78"/>
      <c r="L65" s="129">
        <f>164.04+261.44+1070.19+2334.94</f>
        <v>3830.61</v>
      </c>
    </row>
    <row r="66" spans="1:12" x14ac:dyDescent="0.25">
      <c r="A66" s="80" t="s">
        <v>58</v>
      </c>
      <c r="B66" s="81">
        <f>C20-B44-B62</f>
        <v>-43787.313904635586</v>
      </c>
      <c r="C66" s="56" t="s">
        <v>31</v>
      </c>
      <c r="D66" s="56"/>
      <c r="E66" s="56"/>
      <c r="F66" s="3"/>
      <c r="I66" s="78" t="s">
        <v>72</v>
      </c>
      <c r="J66" s="129">
        <f>20466.71+1905.18</f>
        <v>22371.89</v>
      </c>
      <c r="K66" s="78"/>
      <c r="L66" s="129">
        <f>164.04+261.44+1351.41+2911.91</f>
        <v>4688.8</v>
      </c>
    </row>
    <row r="67" spans="1:12" x14ac:dyDescent="0.25">
      <c r="A67" s="80" t="s">
        <v>59</v>
      </c>
      <c r="B67" s="81">
        <f>C22-B57</f>
        <v>82830.98</v>
      </c>
      <c r="C67" s="56" t="s">
        <v>31</v>
      </c>
      <c r="D67" s="56"/>
      <c r="E67" s="56"/>
      <c r="F67" s="3"/>
      <c r="I67" s="78" t="s">
        <v>73</v>
      </c>
      <c r="J67" s="129">
        <f>18524.42+1919.71</f>
        <v>20444.129999999997</v>
      </c>
      <c r="K67" s="78"/>
      <c r="L67" s="129">
        <f>173.21+276.16+1385.7+3028.19</f>
        <v>4863.26</v>
      </c>
    </row>
    <row r="68" spans="1:12" x14ac:dyDescent="0.25">
      <c r="A68" s="80" t="s">
        <v>60</v>
      </c>
      <c r="B68" s="81">
        <f>C26-B58</f>
        <v>978.47999999999956</v>
      </c>
      <c r="C68" s="56" t="s">
        <v>31</v>
      </c>
      <c r="D68" s="56"/>
      <c r="E68" s="56"/>
      <c r="F68" s="3"/>
      <c r="I68" s="78" t="s">
        <v>74</v>
      </c>
      <c r="J68" s="129">
        <f>35412.97+2261.52+26411.94+1772.5</f>
        <v>65858.929999999993</v>
      </c>
      <c r="K68" s="78"/>
      <c r="L68" s="129">
        <v>4762.42</v>
      </c>
    </row>
    <row r="69" spans="1:12" x14ac:dyDescent="0.25">
      <c r="A69" s="80" t="s">
        <v>61</v>
      </c>
      <c r="B69" s="81">
        <f>C28-B59</f>
        <v>19081.209999999846</v>
      </c>
      <c r="C69" s="56" t="s">
        <v>31</v>
      </c>
      <c r="D69" s="56"/>
      <c r="E69" s="56"/>
      <c r="F69" s="3"/>
      <c r="I69" s="78" t="s">
        <v>75</v>
      </c>
      <c r="J69" s="129">
        <f>51585.82+2702.03</f>
        <v>54287.85</v>
      </c>
      <c r="K69" s="78"/>
      <c r="L69" s="129">
        <f>173.21+199.97+1872.34+3989.97</f>
        <v>6235.49</v>
      </c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81561.36+2752.48</f>
        <v>84313.84</v>
      </c>
      <c r="K70" s="86"/>
      <c r="L70" s="130"/>
    </row>
    <row r="71" spans="1:12" x14ac:dyDescent="0.25">
      <c r="A71" s="80" t="s">
        <v>115</v>
      </c>
      <c r="B71" s="81">
        <f>C37-B61</f>
        <v>121.65411764705914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594010.76000000013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19081.209999999846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 t="s">
        <v>177</v>
      </c>
      <c r="B76" s="43"/>
      <c r="C76" s="124">
        <f>26300</f>
        <v>26300</v>
      </c>
      <c r="D76" s="115"/>
      <c r="E76" s="116"/>
      <c r="F76" s="117"/>
      <c r="G76" s="109"/>
    </row>
    <row r="77" spans="1:12" x14ac:dyDescent="0.25">
      <c r="A77" s="53" t="s">
        <v>181</v>
      </c>
      <c r="B77" s="43"/>
      <c r="C77" s="124">
        <v>7592</v>
      </c>
      <c r="D77" s="115"/>
      <c r="E77" s="116"/>
      <c r="F77" s="117"/>
      <c r="G77" s="109"/>
    </row>
    <row r="78" spans="1:12" x14ac:dyDescent="0.25">
      <c r="A78" s="53"/>
      <c r="B78" s="43"/>
      <c r="C78" s="124"/>
      <c r="D78" s="115"/>
      <c r="E78" s="116"/>
      <c r="F78" s="117"/>
      <c r="G78" s="109"/>
    </row>
    <row r="79" spans="1:12" x14ac:dyDescent="0.25">
      <c r="A79" s="53"/>
      <c r="B79" s="43"/>
      <c r="C79" s="124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33892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x14ac:dyDescent="0.25">
      <c r="A83" s="60" t="s">
        <v>79</v>
      </c>
      <c r="B83" s="33"/>
      <c r="D83" s="118"/>
      <c r="E83" s="116"/>
      <c r="F83" s="117"/>
      <c r="G83" s="109"/>
    </row>
    <row r="84" spans="1:7" x14ac:dyDescent="0.25">
      <c r="A84" s="60" t="s">
        <v>34</v>
      </c>
      <c r="B84" s="20">
        <f>B44/C8/12</f>
        <v>16.247533464572395</v>
      </c>
      <c r="C84" s="101" t="s">
        <v>80</v>
      </c>
      <c r="D84" s="118"/>
      <c r="E84" s="116"/>
      <c r="F84" s="117"/>
      <c r="G84" s="109"/>
    </row>
    <row r="85" spans="1:7" x14ac:dyDescent="0.25">
      <c r="A85" s="60" t="s">
        <v>81</v>
      </c>
      <c r="B85" s="20">
        <f>B57/C8/12</f>
        <v>1.9236707078962902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82</v>
      </c>
      <c r="B86" s="20">
        <f>B58/C8/12</f>
        <v>0.12514189710756937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E90" s="116"/>
      <c r="F90" s="109"/>
      <c r="G90" s="109"/>
    </row>
    <row r="91" spans="1:7" x14ac:dyDescent="0.25">
      <c r="A91" s="31"/>
      <c r="B91" s="33"/>
      <c r="C91" s="105"/>
      <c r="D91" s="133" t="s">
        <v>95</v>
      </c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67" workbookViewId="0">
      <selection sqref="A1:E9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156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ht="15.75" thickBot="1" x14ac:dyDescent="0.3">
      <c r="A6" s="10" t="s">
        <v>157</v>
      </c>
      <c r="B6" s="11"/>
      <c r="C6" s="11">
        <v>532.79999999999995</v>
      </c>
      <c r="D6" s="12">
        <v>8</v>
      </c>
      <c r="L6" s="125"/>
      <c r="M6" s="125"/>
      <c r="N6" s="125"/>
      <c r="O6" s="125"/>
    </row>
    <row r="7" spans="1:22" x14ac:dyDescent="0.25">
      <c r="A7" s="10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532.79999999999995</v>
      </c>
      <c r="D8" s="18">
        <f>D6</f>
        <v>8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10.83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3.65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34624.62</f>
        <v>34624.620000000003</v>
      </c>
      <c r="D20" s="40">
        <f>15817.02+9667.36</f>
        <v>25484.38</v>
      </c>
      <c r="E20" s="42">
        <f t="shared" ref="E20:E38" si="0">C20-D20+B20</f>
        <v>9140.2400000000016</v>
      </c>
      <c r="F20" s="137">
        <f>C20+F22</f>
        <v>46294.200000000004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11669.58</v>
      </c>
      <c r="D22" s="43">
        <f>5330.83+3258.2</f>
        <v>8589.0299999999988</v>
      </c>
      <c r="E22" s="45">
        <f t="shared" si="0"/>
        <v>3080.5500000000011</v>
      </c>
      <c r="F22" s="137">
        <f>C22</f>
        <v>11669.58</v>
      </c>
      <c r="G22" s="139">
        <f>F22*G20/F20</f>
        <v>25.207434192620241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125215.03999999999</v>
      </c>
      <c r="D28" s="50">
        <f>D29+D30+D31+D33+D32</f>
        <v>75998.740000000005</v>
      </c>
      <c r="E28" s="51">
        <f>C28-D28+B28</f>
        <v>49216.299999999988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>
        <v>95542.2</v>
      </c>
      <c r="D29" s="40">
        <f>36647.13+19722.62</f>
        <v>56369.75</v>
      </c>
      <c r="E29" s="42">
        <f t="shared" si="0"/>
        <v>39172.449999999997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>
        <f>11373.77-664.47+1598.91+39.56</f>
        <v>12347.77</v>
      </c>
      <c r="D30" s="43">
        <f>5765.25+3292.34+707.33+398.83</f>
        <v>10163.75</v>
      </c>
      <c r="E30" s="45">
        <f t="shared" si="0"/>
        <v>2184.0200000000004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v>1349.05</v>
      </c>
      <c r="D31" s="43">
        <f>731.01+279.01</f>
        <v>1010.02</v>
      </c>
      <c r="E31" s="45">
        <f t="shared" si="0"/>
        <v>339.03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158</v>
      </c>
      <c r="B32" s="43"/>
      <c r="C32" s="43">
        <v>13010.84</v>
      </c>
      <c r="D32" s="43">
        <f>5165.17+1063.87</f>
        <v>6229.04</v>
      </c>
      <c r="E32" s="45">
        <f t="shared" si="0"/>
        <v>6781.8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2992.83-27.65</f>
        <v>2965.18</v>
      </c>
      <c r="D33" s="43">
        <f>1529.63+696.55</f>
        <v>2226.1800000000003</v>
      </c>
      <c r="E33" s="45">
        <f t="shared" si="0"/>
        <v>738.99999999999955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171509.24</v>
      </c>
      <c r="D39" s="58">
        <f>D20+D21+D22+D23+D24+D25+D26+D28+D35+D36+D37+D38+D27</f>
        <v>110072.15000000001</v>
      </c>
      <c r="E39" s="58">
        <f>E20+E21+E22+E23+E24+E25+E26+E28+E35+E36+E37+E38+E27</f>
        <v>61437.089999999989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127068.19995899394</v>
      </c>
      <c r="C42" s="64" t="s">
        <v>31</v>
      </c>
      <c r="D42" s="140">
        <f>C39-B42-B62</f>
        <v>44024.396698663797</v>
      </c>
      <c r="E42" s="141" t="s">
        <v>32</v>
      </c>
      <c r="F42" s="142">
        <v>5228898.0599999996</v>
      </c>
      <c r="G42" s="142">
        <f>F42/F48*C8</f>
        <v>24923.186341524681</v>
      </c>
      <c r="H42" s="109"/>
      <c r="I42" s="109"/>
      <c r="J42" s="168"/>
    </row>
    <row r="43" spans="1:22" x14ac:dyDescent="0.25">
      <c r="A43" s="65"/>
      <c r="B43" s="66"/>
      <c r="C43" s="70"/>
      <c r="D43" s="140"/>
      <c r="E43" s="141" t="s">
        <v>33</v>
      </c>
      <c r="F43" s="142">
        <v>1017312.51</v>
      </c>
      <c r="G43" s="142">
        <f>F43/F48*C8</f>
        <v>4848.95076617619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50617.69661665168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833.2866846845186</v>
      </c>
      <c r="H44" s="109"/>
      <c r="I44" s="109"/>
      <c r="J44" s="168"/>
    </row>
    <row r="45" spans="1:22" x14ac:dyDescent="0.25">
      <c r="A45" s="71" t="s">
        <v>112</v>
      </c>
      <c r="B45" s="72"/>
      <c r="C45" s="73" t="s">
        <v>31</v>
      </c>
      <c r="D45" s="140"/>
      <c r="E45" s="141" t="s">
        <v>18</v>
      </c>
      <c r="F45" s="142">
        <v>206457.71</v>
      </c>
      <c r="G45" s="142">
        <f>F45/F48*C8</f>
        <v>984.06660809418486</v>
      </c>
      <c r="H45" s="109"/>
      <c r="I45" s="109"/>
      <c r="J45" s="168"/>
    </row>
    <row r="46" spans="1:22" x14ac:dyDescent="0.25">
      <c r="A46" s="74" t="s">
        <v>37</v>
      </c>
      <c r="B46" s="72">
        <f>(G42+G43)/12*6</f>
        <v>14886.068553850435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242.64427040089643</v>
      </c>
      <c r="H46" s="109"/>
      <c r="I46" s="109"/>
      <c r="J46" s="168"/>
    </row>
    <row r="47" spans="1:22" x14ac:dyDescent="0.25">
      <c r="A47" s="74" t="s">
        <v>39</v>
      </c>
      <c r="B47" s="72">
        <v>11250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33307.675266074337</v>
      </c>
      <c r="H47" s="109"/>
      <c r="I47" s="109"/>
      <c r="J47" s="168"/>
    </row>
    <row r="48" spans="1:22" x14ac:dyDescent="0.25">
      <c r="A48" s="71" t="s">
        <v>40</v>
      </c>
      <c r="B48" s="72">
        <f>G46/12*6+638.09</f>
        <v>759.41213520044823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G45/12*6+62.77</f>
        <v>554.80330404709241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G47/12*6</f>
        <v>16653.837633037168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14.044291495578033</v>
      </c>
      <c r="H50" s="109"/>
      <c r="I50" s="109"/>
      <c r="J50" s="168"/>
    </row>
    <row r="51" spans="1:12" x14ac:dyDescent="0.25">
      <c r="A51" s="71" t="s">
        <v>44</v>
      </c>
      <c r="B51" s="72">
        <f>F54/12*6</f>
        <v>184.198467580456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G50/12*6</f>
        <v>7.0221457477890166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/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162</v>
      </c>
      <c r="F54" s="147">
        <f>F52/F53*C8</f>
        <v>368.39693516091199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1911.24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4411.1143771882926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68" t="s">
        <v>50</v>
      </c>
      <c r="B57" s="69">
        <f>C80</f>
        <v>0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1306.2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74727.66</v>
      </c>
      <c r="C59" s="70" t="s">
        <v>31</v>
      </c>
      <c r="D59" s="56"/>
      <c r="E59" s="56"/>
      <c r="F59" s="3"/>
      <c r="I59" s="78" t="s">
        <v>64</v>
      </c>
      <c r="J59" s="129"/>
      <c r="K59" s="78"/>
      <c r="L59" s="129"/>
    </row>
    <row r="60" spans="1:12" x14ac:dyDescent="0.25">
      <c r="A60" s="68" t="s">
        <v>53</v>
      </c>
      <c r="B60" s="69"/>
      <c r="C60" s="70" t="s">
        <v>54</v>
      </c>
      <c r="D60" s="56"/>
      <c r="E60" s="56"/>
      <c r="F60" s="3"/>
      <c r="I60" s="78" t="s">
        <v>66</v>
      </c>
      <c r="J60" s="129"/>
      <c r="K60" s="78"/>
      <c r="L60" s="129"/>
    </row>
    <row r="61" spans="1:12" x14ac:dyDescent="0.25">
      <c r="A61" s="164" t="s">
        <v>113</v>
      </c>
      <c r="B61" s="165">
        <f>C37/1.02</f>
        <v>0</v>
      </c>
      <c r="C61" s="166"/>
      <c r="D61" s="56"/>
      <c r="E61" s="56"/>
      <c r="F61" s="3"/>
      <c r="I61" s="78" t="s">
        <v>67</v>
      </c>
      <c r="J61" s="129"/>
      <c r="K61" s="78"/>
      <c r="L61" s="129"/>
    </row>
    <row r="62" spans="1:12" ht="15.75" thickBot="1" x14ac:dyDescent="0.3">
      <c r="A62" s="75" t="s">
        <v>114</v>
      </c>
      <c r="B62" s="76">
        <f>G44/12*6</f>
        <v>416.6433423422593</v>
      </c>
      <c r="C62" s="77" t="s">
        <v>31</v>
      </c>
      <c r="D62" s="56"/>
      <c r="E62" s="56"/>
      <c r="F62" s="3"/>
      <c r="I62" s="78" t="s">
        <v>68</v>
      </c>
      <c r="J62" s="129"/>
      <c r="K62" s="78"/>
      <c r="L62" s="129"/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/>
      <c r="K63" s="78"/>
      <c r="L63" s="129"/>
    </row>
    <row r="64" spans="1:12" x14ac:dyDescent="0.25">
      <c r="A64" s="60" t="s">
        <v>98</v>
      </c>
      <c r="B64" s="174">
        <f>C39-C24+B43-B42</f>
        <v>44441.040041006054</v>
      </c>
      <c r="C64" s="56" t="s">
        <v>31</v>
      </c>
      <c r="D64" s="56"/>
      <c r="E64" s="56"/>
      <c r="F64" s="3"/>
      <c r="I64" s="78" t="s">
        <v>70</v>
      </c>
      <c r="J64" s="129"/>
      <c r="K64" s="78"/>
      <c r="L64" s="129"/>
    </row>
    <row r="65" spans="1:12" x14ac:dyDescent="0.25">
      <c r="A65" s="60" t="s">
        <v>99</v>
      </c>
      <c r="B65" s="2">
        <f>B66+B67+B68+B69+B70+B71</f>
        <v>44441.040041006054</v>
      </c>
      <c r="C65" s="56" t="s">
        <v>31</v>
      </c>
      <c r="D65" s="56"/>
      <c r="E65" s="56"/>
      <c r="F65" s="3"/>
      <c r="I65" s="78" t="s">
        <v>71</v>
      </c>
      <c r="J65" s="129"/>
      <c r="K65" s="78"/>
      <c r="L65" s="129"/>
    </row>
    <row r="66" spans="1:12" x14ac:dyDescent="0.25">
      <c r="A66" s="80" t="s">
        <v>58</v>
      </c>
      <c r="B66" s="81">
        <f>C20-B44-B62</f>
        <v>-16409.719958993937</v>
      </c>
      <c r="C66" s="56" t="s">
        <v>31</v>
      </c>
      <c r="D66" s="56"/>
      <c r="E66" s="56"/>
      <c r="F66" s="3"/>
      <c r="I66" s="78" t="s">
        <v>72</v>
      </c>
      <c r="J66" s="129"/>
      <c r="K66" s="78"/>
      <c r="L66" s="129"/>
    </row>
    <row r="67" spans="1:12" x14ac:dyDescent="0.25">
      <c r="A67" s="80" t="s">
        <v>59</v>
      </c>
      <c r="B67" s="81">
        <f>C22-B57</f>
        <v>11669.58</v>
      </c>
      <c r="C67" s="56" t="s">
        <v>31</v>
      </c>
      <c r="D67" s="56"/>
      <c r="E67" s="56"/>
      <c r="F67" s="3"/>
      <c r="I67" s="78" t="s">
        <v>73</v>
      </c>
      <c r="J67" s="129"/>
      <c r="K67" s="78"/>
      <c r="L67" s="129"/>
    </row>
    <row r="68" spans="1:12" x14ac:dyDescent="0.25">
      <c r="A68" s="80" t="s">
        <v>60</v>
      </c>
      <c r="B68" s="81">
        <f>C26-B58</f>
        <v>-1306.2</v>
      </c>
      <c r="C68" s="56" t="s">
        <v>31</v>
      </c>
      <c r="D68" s="56"/>
      <c r="E68" s="56"/>
      <c r="F68" s="3"/>
      <c r="I68" s="78" t="s">
        <v>74</v>
      </c>
      <c r="J68" s="129">
        <f>18896.21+428.1</f>
        <v>19324.309999999998</v>
      </c>
      <c r="K68" s="78"/>
      <c r="L68" s="129"/>
    </row>
    <row r="69" spans="1:12" x14ac:dyDescent="0.25">
      <c r="A69" s="80" t="s">
        <v>61</v>
      </c>
      <c r="B69" s="81">
        <f>C28-B59</f>
        <v>50487.37999999999</v>
      </c>
      <c r="C69" s="56" t="s">
        <v>31</v>
      </c>
      <c r="D69" s="56"/>
      <c r="E69" s="56"/>
      <c r="F69" s="3"/>
      <c r="I69" s="78" t="s">
        <v>75</v>
      </c>
      <c r="J69" s="129">
        <f>23264.74+361.98</f>
        <v>23626.720000000001</v>
      </c>
      <c r="K69" s="78"/>
      <c r="L69" s="129"/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31434.82+341.81</f>
        <v>31776.63</v>
      </c>
      <c r="K70" s="86"/>
      <c r="L70" s="130"/>
    </row>
    <row r="71" spans="1:12" x14ac:dyDescent="0.25">
      <c r="A71" s="80" t="s">
        <v>115</v>
      </c>
      <c r="B71" s="81">
        <f>C37-B61</f>
        <v>0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74727.66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50487.37999999999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/>
      <c r="B76" s="43"/>
      <c r="C76" s="124"/>
      <c r="D76" s="115"/>
      <c r="E76" s="116"/>
      <c r="F76" s="117"/>
      <c r="G76" s="109"/>
    </row>
    <row r="77" spans="1:12" x14ac:dyDescent="0.25">
      <c r="A77" s="53"/>
      <c r="B77" s="43"/>
      <c r="C77" s="124"/>
      <c r="D77" s="115"/>
      <c r="E77" s="116"/>
      <c r="F77" s="117"/>
      <c r="G77" s="109"/>
    </row>
    <row r="78" spans="1:12" x14ac:dyDescent="0.25">
      <c r="A78" s="53"/>
      <c r="B78" s="43"/>
      <c r="C78" s="124"/>
      <c r="D78" s="115"/>
      <c r="E78" s="116"/>
      <c r="F78" s="117"/>
      <c r="G78" s="109"/>
    </row>
    <row r="79" spans="1:12" x14ac:dyDescent="0.25">
      <c r="A79" s="53"/>
      <c r="B79" s="43"/>
      <c r="C79" s="124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0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hidden="1" x14ac:dyDescent="0.25">
      <c r="A83" s="60" t="s">
        <v>79</v>
      </c>
      <c r="B83" s="33"/>
      <c r="D83" s="118"/>
      <c r="E83" s="116"/>
      <c r="F83" s="117"/>
      <c r="G83" s="109"/>
    </row>
    <row r="84" spans="1:7" hidden="1" x14ac:dyDescent="0.25">
      <c r="A84" s="60" t="s">
        <v>34</v>
      </c>
      <c r="B84" s="20">
        <f>B44/C8/12</f>
        <v>7.9169320283802058</v>
      </c>
      <c r="C84" s="101" t="s">
        <v>80</v>
      </c>
      <c r="D84" s="118"/>
      <c r="E84" s="116"/>
      <c r="F84" s="117"/>
      <c r="G84" s="109"/>
    </row>
    <row r="85" spans="1:7" hidden="1" x14ac:dyDescent="0.25">
      <c r="A85" s="60" t="s">
        <v>81</v>
      </c>
      <c r="B85" s="20">
        <f>B57/C8/12</f>
        <v>0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82</v>
      </c>
      <c r="B86" s="20">
        <f>B58/C8/12</f>
        <v>0.20429804804804808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workbookViewId="0">
      <selection sqref="A1:E9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159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ht="15.75" thickBot="1" x14ac:dyDescent="0.3">
      <c r="A6" s="10" t="s">
        <v>160</v>
      </c>
      <c r="B6" s="11"/>
      <c r="C6" s="11">
        <v>2560.9</v>
      </c>
      <c r="D6" s="12">
        <v>88</v>
      </c>
      <c r="L6" s="125"/>
      <c r="M6" s="125"/>
      <c r="N6" s="125"/>
      <c r="O6" s="125"/>
    </row>
    <row r="7" spans="1:22" x14ac:dyDescent="0.25">
      <c r="A7" s="10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2560.9</v>
      </c>
      <c r="D8" s="18">
        <f>D6</f>
        <v>88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12.28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4.96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188690.1-545.23-328.38</f>
        <v>187816.49</v>
      </c>
      <c r="D20" s="40">
        <f>112293.08+28879.03</f>
        <v>141172.10999999999</v>
      </c>
      <c r="E20" s="42">
        <f t="shared" ref="E20:E38" si="0">C20-D20+B20</f>
        <v>46644.380000000005</v>
      </c>
      <c r="F20" s="137">
        <f>C20+F22</f>
        <v>263676.83999999997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f>76213.2-220.22-132.63</f>
        <v>75860.349999999991</v>
      </c>
      <c r="D22" s="43">
        <f>45355.82+11664.48</f>
        <v>57020.3</v>
      </c>
      <c r="E22" s="45">
        <f t="shared" si="0"/>
        <v>18840.049999999988</v>
      </c>
      <c r="F22" s="137">
        <f>C22</f>
        <v>75860.349999999991</v>
      </c>
      <c r="G22" s="139">
        <f>F22*G20/F20</f>
        <v>28.770198398918918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896134.23</v>
      </c>
      <c r="D28" s="50">
        <f>D29+D30+D31+D33+D32</f>
        <v>522330.86</v>
      </c>
      <c r="E28" s="51">
        <f>C28-D28+B28</f>
        <v>373803.37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>
        <f>322972.84-1071.82-644.75</f>
        <v>321256.27</v>
      </c>
      <c r="D29" s="40">
        <f>174199.94+47655.02</f>
        <v>221854.96</v>
      </c>
      <c r="E29" s="42">
        <f t="shared" si="0"/>
        <v>99401.310000000027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>
        <f>110478.35-155.05-7752.77+30672.04-28.25-2042.36</f>
        <v>131171.96000000002</v>
      </c>
      <c r="D30" s="43">
        <f>61763+16972.71+17082.99+4766.94</f>
        <v>100585.64</v>
      </c>
      <c r="E30" s="45">
        <f t="shared" si="0"/>
        <v>30586.320000000022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f>36130.25+128.13-4028.16</f>
        <v>32230.219999999998</v>
      </c>
      <c r="D31" s="43">
        <f>21885.91+4748.68</f>
        <v>26634.59</v>
      </c>
      <c r="E31" s="45">
        <f t="shared" si="0"/>
        <v>5595.6299999999974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158</v>
      </c>
      <c r="B32" s="43"/>
      <c r="C32" s="43">
        <f>357946.86-3103.73</f>
        <v>354843.13</v>
      </c>
      <c r="D32" s="43">
        <f>91311.28+36852.93</f>
        <v>128164.20999999999</v>
      </c>
      <c r="E32" s="45">
        <f t="shared" si="0"/>
        <v>226678.92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62114.46+130.52-5612.33</f>
        <v>56632.649999999994</v>
      </c>
      <c r="D33" s="43">
        <f>36189.23+8902.23</f>
        <v>45091.460000000006</v>
      </c>
      <c r="E33" s="45">
        <f t="shared" si="0"/>
        <v>11541.189999999988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>
        <v>606.04999999999995</v>
      </c>
      <c r="D37" s="44">
        <f>202.09+60.79</f>
        <v>262.88</v>
      </c>
      <c r="E37" s="45">
        <f t="shared" si="0"/>
        <v>343.16999999999996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1160417.1199999999</v>
      </c>
      <c r="D39" s="58">
        <f>D20+D21+D22+D23+D24+D25+D26+D28+D35+D36+D37+D38+D27</f>
        <v>720786.15</v>
      </c>
      <c r="E39" s="58">
        <f>E20+E21+E22+E23+E24+E25+E26+E28+E35+E36+E37+E38+E27</f>
        <v>439630.97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56"/>
      <c r="E41" s="56"/>
      <c r="F41" s="167"/>
      <c r="G41" s="168"/>
      <c r="H41" s="168"/>
      <c r="I41" s="151"/>
      <c r="J41" s="168"/>
    </row>
    <row r="42" spans="1:22" ht="15.75" thickBot="1" x14ac:dyDescent="0.3">
      <c r="A42" s="62" t="s">
        <v>30</v>
      </c>
      <c r="B42" s="63">
        <f>B44+B59+B60+B57+B62+B58+B61</f>
        <v>599269.60309156822</v>
      </c>
      <c r="C42" s="64" t="s">
        <v>31</v>
      </c>
      <c r="D42" s="140">
        <f>C39-B42-B62</f>
        <v>559144.92318582605</v>
      </c>
      <c r="E42" s="141" t="s">
        <v>32</v>
      </c>
      <c r="F42" s="142">
        <v>5228898.0599999996</v>
      </c>
      <c r="G42" s="142">
        <f>F42/F48*C8</f>
        <v>119793.14546173155</v>
      </c>
      <c r="H42" s="109"/>
      <c r="I42" s="151"/>
      <c r="J42" s="168"/>
    </row>
    <row r="43" spans="1:22" x14ac:dyDescent="0.25">
      <c r="A43" s="65"/>
      <c r="B43" s="66"/>
      <c r="C43" s="70"/>
      <c r="D43" s="140"/>
      <c r="E43" s="141" t="s">
        <v>33</v>
      </c>
      <c r="F43" s="142">
        <v>1017312.51</v>
      </c>
      <c r="G43" s="142">
        <f>F43/F48*C8</f>
        <v>23306.452734798437</v>
      </c>
      <c r="H43" s="109"/>
      <c r="I43" s="151"/>
      <c r="J43" s="168"/>
    </row>
    <row r="44" spans="1:22" x14ac:dyDescent="0.25">
      <c r="A44" s="68" t="s">
        <v>34</v>
      </c>
      <c r="B44" s="69">
        <f>B45+B46+B48+B49+B50+B51+B52+B53+B54+B55+B56+B47</f>
        <v>250275.40270229601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4005.1874452113066</v>
      </c>
      <c r="H44" s="109"/>
      <c r="I44" s="151"/>
      <c r="J44" s="168"/>
    </row>
    <row r="45" spans="1:22" x14ac:dyDescent="0.25">
      <c r="A45" s="71" t="s">
        <v>112</v>
      </c>
      <c r="B45" s="72">
        <v>17748.55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4729.910241494742</v>
      </c>
      <c r="H45" s="109"/>
      <c r="I45" s="151"/>
      <c r="J45" s="168"/>
    </row>
    <row r="46" spans="1:22" x14ac:dyDescent="0.25">
      <c r="A46" s="74" t="s">
        <v>37</v>
      </c>
      <c r="B46" s="72">
        <f>(G42+G43)/12*6</f>
        <v>71549.799098264994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1166.2682283589636</v>
      </c>
      <c r="H46" s="109"/>
      <c r="I46" s="151"/>
      <c r="J46" s="168"/>
    </row>
    <row r="47" spans="1:22" x14ac:dyDescent="0.25">
      <c r="A47" s="74" t="s">
        <v>39</v>
      </c>
      <c r="B47" s="72">
        <v>30950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160093.14112028861</v>
      </c>
      <c r="H47" s="109"/>
      <c r="I47" s="151"/>
      <c r="J47" s="168"/>
    </row>
    <row r="48" spans="1:22" x14ac:dyDescent="0.25">
      <c r="A48" s="71" t="s">
        <v>40</v>
      </c>
      <c r="B48" s="72">
        <f>G46/12*6+11346.41</f>
        <v>11929.544114179482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51"/>
      <c r="J48" s="168"/>
    </row>
    <row r="49" spans="1:12" x14ac:dyDescent="0.25">
      <c r="A49" s="71" t="s">
        <v>42</v>
      </c>
      <c r="B49" s="72">
        <f>G45/12*6+514.39</f>
        <v>2879.3451207473709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51"/>
      <c r="J49" s="168"/>
    </row>
    <row r="50" spans="1:12" x14ac:dyDescent="0.25">
      <c r="A50" s="71" t="s">
        <v>43</v>
      </c>
      <c r="B50" s="72">
        <f>G47/12*6</f>
        <v>80046.570560144304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67.50380272339676</v>
      </c>
      <c r="H50" s="109"/>
      <c r="I50" s="151"/>
      <c r="J50" s="168"/>
    </row>
    <row r="51" spans="1:12" x14ac:dyDescent="0.25">
      <c r="A51" s="71" t="s">
        <v>44</v>
      </c>
      <c r="B51" s="72">
        <f>F54/12*6</f>
        <v>885.34882812835917</v>
      </c>
      <c r="C51" s="73" t="s">
        <v>31</v>
      </c>
      <c r="D51" s="140"/>
      <c r="E51" s="140"/>
      <c r="F51" s="147"/>
      <c r="G51" s="148"/>
      <c r="H51" s="109"/>
      <c r="I51" s="151"/>
      <c r="J51" s="168"/>
    </row>
    <row r="52" spans="1:12" x14ac:dyDescent="0.25">
      <c r="A52" s="71" t="s">
        <v>45</v>
      </c>
      <c r="B52" s="72">
        <f>G50/12*6</f>
        <v>33.75190136169838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51"/>
      <c r="J52" s="168"/>
    </row>
    <row r="53" spans="1:12" x14ac:dyDescent="0.25">
      <c r="A53" s="71" t="s">
        <v>46</v>
      </c>
      <c r="B53" s="72">
        <f>4769.28+152.64</f>
        <v>4921.92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51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161</v>
      </c>
      <c r="F54" s="147">
        <f>F52/F53*C8</f>
        <v>1770.6976562567186</v>
      </c>
      <c r="G54" s="148"/>
      <c r="H54" s="109"/>
      <c r="I54" s="151"/>
      <c r="J54" s="168"/>
    </row>
    <row r="55" spans="1:12" x14ac:dyDescent="0.25">
      <c r="A55" s="71" t="s">
        <v>48</v>
      </c>
      <c r="B55" s="72">
        <f>9099.48</f>
        <v>9099.48</v>
      </c>
      <c r="C55" s="73" t="s">
        <v>31</v>
      </c>
      <c r="D55" s="140"/>
      <c r="E55" s="140"/>
      <c r="F55" s="169"/>
      <c r="G55" s="136"/>
      <c r="H55" s="109"/>
      <c r="I55" s="168"/>
      <c r="J55" s="168"/>
    </row>
    <row r="56" spans="1:12" x14ac:dyDescent="0.25">
      <c r="A56" s="71" t="s">
        <v>49</v>
      </c>
      <c r="B56" s="72">
        <f>(B46+B47+B48+B49+B50+B52+B53+B54)*0.1</f>
        <v>20231.093079469789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C80</f>
        <v>78088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3310.45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264998.99</v>
      </c>
      <c r="C59" s="70" t="s">
        <v>31</v>
      </c>
      <c r="D59" s="56"/>
      <c r="E59" s="56"/>
      <c r="F59" s="3"/>
      <c r="I59" s="78" t="s">
        <v>64</v>
      </c>
      <c r="J59" s="129"/>
      <c r="K59" s="78"/>
      <c r="L59" s="129"/>
    </row>
    <row r="60" spans="1:12" x14ac:dyDescent="0.25">
      <c r="A60" s="68" t="s">
        <v>53</v>
      </c>
      <c r="B60" s="69"/>
      <c r="C60" s="70" t="s">
        <v>54</v>
      </c>
      <c r="D60" s="56"/>
      <c r="E60" s="56"/>
      <c r="F60" s="3"/>
      <c r="I60" s="78" t="s">
        <v>66</v>
      </c>
      <c r="J60" s="129"/>
      <c r="K60" s="78"/>
      <c r="L60" s="129"/>
    </row>
    <row r="61" spans="1:12" x14ac:dyDescent="0.25">
      <c r="A61" s="164" t="s">
        <v>113</v>
      </c>
      <c r="B61" s="165">
        <f>C37/1.02</f>
        <v>594.16666666666663</v>
      </c>
      <c r="C61" s="166"/>
      <c r="D61" s="56"/>
      <c r="E61" s="56"/>
      <c r="F61" s="3"/>
      <c r="I61" s="78" t="s">
        <v>67</v>
      </c>
      <c r="J61" s="129"/>
      <c r="K61" s="78"/>
      <c r="L61" s="129"/>
    </row>
    <row r="62" spans="1:12" ht="15.75" thickBot="1" x14ac:dyDescent="0.3">
      <c r="A62" s="75" t="s">
        <v>114</v>
      </c>
      <c r="B62" s="76">
        <f>G44/12*6</f>
        <v>2002.5937226056533</v>
      </c>
      <c r="C62" s="77" t="s">
        <v>31</v>
      </c>
      <c r="D62" s="56"/>
      <c r="E62" s="56"/>
      <c r="F62" s="3"/>
      <c r="I62" s="78" t="s">
        <v>68</v>
      </c>
      <c r="J62" s="129"/>
      <c r="K62" s="78"/>
      <c r="L62" s="129"/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/>
      <c r="K63" s="78"/>
      <c r="L63" s="129"/>
    </row>
    <row r="64" spans="1:12" x14ac:dyDescent="0.25">
      <c r="A64" s="60" t="s">
        <v>98</v>
      </c>
      <c r="B64" s="174">
        <f>C39-C24+B43-B42</f>
        <v>561147.51690843166</v>
      </c>
      <c r="C64" s="56" t="s">
        <v>31</v>
      </c>
      <c r="D64" s="56"/>
      <c r="E64" s="56"/>
      <c r="F64" s="3"/>
      <c r="I64" s="78" t="s">
        <v>70</v>
      </c>
      <c r="J64" s="129"/>
      <c r="K64" s="78"/>
      <c r="L64" s="129"/>
    </row>
    <row r="65" spans="1:12" x14ac:dyDescent="0.25">
      <c r="A65" s="60" t="s">
        <v>99</v>
      </c>
      <c r="B65" s="2">
        <f>B66+B67+B68+B69+B70+B71</f>
        <v>561147.51690843166</v>
      </c>
      <c r="C65" s="56" t="s">
        <v>31</v>
      </c>
      <c r="D65" s="56"/>
      <c r="E65" s="56"/>
      <c r="F65" s="3"/>
      <c r="I65" s="78" t="s">
        <v>71</v>
      </c>
      <c r="J65" s="129"/>
      <c r="K65" s="78"/>
      <c r="L65" s="129"/>
    </row>
    <row r="66" spans="1:12" x14ac:dyDescent="0.25">
      <c r="A66" s="80" t="s">
        <v>58</v>
      </c>
      <c r="B66" s="81">
        <f>C20-B44-B62</f>
        <v>-64461.506424901672</v>
      </c>
      <c r="C66" s="56" t="s">
        <v>31</v>
      </c>
      <c r="D66" s="56"/>
      <c r="E66" s="56"/>
      <c r="F66" s="3"/>
      <c r="I66" s="78" t="s">
        <v>72</v>
      </c>
      <c r="J66" s="129"/>
      <c r="K66" s="78"/>
      <c r="L66" s="129"/>
    </row>
    <row r="67" spans="1:12" x14ac:dyDescent="0.25">
      <c r="A67" s="80" t="s">
        <v>59</v>
      </c>
      <c r="B67" s="81">
        <f>C22-B57</f>
        <v>-2227.6500000000087</v>
      </c>
      <c r="C67" s="56" t="s">
        <v>31</v>
      </c>
      <c r="D67" s="56"/>
      <c r="E67" s="56"/>
      <c r="F67" s="3"/>
      <c r="I67" s="78" t="s">
        <v>73</v>
      </c>
      <c r="J67" s="129"/>
      <c r="K67" s="78"/>
      <c r="L67" s="129">
        <f>320.28+3714.26</f>
        <v>4034.54</v>
      </c>
    </row>
    <row r="68" spans="1:12" x14ac:dyDescent="0.25">
      <c r="A68" s="80" t="s">
        <v>60</v>
      </c>
      <c r="B68" s="81">
        <f>C26-B58</f>
        <v>-3310.45</v>
      </c>
      <c r="C68" s="56" t="s">
        <v>31</v>
      </c>
      <c r="D68" s="56"/>
      <c r="E68" s="56"/>
      <c r="F68" s="3"/>
      <c r="I68" s="78" t="s">
        <v>74</v>
      </c>
      <c r="J68" s="129">
        <f>63129.88+5236.55</f>
        <v>68366.429999999993</v>
      </c>
      <c r="K68" s="78"/>
      <c r="L68" s="129"/>
    </row>
    <row r="69" spans="1:12" x14ac:dyDescent="0.25">
      <c r="A69" s="80" t="s">
        <v>61</v>
      </c>
      <c r="B69" s="81">
        <f>C28-B59</f>
        <v>631135.24</v>
      </c>
      <c r="C69" s="56" t="s">
        <v>31</v>
      </c>
      <c r="D69" s="56"/>
      <c r="E69" s="56"/>
      <c r="F69" s="3"/>
      <c r="I69" s="78" t="s">
        <v>75</v>
      </c>
      <c r="J69" s="129">
        <f>78085.13+5685.95</f>
        <v>83771.08</v>
      </c>
      <c r="K69" s="78"/>
      <c r="L69" s="129"/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103534.13+5292.81</f>
        <v>108826.94</v>
      </c>
      <c r="K70" s="86"/>
      <c r="L70" s="130"/>
    </row>
    <row r="71" spans="1:12" x14ac:dyDescent="0.25">
      <c r="A71" s="80" t="s">
        <v>115</v>
      </c>
      <c r="B71" s="81">
        <f>C37-B61</f>
        <v>11.883333333333326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264998.99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631135.24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 t="s">
        <v>177</v>
      </c>
      <c r="B76" s="43"/>
      <c r="C76" s="124">
        <v>7548</v>
      </c>
      <c r="D76" s="115"/>
      <c r="E76" s="116"/>
      <c r="F76" s="117"/>
      <c r="G76" s="109"/>
    </row>
    <row r="77" spans="1:12" x14ac:dyDescent="0.25">
      <c r="A77" s="53" t="s">
        <v>186</v>
      </c>
      <c r="B77" s="43"/>
      <c r="C77" s="124">
        <v>45758</v>
      </c>
      <c r="D77" s="115"/>
      <c r="E77" s="116"/>
      <c r="F77" s="117"/>
      <c r="G77" s="109"/>
    </row>
    <row r="78" spans="1:12" x14ac:dyDescent="0.25">
      <c r="A78" s="53" t="s">
        <v>202</v>
      </c>
      <c r="B78" s="43"/>
      <c r="C78" s="124">
        <v>24782</v>
      </c>
      <c r="D78" s="115"/>
      <c r="E78" s="116"/>
      <c r="F78" s="117"/>
      <c r="G78" s="109"/>
    </row>
    <row r="79" spans="1:12" x14ac:dyDescent="0.25">
      <c r="A79" s="53"/>
      <c r="B79" s="43"/>
      <c r="C79" s="124"/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C76+C77+C78+C79</f>
        <v>78088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hidden="1" x14ac:dyDescent="0.25">
      <c r="A83" s="60" t="s">
        <v>79</v>
      </c>
      <c r="B83" s="33"/>
      <c r="D83" s="118"/>
      <c r="E83" s="116"/>
      <c r="F83" s="117"/>
      <c r="G83" s="109"/>
    </row>
    <row r="84" spans="1:7" hidden="1" x14ac:dyDescent="0.25">
      <c r="A84" s="60" t="s">
        <v>34</v>
      </c>
      <c r="B84" s="20">
        <f>B44/C8/12</f>
        <v>8.1441225969482094</v>
      </c>
      <c r="C84" s="101" t="s">
        <v>80</v>
      </c>
      <c r="D84" s="118"/>
      <c r="E84" s="116"/>
      <c r="F84" s="117"/>
      <c r="G84" s="109"/>
    </row>
    <row r="85" spans="1:7" hidden="1" x14ac:dyDescent="0.25">
      <c r="A85" s="60" t="s">
        <v>81</v>
      </c>
      <c r="B85" s="20">
        <f>B57/C8/12</f>
        <v>2.5410337511551928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82</v>
      </c>
      <c r="B86" s="20">
        <f>B58/C8/12</f>
        <v>0.1077241724914418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abSelected="1" topLeftCell="A70" workbookViewId="0">
      <selection sqref="A1:E9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163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ht="15.75" thickBot="1" x14ac:dyDescent="0.3">
      <c r="A6" s="10" t="s">
        <v>164</v>
      </c>
      <c r="B6" s="11"/>
      <c r="C6" s="11">
        <v>2071.3000000000002</v>
      </c>
      <c r="D6" s="12">
        <v>43</v>
      </c>
      <c r="L6" s="125"/>
      <c r="M6" s="125"/>
      <c r="N6" s="125"/>
      <c r="O6" s="125"/>
    </row>
    <row r="7" spans="1:22" x14ac:dyDescent="0.25">
      <c r="A7" s="10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2071.3000000000002</v>
      </c>
      <c r="D8" s="18">
        <f>D6</f>
        <v>43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16.850000000000001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1.7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0.18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67368.58</v>
      </c>
      <c r="C20" s="41">
        <v>408564.53</v>
      </c>
      <c r="D20" s="40">
        <f>355782.52+24611.14</f>
        <v>380393.66000000003</v>
      </c>
      <c r="E20" s="42">
        <f t="shared" ref="E20:E38" si="0">C20-D20+B20</f>
        <v>95539.45</v>
      </c>
      <c r="F20" s="137">
        <f>C20+F22</f>
        <v>459974.19000000006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10623.71</v>
      </c>
      <c r="C22" s="44">
        <v>51409.66</v>
      </c>
      <c r="D22" s="43">
        <f>48627.39+3053.06</f>
        <v>51680.45</v>
      </c>
      <c r="E22" s="45">
        <f t="shared" si="0"/>
        <v>10352.920000000006</v>
      </c>
      <c r="F22" s="137">
        <f>C22</f>
        <v>51409.66</v>
      </c>
      <c r="G22" s="139">
        <f>F22*G20/F20</f>
        <v>11.17664015017886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3228.89</v>
      </c>
      <c r="C26" s="44">
        <v>10480.76</v>
      </c>
      <c r="D26" s="44">
        <f>11869.42+593.9</f>
        <v>12463.32</v>
      </c>
      <c r="E26" s="45">
        <f t="shared" si="0"/>
        <v>1246.3300000000004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168754.98</v>
      </c>
      <c r="C28" s="50">
        <f>C29+C30+C31+C33+C32</f>
        <v>452705.73</v>
      </c>
      <c r="D28" s="50">
        <f>D29+D30+D31+D33+D32</f>
        <v>489155.54000000004</v>
      </c>
      <c r="E28" s="51">
        <f>C28-D28+B28</f>
        <v>132305.16999999995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110848.64</v>
      </c>
      <c r="C29" s="40">
        <f>373508.59-309918.26</f>
        <v>63590.330000000016</v>
      </c>
      <c r="D29" s="40">
        <f>114420.27+5691.19</f>
        <v>120111.46</v>
      </c>
      <c r="E29" s="42">
        <f t="shared" si="0"/>
        <v>54327.510000000009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32946.82+7182.28</f>
        <v>40129.1</v>
      </c>
      <c r="C30" s="43">
        <f>199728.93+54945.79+10472.72+4082.16-3099.11-841.9</f>
        <v>265288.58999999997</v>
      </c>
      <c r="D30" s="43">
        <f>188234.2+7068.08+51493.04+2096.22</f>
        <v>248891.54</v>
      </c>
      <c r="E30" s="45">
        <f t="shared" si="0"/>
        <v>56526.149999999958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5708.95</v>
      </c>
      <c r="C31" s="43">
        <f>31852.06+2213.77-540.63</f>
        <v>33525.200000000004</v>
      </c>
      <c r="D31" s="43">
        <f>31425.26+1149.14</f>
        <v>32574.399999999998</v>
      </c>
      <c r="E31" s="45">
        <f t="shared" si="0"/>
        <v>6659.7500000000064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>
        <v>-1760.72</v>
      </c>
      <c r="C32" s="43"/>
      <c r="D32" s="43">
        <v>15.19</v>
      </c>
      <c r="E32" s="45">
        <f t="shared" si="0"/>
        <v>-1775.91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13829.01</v>
      </c>
      <c r="C33" s="43">
        <f>87170.69+4634.88-1503.96</f>
        <v>90301.61</v>
      </c>
      <c r="D33" s="43">
        <f>84525.57+3037.38</f>
        <v>87562.950000000012</v>
      </c>
      <c r="E33" s="45">
        <f t="shared" si="0"/>
        <v>16567.669999999991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v>12507.56</v>
      </c>
      <c r="C35" s="55">
        <f>93791.21-1438.2</f>
        <v>92353.010000000009</v>
      </c>
      <c r="D35" s="55">
        <f>76654.5+5863.02</f>
        <v>82517.52</v>
      </c>
      <c r="E35" s="45">
        <f t="shared" si="0"/>
        <v>22343.050000000003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>
        <v>-2.1800000000000002</v>
      </c>
      <c r="C38" s="46">
        <v>-9.43</v>
      </c>
      <c r="D38" s="46"/>
      <c r="E38" s="47">
        <f t="shared" si="0"/>
        <v>-11.61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262481.54000000004</v>
      </c>
      <c r="C39" s="58">
        <f>C20+C21+C22+C23+C24+C25+C26+C28+C35+C36+C37+C38</f>
        <v>1015504.26</v>
      </c>
      <c r="D39" s="58">
        <f>D20+D21+D22+D23+D24+D25+D26+D28+D35+D36+D37+D38+D27</f>
        <v>1016210.4900000001</v>
      </c>
      <c r="E39" s="58">
        <f>E20+E21+E22+E23+E24+E25+E26+E28+E35+E36+E37+E38+E27</f>
        <v>261775.30999999994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B44+B60+B61+B58+B63+B59+B62</f>
        <v>2349168.4510062467</v>
      </c>
      <c r="C42" s="64" t="s">
        <v>31</v>
      </c>
      <c r="D42" s="140">
        <f>C39-B42-B63</f>
        <v>-1336903.6555520182</v>
      </c>
      <c r="E42" s="141" t="s">
        <v>32</v>
      </c>
      <c r="F42" s="142">
        <v>5228898.0599999996</v>
      </c>
      <c r="G42" s="142">
        <f>F42/F48*C8</f>
        <v>96890.758012762919</v>
      </c>
      <c r="H42" s="109"/>
      <c r="I42" s="109"/>
      <c r="J42" s="168"/>
    </row>
    <row r="43" spans="1:22" x14ac:dyDescent="0.25">
      <c r="A43" s="65" t="s">
        <v>92</v>
      </c>
      <c r="B43" s="66">
        <f>-296840.56</f>
        <v>-296840.56</v>
      </c>
      <c r="C43" s="70"/>
      <c r="D43" s="140"/>
      <c r="E43" s="141" t="s">
        <v>33</v>
      </c>
      <c r="F43" s="142">
        <v>1017312.51</v>
      </c>
      <c r="G43" s="142">
        <f>F43/F48*C8</f>
        <v>18850.660138852749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B45+B46+B48+B49+B50+B51+B52+B53+B54+B55+B56+B47+B57</f>
        <v>422170.03646047536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3239.4645457714787</v>
      </c>
      <c r="H44" s="109"/>
      <c r="I44" s="109"/>
      <c r="J44" s="168"/>
    </row>
    <row r="45" spans="1:22" x14ac:dyDescent="0.25">
      <c r="A45" s="71" t="s">
        <v>112</v>
      </c>
      <c r="B45" s="72">
        <v>19191.68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3825.6328178406261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115741.41815161567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943.29781772030196</v>
      </c>
      <c r="H46" s="109"/>
      <c r="I46" s="109"/>
      <c r="J46" s="168"/>
    </row>
    <row r="47" spans="1:22" x14ac:dyDescent="0.25">
      <c r="A47" s="74" t="s">
        <v>39</v>
      </c>
      <c r="B47" s="72">
        <v>32175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129486.08817308518</v>
      </c>
      <c r="H47" s="109"/>
      <c r="I47" s="109"/>
      <c r="J47" s="168"/>
    </row>
    <row r="48" spans="1:22" x14ac:dyDescent="0.25">
      <c r="A48" s="71" t="s">
        <v>40</v>
      </c>
      <c r="B48" s="72">
        <f>G46+10077.75+300+49.27+42.66</f>
        <v>11412.977817720302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G45+137.47</f>
        <v>3963.1028178406259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</f>
        <v>129486.08817308518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54.598237565298021</v>
      </c>
      <c r="H50" s="109"/>
      <c r="I50" s="109"/>
      <c r="J50" s="168"/>
    </row>
    <row r="51" spans="1:12" x14ac:dyDescent="0.25">
      <c r="A51" s="71" t="s">
        <v>44</v>
      </c>
      <c r="B51" s="72">
        <f>F54</f>
        <v>1432.1707428656102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</f>
        <v>54.598237565298021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>
        <f>1231.95+1231.95+513.07+449.65</f>
        <v>3426.6200000000003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194</v>
      </c>
      <c r="F54" s="147">
        <f>F52/F53*C8</f>
        <v>1432.1707428656102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7450.4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29625.980519782708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71" t="s">
        <v>165</v>
      </c>
      <c r="B57" s="72">
        <f>5082+5082+5082+5082+5082+5082+5082+5082+5082+7226+5082+5082+5082</f>
        <v>68210</v>
      </c>
      <c r="C57" s="73" t="s">
        <v>31</v>
      </c>
      <c r="D57" s="140"/>
      <c r="E57" s="140"/>
      <c r="F57" s="169"/>
      <c r="G57" s="136"/>
      <c r="H57" s="168"/>
      <c r="I57" s="168"/>
      <c r="J57" s="168"/>
    </row>
    <row r="58" spans="1:12" x14ac:dyDescent="0.25">
      <c r="A58" s="68" t="s">
        <v>50</v>
      </c>
      <c r="B58" s="69">
        <f>C81</f>
        <v>37077</v>
      </c>
      <c r="C58" s="70" t="s">
        <v>31</v>
      </c>
      <c r="D58" s="149"/>
      <c r="E58" s="149"/>
      <c r="F58" s="150"/>
      <c r="G58" s="151"/>
      <c r="H58" s="151"/>
      <c r="I58" s="109"/>
      <c r="J58" s="109"/>
    </row>
    <row r="59" spans="1:12" x14ac:dyDescent="0.25">
      <c r="A59" s="68" t="s">
        <v>51</v>
      </c>
      <c r="B59" s="69">
        <v>7734.88</v>
      </c>
      <c r="C59" s="70" t="s">
        <v>31</v>
      </c>
      <c r="D59" s="149"/>
      <c r="E59" s="149"/>
      <c r="F59" s="150"/>
      <c r="G59" s="151"/>
      <c r="H59" s="151"/>
      <c r="I59" s="79"/>
      <c r="J59" s="79" t="s">
        <v>56</v>
      </c>
      <c r="K59" s="79"/>
      <c r="L59" s="79" t="s">
        <v>57</v>
      </c>
    </row>
    <row r="60" spans="1:12" x14ac:dyDescent="0.25">
      <c r="A60" s="68" t="s">
        <v>52</v>
      </c>
      <c r="B60" s="69">
        <f>L73</f>
        <v>1791087.61</v>
      </c>
      <c r="C60" s="70" t="s">
        <v>31</v>
      </c>
      <c r="D60" s="56"/>
      <c r="E60" s="56"/>
      <c r="F60" s="3"/>
      <c r="I60" s="78" t="s">
        <v>64</v>
      </c>
      <c r="J60" s="129">
        <f>194262.77+11861.9</f>
        <v>206124.66999999998</v>
      </c>
      <c r="K60" s="78"/>
      <c r="L60" s="129">
        <f>3761.25+4345+6526.88+6449.34+7375+15429+7839.63+9056.33</f>
        <v>60782.43</v>
      </c>
    </row>
    <row r="61" spans="1:12" x14ac:dyDescent="0.25">
      <c r="A61" s="68" t="s">
        <v>53</v>
      </c>
      <c r="B61" s="69">
        <v>87859.46</v>
      </c>
      <c r="C61" s="70" t="s">
        <v>54</v>
      </c>
      <c r="D61" s="56"/>
      <c r="E61" s="56"/>
      <c r="F61" s="3"/>
      <c r="I61" s="78" t="s">
        <v>66</v>
      </c>
      <c r="J61" s="129">
        <f>179980.74+10785.44</f>
        <v>190766.18</v>
      </c>
      <c r="K61" s="78"/>
      <c r="L61" s="129">
        <f>7662.62+16016.85</f>
        <v>23679.47</v>
      </c>
    </row>
    <row r="62" spans="1:12" x14ac:dyDescent="0.25">
      <c r="A62" s="164" t="s">
        <v>113</v>
      </c>
      <c r="B62" s="165">
        <f>C37/1.02</f>
        <v>0</v>
      </c>
      <c r="C62" s="166"/>
      <c r="D62" s="56"/>
      <c r="E62" s="56"/>
      <c r="F62" s="3"/>
      <c r="I62" s="78" t="s">
        <v>67</v>
      </c>
      <c r="J62" s="129">
        <f>143790.56+11865.86</f>
        <v>155656.41999999998</v>
      </c>
      <c r="K62" s="78"/>
      <c r="L62" s="129">
        <f>7972.38+15727.18</f>
        <v>23699.56</v>
      </c>
    </row>
    <row r="63" spans="1:12" ht="15.75" thickBot="1" x14ac:dyDescent="0.3">
      <c r="A63" s="75" t="s">
        <v>114</v>
      </c>
      <c r="B63" s="76">
        <f>G44</f>
        <v>3239.4645457714787</v>
      </c>
      <c r="C63" s="77" t="s">
        <v>31</v>
      </c>
      <c r="D63" s="56"/>
      <c r="E63" s="56"/>
      <c r="F63" s="3"/>
      <c r="I63" s="78" t="s">
        <v>68</v>
      </c>
      <c r="J63" s="129">
        <f>106950.82+13887.66</f>
        <v>120838.48000000001</v>
      </c>
      <c r="K63" s="78"/>
      <c r="L63" s="129">
        <f>6888.25+15122.29</f>
        <v>22010.54</v>
      </c>
    </row>
    <row r="64" spans="1:12" x14ac:dyDescent="0.25">
      <c r="A64" s="60"/>
      <c r="B64" s="61"/>
      <c r="C64" s="56"/>
      <c r="D64" s="56"/>
      <c r="E64" s="56"/>
      <c r="F64" s="3"/>
      <c r="I64" s="78" t="s">
        <v>69</v>
      </c>
      <c r="J64" s="129">
        <f>76598.32+13267.07</f>
        <v>89865.390000000014</v>
      </c>
      <c r="K64" s="78"/>
      <c r="L64" s="129"/>
    </row>
    <row r="65" spans="1:12" x14ac:dyDescent="0.25">
      <c r="A65" s="60" t="s">
        <v>98</v>
      </c>
      <c r="B65" s="174">
        <f>C39-C24+B43-B42</f>
        <v>-1630504.7510062468</v>
      </c>
      <c r="C65" s="56" t="s">
        <v>31</v>
      </c>
      <c r="D65" s="56"/>
      <c r="E65" s="56"/>
      <c r="F65" s="3"/>
      <c r="I65" s="78" t="s">
        <v>70</v>
      </c>
      <c r="J65" s="129">
        <f>36881.93+10280.34</f>
        <v>47162.270000000004</v>
      </c>
      <c r="K65" s="78"/>
      <c r="L65" s="129"/>
    </row>
    <row r="66" spans="1:12" x14ac:dyDescent="0.25">
      <c r="A66" s="60" t="s">
        <v>99</v>
      </c>
      <c r="B66" s="2">
        <f>B67+B68+B69+B70+B71+B72</f>
        <v>-1333654.7610062468</v>
      </c>
      <c r="C66" s="56" t="s">
        <v>31</v>
      </c>
      <c r="D66" s="56"/>
      <c r="E66" s="56"/>
      <c r="F66" s="3"/>
      <c r="I66" s="78" t="s">
        <v>71</v>
      </c>
      <c r="J66" s="129">
        <f>36623.7+8402.92</f>
        <v>45026.619999999995</v>
      </c>
      <c r="K66" s="78"/>
      <c r="L66" s="129"/>
    </row>
    <row r="67" spans="1:12" x14ac:dyDescent="0.25">
      <c r="A67" s="80" t="s">
        <v>58</v>
      </c>
      <c r="B67" s="81">
        <f>C20-B44-B63</f>
        <v>-16844.971006246808</v>
      </c>
      <c r="C67" s="56" t="s">
        <v>31</v>
      </c>
      <c r="D67" s="56"/>
      <c r="E67" s="56"/>
      <c r="F67" s="3"/>
      <c r="I67" s="78" t="s">
        <v>72</v>
      </c>
      <c r="J67" s="129">
        <f>37714.53+9227.13</f>
        <v>46941.659999999996</v>
      </c>
      <c r="K67" s="78"/>
      <c r="L67" s="129"/>
    </row>
    <row r="68" spans="1:12" x14ac:dyDescent="0.25">
      <c r="A68" s="80" t="s">
        <v>59</v>
      </c>
      <c r="B68" s="81">
        <f>C22-B58</f>
        <v>14332.660000000003</v>
      </c>
      <c r="C68" s="56" t="s">
        <v>31</v>
      </c>
      <c r="D68" s="56"/>
      <c r="E68" s="56"/>
      <c r="F68" s="3"/>
      <c r="I68" s="78" t="s">
        <v>73</v>
      </c>
      <c r="J68" s="129">
        <f>60350.76+10836.75</f>
        <v>71187.510000000009</v>
      </c>
      <c r="K68" s="78"/>
      <c r="L68" s="129"/>
    </row>
    <row r="69" spans="1:12" x14ac:dyDescent="0.25">
      <c r="A69" s="80" t="s">
        <v>60</v>
      </c>
      <c r="B69" s="81">
        <f>C26-B59</f>
        <v>2745.88</v>
      </c>
      <c r="C69" s="56" t="s">
        <v>31</v>
      </c>
      <c r="D69" s="56"/>
      <c r="E69" s="56"/>
      <c r="F69" s="3"/>
      <c r="I69" s="78" t="s">
        <v>74</v>
      </c>
      <c r="J69" s="129">
        <f>137422.76+13811.37</f>
        <v>151234.13</v>
      </c>
      <c r="K69" s="78"/>
      <c r="L69" s="129">
        <f>16364.43+18892.84</f>
        <v>35257.270000000004</v>
      </c>
    </row>
    <row r="70" spans="1:12" x14ac:dyDescent="0.25">
      <c r="A70" s="80" t="s">
        <v>61</v>
      </c>
      <c r="B70" s="81">
        <f>C28-B60</f>
        <v>-1338381.8800000001</v>
      </c>
      <c r="C70" s="56" t="s">
        <v>31</v>
      </c>
      <c r="D70" s="56"/>
      <c r="E70" s="56"/>
      <c r="F70" s="3"/>
      <c r="I70" s="78" t="s">
        <v>75</v>
      </c>
      <c r="J70" s="129">
        <f>163438.74+12599.52</f>
        <v>176038.25999999998</v>
      </c>
      <c r="K70" s="78"/>
      <c r="L70" s="129">
        <f>10739.16+12398.42</f>
        <v>23137.58</v>
      </c>
    </row>
    <row r="71" spans="1:12" ht="15.75" thickBot="1" x14ac:dyDescent="0.3">
      <c r="A71" s="80" t="s">
        <v>62</v>
      </c>
      <c r="B71" s="81">
        <f>C35-B61</f>
        <v>4493.5500000000029</v>
      </c>
      <c r="C71" s="56" t="s">
        <v>31</v>
      </c>
      <c r="D71" s="56"/>
      <c r="E71" s="56"/>
      <c r="F71" s="3"/>
      <c r="I71" s="86" t="s">
        <v>76</v>
      </c>
      <c r="J71" s="130">
        <f>260382.91+13139.88</f>
        <v>273522.78999999998</v>
      </c>
      <c r="K71" s="86"/>
      <c r="L71" s="130">
        <f>8949.3+19207.08</f>
        <v>28156.38</v>
      </c>
    </row>
    <row r="72" spans="1:12" x14ac:dyDescent="0.25">
      <c r="A72" s="80" t="s">
        <v>115</v>
      </c>
      <c r="B72" s="81">
        <f>C37-B62</f>
        <v>0</v>
      </c>
      <c r="C72" s="56" t="s">
        <v>31</v>
      </c>
      <c r="I72" s="87"/>
      <c r="J72" s="88"/>
      <c r="K72" s="88"/>
      <c r="L72" s="131"/>
    </row>
    <row r="73" spans="1:12" ht="15.75" thickBot="1" x14ac:dyDescent="0.3">
      <c r="A73" s="80"/>
      <c r="B73" s="81"/>
      <c r="C73" s="56"/>
      <c r="D73" s="111"/>
      <c r="E73" s="112"/>
      <c r="F73" s="113"/>
      <c r="G73" s="109"/>
      <c r="I73" s="92" t="s">
        <v>77</v>
      </c>
      <c r="J73" s="93"/>
      <c r="K73" s="93"/>
      <c r="L73" s="132">
        <f>J60+J61+J62+J63+J64+J65+J66+J67+J68+J69+J70+J71+L60+L61+L62+L63+L64+L65+L66+L67+L68+L69+L70+L71+N30</f>
        <v>1791087.61</v>
      </c>
    </row>
    <row r="74" spans="1:12" ht="15.75" thickBot="1" x14ac:dyDescent="0.3">
      <c r="A74" s="155" t="s">
        <v>121</v>
      </c>
      <c r="B74" s="156"/>
      <c r="C74" s="157"/>
      <c r="D74" s="114"/>
      <c r="E74" s="114"/>
      <c r="F74" s="114"/>
      <c r="G74" s="109"/>
    </row>
    <row r="75" spans="1:12" ht="51.75" thickBot="1" x14ac:dyDescent="0.3">
      <c r="A75" s="82" t="s">
        <v>116</v>
      </c>
      <c r="B75" s="83" t="s">
        <v>63</v>
      </c>
      <c r="C75" s="84" t="s">
        <v>96</v>
      </c>
      <c r="D75" s="115"/>
      <c r="E75" s="116"/>
      <c r="F75" s="117"/>
      <c r="G75" s="109"/>
      <c r="I75" s="1" t="s">
        <v>78</v>
      </c>
      <c r="J75" s="1"/>
      <c r="K75" s="1"/>
      <c r="L75" s="2">
        <f>C28-L73</f>
        <v>-1338381.8800000001</v>
      </c>
    </row>
    <row r="76" spans="1:12" x14ac:dyDescent="0.25">
      <c r="A76" s="85" t="s">
        <v>65</v>
      </c>
      <c r="B76" s="134" t="s">
        <v>31</v>
      </c>
      <c r="C76" s="135" t="s">
        <v>31</v>
      </c>
      <c r="D76" s="115"/>
      <c r="E76" s="116"/>
      <c r="F76" s="117"/>
      <c r="G76" s="109"/>
    </row>
    <row r="77" spans="1:12" ht="30" x14ac:dyDescent="0.25">
      <c r="A77" s="179" t="s">
        <v>166</v>
      </c>
      <c r="B77" s="43"/>
      <c r="C77" s="124">
        <v>33900</v>
      </c>
      <c r="D77" s="115"/>
      <c r="E77" s="116"/>
      <c r="F77" s="117"/>
      <c r="G77" s="109"/>
    </row>
    <row r="78" spans="1:12" hidden="1" x14ac:dyDescent="0.25">
      <c r="A78" s="53"/>
      <c r="B78" s="43"/>
      <c r="C78" s="124"/>
      <c r="D78" s="115"/>
      <c r="E78" s="116"/>
      <c r="F78" s="117"/>
      <c r="G78" s="109"/>
    </row>
    <row r="79" spans="1:12" hidden="1" x14ac:dyDescent="0.25">
      <c r="A79" s="53"/>
      <c r="B79" s="43"/>
      <c r="C79" s="124"/>
      <c r="D79" s="115"/>
      <c r="E79" s="116"/>
      <c r="F79" s="117"/>
      <c r="G79" s="109"/>
    </row>
    <row r="80" spans="1:12" x14ac:dyDescent="0.25">
      <c r="A80" s="179" t="s">
        <v>183</v>
      </c>
      <c r="B80" s="43"/>
      <c r="C80" s="124">
        <v>3177</v>
      </c>
      <c r="D80" s="115"/>
      <c r="E80" s="116"/>
      <c r="F80" s="117"/>
      <c r="G80" s="109"/>
    </row>
    <row r="81" spans="1:7" ht="15.75" thickBot="1" x14ac:dyDescent="0.3">
      <c r="A81" s="176" t="s">
        <v>5</v>
      </c>
      <c r="B81" s="177">
        <f>B77</f>
        <v>0</v>
      </c>
      <c r="C81" s="178">
        <f>C77+C78+C79+C80</f>
        <v>37077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 t="s">
        <v>79</v>
      </c>
      <c r="B84" s="33"/>
      <c r="D84" s="118"/>
      <c r="E84" s="116"/>
      <c r="F84" s="117"/>
      <c r="G84" s="109"/>
    </row>
    <row r="85" spans="1:7" x14ac:dyDescent="0.25">
      <c r="A85" s="60" t="s">
        <v>34</v>
      </c>
      <c r="B85" s="20">
        <f>B44/C8/12</f>
        <v>16.9849062770754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81</v>
      </c>
      <c r="B86" s="20">
        <f>B58/C8/12</f>
        <v>1.4916960363057017</v>
      </c>
      <c r="C86" s="101" t="s">
        <v>80</v>
      </c>
      <c r="D86" s="118"/>
      <c r="E86" s="116"/>
      <c r="F86" s="117"/>
      <c r="G86" s="109"/>
    </row>
    <row r="87" spans="1:7" x14ac:dyDescent="0.25">
      <c r="A87" s="60" t="s">
        <v>82</v>
      </c>
      <c r="B87" s="20">
        <f>B59/C8/12</f>
        <v>0.31119264873911712</v>
      </c>
      <c r="C87" s="101" t="s">
        <v>80</v>
      </c>
      <c r="D87" s="118"/>
      <c r="E87" s="116"/>
      <c r="F87" s="117"/>
      <c r="G87" s="109"/>
    </row>
    <row r="88" spans="1:7" x14ac:dyDescent="0.25">
      <c r="A88" s="60"/>
      <c r="B88" s="33"/>
      <c r="C88" s="98"/>
      <c r="D88" s="118"/>
      <c r="E88" s="116"/>
      <c r="F88" s="117"/>
      <c r="G88" s="109"/>
    </row>
    <row r="89" spans="1:7" x14ac:dyDescent="0.25">
      <c r="A89" s="185" t="s">
        <v>172</v>
      </c>
      <c r="B89" s="180"/>
      <c r="C89" s="184"/>
      <c r="D89" s="182"/>
      <c r="E89" s="183"/>
      <c r="F89" s="119"/>
      <c r="G89" s="109"/>
    </row>
    <row r="90" spans="1:7" x14ac:dyDescent="0.25">
      <c r="A90" s="185" t="s">
        <v>170</v>
      </c>
      <c r="B90" s="186"/>
      <c r="C90" s="184"/>
      <c r="D90" s="182"/>
      <c r="E90" s="183"/>
      <c r="F90" s="109"/>
      <c r="G90" s="109"/>
    </row>
    <row r="91" spans="1:7" x14ac:dyDescent="0.25">
      <c r="A91" s="185"/>
      <c r="B91" s="186"/>
      <c r="C91" s="184"/>
      <c r="D91" s="181"/>
      <c r="E91" s="183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9" t="s">
        <v>83</v>
      </c>
      <c r="B93" s="104"/>
      <c r="C93" s="105"/>
      <c r="D93" s="133" t="s">
        <v>95</v>
      </c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3"/>
  <sheetViews>
    <sheetView topLeftCell="A72" workbookViewId="0">
      <selection sqref="A1:E94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ht="15.75" thickBot="1" x14ac:dyDescent="0.3">
      <c r="A6" s="10" t="s">
        <v>168</v>
      </c>
      <c r="B6" s="11"/>
      <c r="C6" s="11">
        <v>5051.8999999999996</v>
      </c>
      <c r="D6" s="12">
        <v>97</v>
      </c>
      <c r="L6" s="125"/>
      <c r="M6" s="125"/>
      <c r="N6" s="125"/>
      <c r="O6" s="125"/>
    </row>
    <row r="7" spans="1:22" x14ac:dyDescent="0.25">
      <c r="A7" s="10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5051.8999999999996</v>
      </c>
      <c r="D8" s="18">
        <f>D6</f>
        <v>97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16.850000000000001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0.47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0.18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208629.33+197863.37</f>
        <v>406492.69999999995</v>
      </c>
      <c r="C20" s="41">
        <f>860960.84+30159.93+27838.61+136814.15-47869.29-37938.34</f>
        <v>969965.9</v>
      </c>
      <c r="D20" s="40">
        <f>770613.42+67450.39+65554.91+8160.27</f>
        <v>911778.99000000011</v>
      </c>
      <c r="E20" s="42">
        <f t="shared" ref="E20:E38" si="0">C20-D20+B20</f>
        <v>464679.60999999987</v>
      </c>
      <c r="F20" s="137">
        <f>C20+F22</f>
        <v>986140.76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f>12137.94+2022.99+1063.62+950.31</f>
        <v>16174.859999999999</v>
      </c>
      <c r="D22" s="43">
        <f>7361.89+1121.1+172.15+364.08</f>
        <v>9019.2199999999993</v>
      </c>
      <c r="E22" s="45">
        <f t="shared" si="0"/>
        <v>7155.6399999999994</v>
      </c>
      <c r="F22" s="137">
        <f>C22</f>
        <v>16174.859999999999</v>
      </c>
      <c r="G22" s="139">
        <f>F22*G20/F20</f>
        <v>1.6402181773725688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f>9341.77+8873.75</f>
        <v>18215.52</v>
      </c>
      <c r="C26" s="44">
        <f>23981.74-339.45+1079.12+5005.73-2940.16-1775.75</f>
        <v>25011.23</v>
      </c>
      <c r="D26" s="44">
        <f>26279.2+1827.06+2838.13+114.02</f>
        <v>31058.410000000003</v>
      </c>
      <c r="E26" s="45">
        <f t="shared" si="0"/>
        <v>12168.339999999997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524258.60000000009</v>
      </c>
      <c r="C28" s="50">
        <f>C29+C30+C31+C33+C32</f>
        <v>653601.97</v>
      </c>
      <c r="D28" s="50">
        <f>D29+D30+D31+D33+D32</f>
        <v>800415.58000000007</v>
      </c>
      <c r="E28" s="51">
        <f>C28-D28+B28</f>
        <v>377444.99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217277.28-1027.58+218686.09</f>
        <v>434935.79000000004</v>
      </c>
      <c r="C29" s="40">
        <f>778483.89-652821.73+14953.21+126397.86-156891.75-22548.76</f>
        <v>87572.720000000045</v>
      </c>
      <c r="D29" s="40">
        <f>220098.59+23942.99+42831.03+5188.25-5.27</f>
        <v>292055.58999999997</v>
      </c>
      <c r="E29" s="42">
        <f t="shared" si="0"/>
        <v>230452.9200000001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46953.38+10221.76</f>
        <v>57175.14</v>
      </c>
      <c r="C30" s="43">
        <f>309768.11+85555.98+6176.28+3412.46-22899.25-9236.8+561.5+170.36+153.53+46.81</f>
        <v>373708.98000000004</v>
      </c>
      <c r="D30" s="43">
        <f>239591.14+17153.69+64175.77+4755.64+7909.68+334.01+101.51+127.91+38.61</f>
        <v>334187.96000000002</v>
      </c>
      <c r="E30" s="45">
        <f t="shared" si="0"/>
        <v>96696.160000000018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9829.15</v>
      </c>
      <c r="C31" s="43">
        <f>63053.88+1870.12-4992.11+275.57+108.71</f>
        <v>60316.17</v>
      </c>
      <c r="D31" s="43">
        <f>49597.42+3990.21+101.83+60.03</f>
        <v>53749.49</v>
      </c>
      <c r="E31" s="45">
        <f t="shared" si="0"/>
        <v>16395.830000000002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22318.52</v>
      </c>
      <c r="C33" s="43">
        <f>139829.07+4338.74-12561.87+244.36+153.8</f>
        <v>132004.09999999998</v>
      </c>
      <c r="D33" s="43">
        <f>111701.59+8463.95+178.9+78.1</f>
        <v>120422.54</v>
      </c>
      <c r="E33" s="45">
        <f t="shared" si="0"/>
        <v>33900.079999999987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f>21303.19+10754.49</f>
        <v>32057.68</v>
      </c>
      <c r="C35" s="55">
        <f>171503.64+123.76-1247.06+10565.06-2306.13-4058.97</f>
        <v>174580.30000000002</v>
      </c>
      <c r="D35" s="55">
        <f>118735.3+11933.19+6572.51+353.98</f>
        <v>137594.98000000001</v>
      </c>
      <c r="E35" s="45">
        <f t="shared" si="0"/>
        <v>69043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981024.50000000012</v>
      </c>
      <c r="C39" s="58">
        <f>C20+C21+C22+C23+C24+C25+C26+C28+C35+C36+C37+C38</f>
        <v>1839334.26</v>
      </c>
      <c r="D39" s="58">
        <f>D20+D21+D22+D23+D24+D25+D26+D28+D35+D36+D37+D38+D27</f>
        <v>1889867.1800000002</v>
      </c>
      <c r="E39" s="58">
        <f>E20+E21+E22+E23+E24+E25+E26+E28+E35+E36+E37+E38+E27</f>
        <v>930491.57999999984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B44+B60+B61+B58+B63+B59+B62</f>
        <v>1070565.2702666721</v>
      </c>
      <c r="C42" s="64" t="s">
        <v>31</v>
      </c>
      <c r="D42" s="140">
        <f>C39-B42-B63</f>
        <v>760867.93680097477</v>
      </c>
      <c r="E42" s="141" t="s">
        <v>32</v>
      </c>
      <c r="F42" s="142">
        <v>5228898.0599999996</v>
      </c>
      <c r="G42" s="142">
        <f>F42/F48*C8</f>
        <v>236316.52604870222</v>
      </c>
      <c r="H42" s="136"/>
      <c r="I42" s="109"/>
      <c r="J42" s="168"/>
    </row>
    <row r="43" spans="1:22" x14ac:dyDescent="0.25">
      <c r="A43" s="65" t="s">
        <v>92</v>
      </c>
      <c r="B43" s="66"/>
      <c r="C43" s="70" t="s">
        <v>31</v>
      </c>
      <c r="D43" s="140"/>
      <c r="E43" s="141" t="s">
        <v>33</v>
      </c>
      <c r="F43" s="142">
        <v>1017312.51</v>
      </c>
      <c r="G43" s="142">
        <f>F43/F48*C8</f>
        <v>45976.753708043347</v>
      </c>
      <c r="H43" s="136"/>
      <c r="I43" s="109"/>
      <c r="J43" s="168"/>
    </row>
    <row r="44" spans="1:22" x14ac:dyDescent="0.25">
      <c r="A44" s="68" t="s">
        <v>34</v>
      </c>
      <c r="B44" s="69">
        <f>B45+B46+B48+B49+B50+B51+B52+B53+B54+B55+B56+B47+B57</f>
        <v>869938.3873343193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7901.0529323530782</v>
      </c>
      <c r="H44" s="136"/>
      <c r="I44" s="109"/>
      <c r="J44" s="168"/>
    </row>
    <row r="45" spans="1:22" x14ac:dyDescent="0.25">
      <c r="A45" s="71" t="s">
        <v>112</v>
      </c>
      <c r="B45" s="72">
        <v>28723.96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9330.7171498329826</v>
      </c>
      <c r="H45" s="136"/>
      <c r="I45" s="109"/>
      <c r="J45" s="168"/>
    </row>
    <row r="46" spans="1:22" x14ac:dyDescent="0.25">
      <c r="A46" s="74" t="s">
        <v>37</v>
      </c>
      <c r="B46" s="72">
        <f>G42+G43</f>
        <v>282293.27975674556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2300.7030586304218</v>
      </c>
      <c r="H46" s="136"/>
      <c r="I46" s="109"/>
      <c r="J46" s="168"/>
    </row>
    <row r="47" spans="1:22" x14ac:dyDescent="0.25">
      <c r="A47" s="74" t="s">
        <v>39</v>
      </c>
      <c r="B47" s="72">
        <v>6500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315816.52529407083</v>
      </c>
      <c r="H47" s="136"/>
      <c r="I47" s="109"/>
      <c r="J47" s="168"/>
    </row>
    <row r="48" spans="1:22" x14ac:dyDescent="0.25">
      <c r="A48" s="71" t="s">
        <v>40</v>
      </c>
      <c r="B48" s="72">
        <f>G46+13885.11</f>
        <v>16185.813058630421</v>
      </c>
      <c r="C48" s="73" t="s">
        <v>31</v>
      </c>
      <c r="D48" s="140"/>
      <c r="E48" s="144" t="s">
        <v>41</v>
      </c>
      <c r="F48" s="145">
        <v>111781.73</v>
      </c>
      <c r="G48" s="142"/>
      <c r="H48" s="136"/>
      <c r="I48" s="109"/>
      <c r="J48" s="168"/>
    </row>
    <row r="49" spans="1:12" x14ac:dyDescent="0.25">
      <c r="A49" s="71" t="s">
        <v>42</v>
      </c>
      <c r="B49" s="72">
        <f>G45</f>
        <v>9330.7171498329826</v>
      </c>
      <c r="C49" s="73" t="s">
        <v>31</v>
      </c>
      <c r="D49" s="140"/>
      <c r="E49" s="145"/>
      <c r="F49" s="142">
        <f>F46*0.6559</f>
        <v>33389.835709999999</v>
      </c>
      <c r="G49" s="142"/>
      <c r="H49" s="136"/>
      <c r="I49" s="109"/>
      <c r="J49" s="168"/>
    </row>
    <row r="50" spans="1:12" x14ac:dyDescent="0.25">
      <c r="A50" s="71" t="s">
        <v>43</v>
      </c>
      <c r="B50" s="72">
        <f>G47</f>
        <v>315816.52529407083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133.16508297017768</v>
      </c>
      <c r="H50" s="136"/>
      <c r="I50" s="109"/>
      <c r="J50" s="168"/>
    </row>
    <row r="51" spans="1:12" x14ac:dyDescent="0.25">
      <c r="A51" s="71" t="s">
        <v>44</v>
      </c>
      <c r="B51" s="72">
        <f>F54</f>
        <v>3493.0639578442406</v>
      </c>
      <c r="C51" s="73" t="s">
        <v>31</v>
      </c>
      <c r="D51" s="140"/>
      <c r="E51" s="140"/>
      <c r="F51" s="147"/>
      <c r="G51" s="148"/>
      <c r="H51" s="136"/>
      <c r="I51" s="109"/>
      <c r="J51" s="168"/>
    </row>
    <row r="52" spans="1:12" x14ac:dyDescent="0.25">
      <c r="A52" s="71" t="s">
        <v>45</v>
      </c>
      <c r="B52" s="72">
        <f>G50</f>
        <v>133.16508297017768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36"/>
      <c r="I52" s="109"/>
      <c r="J52" s="168"/>
    </row>
    <row r="53" spans="1:12" x14ac:dyDescent="0.25">
      <c r="A53" s="71" t="s">
        <v>46</v>
      </c>
      <c r="B53" s="72">
        <f>-663.79+2053.2+1138.16+2053.2+915.96</f>
        <v>5496.73</v>
      </c>
      <c r="C53" s="73" t="s">
        <v>31</v>
      </c>
      <c r="D53" s="140"/>
      <c r="E53" s="140" t="s">
        <v>93</v>
      </c>
      <c r="F53" s="147">
        <v>30234.54</v>
      </c>
      <c r="G53" s="148"/>
      <c r="H53" s="136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169</v>
      </c>
      <c r="F54" s="147">
        <f>F52/F53*C8</f>
        <v>3493.0639578442406</v>
      </c>
      <c r="G54" s="148"/>
      <c r="H54" s="136"/>
      <c r="I54" s="109"/>
      <c r="J54" s="168"/>
    </row>
    <row r="55" spans="1:12" x14ac:dyDescent="0.25">
      <c r="A55" s="71" t="s">
        <v>48</v>
      </c>
      <c r="B55" s="72">
        <v>16389.509999999998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63575.623034224998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71" t="s">
        <v>165</v>
      </c>
      <c r="B57" s="72">
        <f>5026.88+6973.12+5026.88+6973.12+5026.88+6973.12+2513.44+3486.56+837.81+1162.19+2513.44+3486.56+2513.44+3486.56+2513.44+3486.56+5026.88+6973.12+12000+12000+12000+12000</f>
        <v>122000</v>
      </c>
      <c r="C57" s="73" t="s">
        <v>31</v>
      </c>
      <c r="D57" s="140"/>
      <c r="E57" s="140"/>
      <c r="F57" s="169"/>
      <c r="G57" s="136"/>
      <c r="H57" s="168"/>
      <c r="I57" s="168"/>
      <c r="J57" s="168"/>
    </row>
    <row r="58" spans="1:12" x14ac:dyDescent="0.25">
      <c r="A58" s="68" t="s">
        <v>50</v>
      </c>
      <c r="B58" s="69">
        <f>C81</f>
        <v>0</v>
      </c>
      <c r="C58" s="70" t="s">
        <v>31</v>
      </c>
      <c r="D58" s="149"/>
      <c r="E58" s="149"/>
      <c r="F58" s="150"/>
      <c r="G58" s="151"/>
      <c r="H58" s="151"/>
      <c r="I58" s="109"/>
      <c r="J58" s="109"/>
    </row>
    <row r="59" spans="1:12" x14ac:dyDescent="0.25">
      <c r="A59" s="68" t="s">
        <v>51</v>
      </c>
      <c r="B59" s="69">
        <v>5673.4</v>
      </c>
      <c r="C59" s="70" t="s">
        <v>31</v>
      </c>
      <c r="D59" s="149"/>
      <c r="E59" s="149"/>
      <c r="F59" s="150"/>
      <c r="G59" s="151"/>
      <c r="H59" s="151"/>
      <c r="I59" s="79"/>
      <c r="J59" s="79" t="s">
        <v>56</v>
      </c>
      <c r="K59" s="79"/>
      <c r="L59" s="79" t="s">
        <v>57</v>
      </c>
    </row>
    <row r="60" spans="1:12" x14ac:dyDescent="0.25">
      <c r="A60" s="68" t="s">
        <v>52</v>
      </c>
      <c r="B60" s="69">
        <f>L73</f>
        <v>0</v>
      </c>
      <c r="C60" s="70" t="s">
        <v>31</v>
      </c>
      <c r="D60" s="56"/>
      <c r="E60" s="56"/>
      <c r="F60" s="3"/>
      <c r="I60" s="78" t="s">
        <v>64</v>
      </c>
      <c r="J60" s="129"/>
      <c r="K60" s="78"/>
      <c r="L60" s="129"/>
    </row>
    <row r="61" spans="1:12" x14ac:dyDescent="0.25">
      <c r="A61" s="68" t="s">
        <v>53</v>
      </c>
      <c r="B61" s="69">
        <v>187052.43</v>
      </c>
      <c r="C61" s="70" t="s">
        <v>54</v>
      </c>
      <c r="D61" s="56"/>
      <c r="E61" s="56"/>
      <c r="F61" s="3"/>
      <c r="I61" s="78" t="s">
        <v>66</v>
      </c>
      <c r="J61" s="129"/>
      <c r="K61" s="78"/>
      <c r="L61" s="129"/>
    </row>
    <row r="62" spans="1:12" x14ac:dyDescent="0.25">
      <c r="A62" s="164" t="s">
        <v>113</v>
      </c>
      <c r="B62" s="165">
        <f>C37/1.02</f>
        <v>0</v>
      </c>
      <c r="C62" s="166"/>
      <c r="D62" s="56"/>
      <c r="E62" s="56"/>
      <c r="F62" s="3"/>
      <c r="I62" s="78" t="s">
        <v>67</v>
      </c>
      <c r="J62" s="129"/>
      <c r="K62" s="78"/>
      <c r="L62" s="129"/>
    </row>
    <row r="63" spans="1:12" ht="15.75" thickBot="1" x14ac:dyDescent="0.3">
      <c r="A63" s="75" t="s">
        <v>114</v>
      </c>
      <c r="B63" s="76">
        <f>G44</f>
        <v>7901.0529323530782</v>
      </c>
      <c r="C63" s="77" t="s">
        <v>31</v>
      </c>
      <c r="D63" s="56"/>
      <c r="E63" s="56"/>
      <c r="F63" s="3"/>
      <c r="I63" s="78" t="s">
        <v>68</v>
      </c>
      <c r="J63" s="129"/>
      <c r="K63" s="78"/>
      <c r="L63" s="129"/>
    </row>
    <row r="64" spans="1:12" x14ac:dyDescent="0.25">
      <c r="A64" s="60"/>
      <c r="B64" s="61"/>
      <c r="C64" s="56"/>
      <c r="D64" s="56"/>
      <c r="E64" s="56"/>
      <c r="F64" s="3"/>
      <c r="I64" s="78" t="s">
        <v>69</v>
      </c>
      <c r="J64" s="129"/>
      <c r="K64" s="78"/>
      <c r="L64" s="129"/>
    </row>
    <row r="65" spans="1:12" x14ac:dyDescent="0.25">
      <c r="A65" s="60" t="s">
        <v>98</v>
      </c>
      <c r="B65" s="174">
        <f>C39-C24+B43-B42</f>
        <v>768768.98973332788</v>
      </c>
      <c r="C65" s="56" t="s">
        <v>31</v>
      </c>
      <c r="D65" s="56"/>
      <c r="E65" s="56"/>
      <c r="F65" s="3"/>
      <c r="I65" s="78" t="s">
        <v>70</v>
      </c>
      <c r="J65" s="129"/>
      <c r="K65" s="78"/>
      <c r="L65" s="129"/>
    </row>
    <row r="66" spans="1:12" x14ac:dyDescent="0.25">
      <c r="A66" s="60" t="s">
        <v>99</v>
      </c>
      <c r="B66" s="2">
        <f>B67+B68+B69+B70+B71+B72</f>
        <v>768768.98973332765</v>
      </c>
      <c r="C66" s="56" t="s">
        <v>31</v>
      </c>
      <c r="D66" s="56"/>
      <c r="E66" s="56"/>
      <c r="F66" s="3"/>
      <c r="I66" s="78" t="s">
        <v>71</v>
      </c>
      <c r="J66" s="129"/>
      <c r="K66" s="78"/>
      <c r="L66" s="129"/>
    </row>
    <row r="67" spans="1:12" x14ac:dyDescent="0.25">
      <c r="A67" s="80" t="s">
        <v>58</v>
      </c>
      <c r="B67" s="81">
        <f>C20-B44-B63</f>
        <v>92126.459733327647</v>
      </c>
      <c r="C67" s="56" t="s">
        <v>31</v>
      </c>
      <c r="D67" s="56"/>
      <c r="E67" s="56"/>
      <c r="F67" s="3"/>
      <c r="I67" s="78" t="s">
        <v>72</v>
      </c>
      <c r="J67" s="129"/>
      <c r="K67" s="78"/>
      <c r="L67" s="129"/>
    </row>
    <row r="68" spans="1:12" x14ac:dyDescent="0.25">
      <c r="A68" s="80" t="s">
        <v>59</v>
      </c>
      <c r="B68" s="81">
        <f>C22-B58</f>
        <v>16174.859999999999</v>
      </c>
      <c r="C68" s="56" t="s">
        <v>31</v>
      </c>
      <c r="D68" s="56"/>
      <c r="E68" s="56"/>
      <c r="F68" s="3"/>
      <c r="I68" s="78" t="s">
        <v>73</v>
      </c>
      <c r="J68" s="129"/>
      <c r="K68" s="78"/>
      <c r="L68" s="129"/>
    </row>
    <row r="69" spans="1:12" x14ac:dyDescent="0.25">
      <c r="A69" s="80" t="s">
        <v>60</v>
      </c>
      <c r="B69" s="81">
        <f>C26-B59</f>
        <v>19337.830000000002</v>
      </c>
      <c r="C69" s="56" t="s">
        <v>31</v>
      </c>
      <c r="D69" s="56"/>
      <c r="E69" s="56"/>
      <c r="F69" s="3"/>
      <c r="I69" s="78" t="s">
        <v>74</v>
      </c>
      <c r="J69" s="129"/>
      <c r="K69" s="78"/>
      <c r="L69" s="129"/>
    </row>
    <row r="70" spans="1:12" x14ac:dyDescent="0.25">
      <c r="A70" s="80" t="s">
        <v>61</v>
      </c>
      <c r="B70" s="81">
        <f>C28-B60</f>
        <v>653601.97</v>
      </c>
      <c r="C70" s="56" t="s">
        <v>31</v>
      </c>
      <c r="D70" s="56"/>
      <c r="E70" s="56"/>
      <c r="F70" s="3"/>
      <c r="I70" s="78" t="s">
        <v>75</v>
      </c>
      <c r="J70" s="129"/>
      <c r="K70" s="78"/>
      <c r="L70" s="129"/>
    </row>
    <row r="71" spans="1:12" ht="15.75" thickBot="1" x14ac:dyDescent="0.3">
      <c r="A71" s="80" t="s">
        <v>62</v>
      </c>
      <c r="B71" s="81">
        <f>C35-B61</f>
        <v>-12472.129999999976</v>
      </c>
      <c r="C71" s="56" t="s">
        <v>31</v>
      </c>
      <c r="D71" s="56"/>
      <c r="E71" s="56"/>
      <c r="F71" s="3"/>
      <c r="I71" s="86" t="s">
        <v>76</v>
      </c>
      <c r="J71" s="130"/>
      <c r="K71" s="86"/>
      <c r="L71" s="130"/>
    </row>
    <row r="72" spans="1:12" x14ac:dyDescent="0.25">
      <c r="A72" s="80" t="s">
        <v>115</v>
      </c>
      <c r="B72" s="81">
        <f>C37-B62</f>
        <v>0</v>
      </c>
      <c r="C72" s="56" t="s">
        <v>31</v>
      </c>
      <c r="I72" s="87"/>
      <c r="J72" s="88"/>
      <c r="K72" s="88"/>
      <c r="L72" s="131"/>
    </row>
    <row r="73" spans="1:12" ht="15.75" thickBot="1" x14ac:dyDescent="0.3">
      <c r="A73" s="80"/>
      <c r="B73" s="81"/>
      <c r="C73" s="56"/>
      <c r="D73" s="111"/>
      <c r="E73" s="112"/>
      <c r="F73" s="113"/>
      <c r="G73" s="109"/>
      <c r="I73" s="92" t="s">
        <v>77</v>
      </c>
      <c r="J73" s="93"/>
      <c r="K73" s="93"/>
      <c r="L73" s="132">
        <f>J60+J61+J62+J63+J64+J65+J66+J67+J68+J69+J70+J71+L60+L61+L62+L63+L64+L65+L66+L67+L68+L69+L70+L71+N30</f>
        <v>0</v>
      </c>
    </row>
    <row r="74" spans="1:12" ht="15.75" thickBot="1" x14ac:dyDescent="0.3">
      <c r="A74" s="155" t="s">
        <v>121</v>
      </c>
      <c r="B74" s="156"/>
      <c r="C74" s="157"/>
      <c r="D74" s="114"/>
      <c r="E74" s="114"/>
      <c r="F74" s="114"/>
      <c r="G74" s="109"/>
    </row>
    <row r="75" spans="1:12" ht="51.75" thickBot="1" x14ac:dyDescent="0.3">
      <c r="A75" s="82" t="s">
        <v>116</v>
      </c>
      <c r="B75" s="83" t="s">
        <v>63</v>
      </c>
      <c r="C75" s="84" t="s">
        <v>96</v>
      </c>
      <c r="D75" s="115"/>
      <c r="E75" s="116"/>
      <c r="F75" s="117"/>
      <c r="G75" s="109"/>
      <c r="I75" s="1" t="s">
        <v>78</v>
      </c>
      <c r="J75" s="1"/>
      <c r="K75" s="1"/>
      <c r="L75" s="2">
        <f>C28-L73</f>
        <v>653601.97</v>
      </c>
    </row>
    <row r="76" spans="1:12" x14ac:dyDescent="0.25">
      <c r="A76" s="85" t="s">
        <v>65</v>
      </c>
      <c r="B76" s="134" t="s">
        <v>31</v>
      </c>
      <c r="C76" s="135" t="s">
        <v>31</v>
      </c>
      <c r="D76" s="115"/>
      <c r="E76" s="116"/>
      <c r="F76" s="117"/>
      <c r="G76" s="109"/>
    </row>
    <row r="77" spans="1:12" x14ac:dyDescent="0.25">
      <c r="A77" s="179"/>
      <c r="B77" s="43"/>
      <c r="C77" s="124"/>
      <c r="D77" s="115"/>
      <c r="E77" s="116"/>
      <c r="F77" s="117"/>
      <c r="G77" s="109"/>
    </row>
    <row r="78" spans="1:12" hidden="1" x14ac:dyDescent="0.25">
      <c r="A78" s="53"/>
      <c r="B78" s="43"/>
      <c r="C78" s="124"/>
      <c r="D78" s="115"/>
      <c r="E78" s="116"/>
      <c r="F78" s="117"/>
      <c r="G78" s="109"/>
    </row>
    <row r="79" spans="1:12" hidden="1" x14ac:dyDescent="0.25">
      <c r="A79" s="53"/>
      <c r="B79" s="43"/>
      <c r="C79" s="124"/>
      <c r="D79" s="115"/>
      <c r="E79" s="116"/>
      <c r="F79" s="117"/>
      <c r="G79" s="109"/>
    </row>
    <row r="80" spans="1:12" x14ac:dyDescent="0.25">
      <c r="A80" s="53"/>
      <c r="B80" s="43"/>
      <c r="C80" s="124"/>
      <c r="D80" s="115"/>
      <c r="E80" s="116"/>
      <c r="F80" s="117"/>
      <c r="G80" s="109"/>
    </row>
    <row r="81" spans="1:7" ht="15.75" thickBot="1" x14ac:dyDescent="0.3">
      <c r="A81" s="176" t="s">
        <v>5</v>
      </c>
      <c r="B81" s="177">
        <f>B77</f>
        <v>0</v>
      </c>
      <c r="C81" s="178">
        <f>C77+C78+C79+C80</f>
        <v>0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hidden="1" x14ac:dyDescent="0.25">
      <c r="A84" s="60" t="s">
        <v>79</v>
      </c>
      <c r="B84" s="33"/>
      <c r="D84" s="118"/>
      <c r="E84" s="116"/>
      <c r="F84" s="117"/>
      <c r="G84" s="109"/>
    </row>
    <row r="85" spans="1:7" hidden="1" x14ac:dyDescent="0.25">
      <c r="A85" s="60" t="s">
        <v>34</v>
      </c>
      <c r="B85" s="20">
        <f>B44/C8/12</f>
        <v>14.350019915515604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81</v>
      </c>
      <c r="B86" s="20">
        <f>B58/C8/12</f>
        <v>0</v>
      </c>
      <c r="C86" s="101" t="s">
        <v>80</v>
      </c>
      <c r="D86" s="118"/>
      <c r="E86" s="116"/>
      <c r="F86" s="117"/>
      <c r="G86" s="109"/>
    </row>
    <row r="87" spans="1:7" hidden="1" x14ac:dyDescent="0.25">
      <c r="A87" s="60" t="s">
        <v>82</v>
      </c>
      <c r="B87" s="20">
        <f>B59/C8/12</f>
        <v>9.3585251753465701E-2</v>
      </c>
      <c r="C87" s="101" t="s">
        <v>80</v>
      </c>
      <c r="D87" s="118"/>
      <c r="E87" s="116"/>
      <c r="F87" s="117"/>
      <c r="G87" s="109"/>
    </row>
    <row r="88" spans="1:7" x14ac:dyDescent="0.25">
      <c r="A88" s="60"/>
      <c r="B88" s="33"/>
      <c r="C88" s="98"/>
      <c r="D88" s="118"/>
      <c r="E88" s="116"/>
      <c r="F88" s="117"/>
      <c r="G88" s="109"/>
    </row>
    <row r="89" spans="1:7" x14ac:dyDescent="0.25">
      <c r="A89" s="185" t="s">
        <v>172</v>
      </c>
      <c r="B89" s="180"/>
      <c r="C89" s="184"/>
      <c r="D89" s="182"/>
      <c r="E89" s="183"/>
      <c r="F89" s="119"/>
      <c r="G89" s="109"/>
    </row>
    <row r="90" spans="1:7" x14ac:dyDescent="0.25">
      <c r="A90" s="185" t="s">
        <v>170</v>
      </c>
      <c r="B90" s="186"/>
      <c r="C90" s="184"/>
      <c r="D90" s="182"/>
      <c r="E90" s="183"/>
      <c r="F90" s="109"/>
      <c r="G90" s="109"/>
    </row>
    <row r="91" spans="1:7" x14ac:dyDescent="0.25">
      <c r="A91" s="185" t="s">
        <v>171</v>
      </c>
      <c r="B91" s="186"/>
      <c r="C91" s="184"/>
      <c r="D91" s="181"/>
      <c r="E91" s="183"/>
      <c r="F91" s="109"/>
      <c r="G91" s="109"/>
    </row>
    <row r="92" spans="1:7" x14ac:dyDescent="0.25">
      <c r="A92" s="31"/>
      <c r="B92" s="33"/>
      <c r="C92" s="105"/>
      <c r="E92" s="116"/>
      <c r="F92" s="109"/>
      <c r="G92" s="109"/>
    </row>
    <row r="93" spans="1:7" x14ac:dyDescent="0.25">
      <c r="A93" s="103"/>
      <c r="B93" s="104"/>
      <c r="C93" s="105"/>
      <c r="D93" s="118"/>
      <c r="E93" s="116"/>
      <c r="F93" s="109"/>
      <c r="G93" s="109"/>
    </row>
    <row r="94" spans="1:7" x14ac:dyDescent="0.25">
      <c r="A94" s="19" t="s">
        <v>83</v>
      </c>
      <c r="B94" s="104"/>
      <c r="C94" s="105"/>
      <c r="D94" s="133" t="s">
        <v>95</v>
      </c>
      <c r="E94" s="100"/>
    </row>
    <row r="95" spans="1:7" x14ac:dyDescent="0.25">
      <c r="A95" s="103"/>
      <c r="B95" s="104"/>
      <c r="C95" s="105"/>
      <c r="D95" s="99"/>
      <c r="E95" s="100"/>
    </row>
    <row r="96" spans="1:7" x14ac:dyDescent="0.25">
      <c r="A96" s="103"/>
      <c r="B96" s="104"/>
      <c r="C96" s="98"/>
      <c r="D96" s="99"/>
      <c r="E96" s="100"/>
    </row>
    <row r="97" spans="1:6" x14ac:dyDescent="0.25">
      <c r="A97" s="31"/>
      <c r="B97" s="33"/>
      <c r="C97" s="98"/>
      <c r="D97" s="99"/>
      <c r="E97" s="100"/>
    </row>
    <row r="98" spans="1:6" x14ac:dyDescent="0.25">
      <c r="A98" s="31"/>
      <c r="B98" s="33"/>
      <c r="C98" s="56"/>
      <c r="D98" s="99"/>
      <c r="E98" s="100"/>
    </row>
    <row r="99" spans="1:6" x14ac:dyDescent="0.25">
      <c r="A99" s="19"/>
      <c r="B99" s="20"/>
      <c r="C99" s="56"/>
      <c r="D99" s="56"/>
      <c r="E99" s="56"/>
    </row>
    <row r="100" spans="1:6" x14ac:dyDescent="0.25">
      <c r="A100" s="19"/>
      <c r="B100" s="20"/>
      <c r="C100" s="56"/>
      <c r="D100" s="102"/>
      <c r="E100" s="56"/>
    </row>
    <row r="101" spans="1:6" x14ac:dyDescent="0.25">
      <c r="A101" s="19"/>
      <c r="B101" s="20"/>
      <c r="C101" s="100"/>
      <c r="D101" s="99"/>
      <c r="E101" s="100"/>
    </row>
    <row r="102" spans="1:6" x14ac:dyDescent="0.25">
      <c r="A102" s="31"/>
      <c r="B102" s="33"/>
      <c r="C102" s="100"/>
      <c r="D102" s="99"/>
      <c r="E102" s="100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</row>
    <row r="105" spans="1:6" x14ac:dyDescent="0.25">
      <c r="A105" s="107"/>
      <c r="B105" s="108"/>
      <c r="C105" s="100"/>
      <c r="D105" s="105"/>
      <c r="E105" s="100"/>
      <c r="F105" s="106"/>
    </row>
    <row r="106" spans="1:6" x14ac:dyDescent="0.25">
      <c r="A106" s="31"/>
      <c r="B106" s="33"/>
      <c r="C106" s="100"/>
      <c r="D106" s="105"/>
      <c r="E106" s="100"/>
    </row>
    <row r="107" spans="1:6" x14ac:dyDescent="0.25">
      <c r="A107" s="31"/>
      <c r="B107" s="33"/>
      <c r="C107" s="56"/>
      <c r="D107" s="98"/>
      <c r="E107" s="100"/>
    </row>
    <row r="108" spans="1:6" x14ac:dyDescent="0.25">
      <c r="A108" s="19"/>
      <c r="B108" s="20"/>
      <c r="C108" s="100"/>
      <c r="D108" s="98"/>
      <c r="E108" s="100"/>
    </row>
    <row r="109" spans="1:6" x14ac:dyDescent="0.25">
      <c r="A109" s="31"/>
      <c r="B109" s="33"/>
      <c r="C109" s="100"/>
      <c r="D109" s="56"/>
      <c r="E109" s="56"/>
      <c r="F109" s="3"/>
    </row>
    <row r="110" spans="1:6" x14ac:dyDescent="0.25">
      <c r="A110" s="31"/>
      <c r="B110" s="33"/>
      <c r="C110" s="33"/>
      <c r="D110" s="56"/>
      <c r="E110" s="100"/>
    </row>
    <row r="111" spans="1:6" x14ac:dyDescent="0.25">
      <c r="A111" s="31"/>
      <c r="B111" s="33"/>
      <c r="C111" s="33"/>
      <c r="D111" s="56"/>
      <c r="E111" s="56"/>
    </row>
    <row r="112" spans="1:6" x14ac:dyDescent="0.25">
      <c r="A112" s="31"/>
      <c r="B112" s="33"/>
      <c r="C112" s="33"/>
      <c r="D112" s="100"/>
      <c r="E112" s="100"/>
    </row>
    <row r="113" spans="1:6" x14ac:dyDescent="0.25">
      <c r="A113" s="31"/>
      <c r="B113" s="33"/>
      <c r="D113" s="100"/>
      <c r="E113" s="100"/>
    </row>
    <row r="114" spans="1:6" x14ac:dyDescent="0.25">
      <c r="D114" s="100"/>
      <c r="E114" s="100"/>
    </row>
    <row r="115" spans="1:6" x14ac:dyDescent="0.25">
      <c r="D115" s="100"/>
      <c r="E115" s="100"/>
    </row>
    <row r="116" spans="1:6" x14ac:dyDescent="0.25">
      <c r="D116" s="100"/>
      <c r="E116" s="100"/>
    </row>
    <row r="117" spans="1:6" x14ac:dyDescent="0.25">
      <c r="D117" s="100"/>
      <c r="E117" s="100"/>
    </row>
    <row r="118" spans="1:6" x14ac:dyDescent="0.25">
      <c r="B118"/>
      <c r="C118"/>
      <c r="D118" s="56"/>
      <c r="E118" s="56"/>
      <c r="F118" s="3"/>
    </row>
    <row r="119" spans="1:6" x14ac:dyDescent="0.25">
      <c r="B119"/>
      <c r="C119"/>
      <c r="D119" s="100"/>
      <c r="E119" s="100"/>
      <c r="F119" s="3"/>
    </row>
    <row r="120" spans="1:6" x14ac:dyDescent="0.25">
      <c r="B120"/>
      <c r="C120"/>
      <c r="D120" s="100"/>
      <c r="E120" s="100"/>
    </row>
    <row r="121" spans="1:6" x14ac:dyDescent="0.25">
      <c r="B121"/>
      <c r="C121"/>
      <c r="D121" s="33"/>
      <c r="E121" s="33"/>
    </row>
    <row r="122" spans="1:6" x14ac:dyDescent="0.25">
      <c r="B122"/>
      <c r="C122"/>
      <c r="D122" s="33"/>
      <c r="E122" s="33"/>
    </row>
    <row r="123" spans="1:6" x14ac:dyDescent="0.25">
      <c r="D123" s="33"/>
      <c r="E123" s="33"/>
    </row>
  </sheetData>
  <pageMargins left="0.7" right="0.7" top="0.75" bottom="0.75" header="0.3" footer="0.3"/>
  <pageSetup paperSize="9" scale="3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3"/>
  <sheetViews>
    <sheetView topLeftCell="A69" workbookViewId="0">
      <selection sqref="A1:E94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187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4"/>
      <c r="D4" s="128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33"/>
      <c r="E5"/>
      <c r="K5" s="125"/>
      <c r="L5" s="125"/>
      <c r="M5" s="125"/>
      <c r="N5" s="125"/>
    </row>
    <row r="6" spans="1:22" ht="15.75" thickBot="1" x14ac:dyDescent="0.3">
      <c r="A6" s="188" t="s">
        <v>188</v>
      </c>
      <c r="B6" s="190">
        <v>1674.1</v>
      </c>
      <c r="C6" s="191">
        <v>30</v>
      </c>
      <c r="E6"/>
      <c r="K6" s="125"/>
      <c r="L6" s="125"/>
      <c r="M6" s="125"/>
      <c r="N6" s="125"/>
    </row>
    <row r="7" spans="1:22" x14ac:dyDescent="0.25">
      <c r="A7" s="10"/>
      <c r="B7" s="95"/>
      <c r="C7" s="189"/>
      <c r="E7"/>
      <c r="K7" s="125"/>
      <c r="L7" s="125"/>
      <c r="M7" s="125"/>
      <c r="N7" s="125"/>
    </row>
    <row r="8" spans="1:22" ht="15.75" thickBot="1" x14ac:dyDescent="0.3">
      <c r="A8" s="16" t="s">
        <v>5</v>
      </c>
      <c r="B8" s="17">
        <f>B6+B7</f>
        <v>1674.1</v>
      </c>
      <c r="C8" s="18">
        <f>C6</f>
        <v>30</v>
      </c>
      <c r="E8"/>
      <c r="K8" s="125"/>
      <c r="L8" s="125"/>
      <c r="M8" s="125"/>
      <c r="N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 t="s">
        <v>189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12.99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60894.879999999997</v>
      </c>
      <c r="C20" s="41">
        <f>286195.2+3124.2</f>
        <v>289319.40000000002</v>
      </c>
      <c r="D20" s="40">
        <f>265578.63+21153.24</f>
        <v>286731.87</v>
      </c>
      <c r="E20" s="42">
        <f t="shared" ref="E20:E38" si="0">C20-D20+B20</f>
        <v>63482.410000000025</v>
      </c>
      <c r="F20" s="137">
        <f>C20+F22</f>
        <v>446427.65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17203.98</v>
      </c>
      <c r="C22" s="44">
        <f>155982.17+1126.08</f>
        <v>157108.25</v>
      </c>
      <c r="D22" s="43">
        <f>109369.65+11234.17</f>
        <v>120603.81999999999</v>
      </c>
      <c r="E22" s="45">
        <f t="shared" si="0"/>
        <v>53708.41</v>
      </c>
      <c r="F22" s="137">
        <f>C22</f>
        <v>157108.25</v>
      </c>
      <c r="G22" s="139">
        <f>F22*G20/F20</f>
        <v>35.192320636949795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111373.70999999999</v>
      </c>
      <c r="C28" s="50">
        <f>C29+C30+C31+C33+C32</f>
        <v>434880.85</v>
      </c>
      <c r="D28" s="50">
        <f>D29+D30+D31+D33+D32</f>
        <v>453910.44</v>
      </c>
      <c r="E28" s="51">
        <f>C28-D28+B28</f>
        <v>92344.119999999966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84820.28</v>
      </c>
      <c r="C29" s="40">
        <f>327136.72-33705.3</f>
        <v>293431.42</v>
      </c>
      <c r="D29" s="40">
        <f>278256.26+34552.17</f>
        <v>312808.43</v>
      </c>
      <c r="E29" s="42">
        <f t="shared" si="0"/>
        <v>65443.26999999999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v>16312.62</v>
      </c>
      <c r="C30" s="43">
        <f>153.36-79.79+88365.25-1545.72-2100.35</f>
        <v>84792.75</v>
      </c>
      <c r="D30" s="43">
        <f>75748.13+8786.25</f>
        <v>84534.38</v>
      </c>
      <c r="E30" s="45">
        <f t="shared" si="0"/>
        <v>16570.989999999998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3923.33</v>
      </c>
      <c r="C31" s="43">
        <f>24066.04-336.48-355.53</f>
        <v>23374.030000000002</v>
      </c>
      <c r="D31" s="43">
        <f>21406.62+2209.21</f>
        <v>23615.829999999998</v>
      </c>
      <c r="E31" s="45">
        <f t="shared" si="0"/>
        <v>3681.5300000000043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6317.48</v>
      </c>
      <c r="C33" s="43">
        <f>34779.56-598.62-898.29</f>
        <v>33282.649999999994</v>
      </c>
      <c r="D33" s="43">
        <f>29565.95+3385.85</f>
        <v>32951.800000000003</v>
      </c>
      <c r="E33" s="45">
        <f t="shared" si="0"/>
        <v>6648.3299999999908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>
        <v>-1142.67</v>
      </c>
      <c r="D38" s="46"/>
      <c r="E38" s="47">
        <f t="shared" si="0"/>
        <v>-1142.67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189472.57</v>
      </c>
      <c r="C39" s="58">
        <f>C20+C21+C22+C23+C24+C25+C26+C28+C35+C36+C37+C38</f>
        <v>880165.83</v>
      </c>
      <c r="D39" s="58">
        <f>D20+D21+D22+D23+D24+D25+D26+D28+D35+D36+D37+D38+D27</f>
        <v>861246.13</v>
      </c>
      <c r="E39" s="58">
        <f>E20+E21+E22+E23+E24+E25+E26+E28+E35+E36+E37+E38+E27</f>
        <v>208392.27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B44+B60+B61+B58+B63+B59+B62</f>
        <v>953375.05057189101</v>
      </c>
      <c r="C42" s="64" t="s">
        <v>31</v>
      </c>
      <c r="D42" s="140">
        <f>C39-B42-B63</f>
        <v>-75827.473647773848</v>
      </c>
      <c r="E42" s="141" t="s">
        <v>32</v>
      </c>
      <c r="F42" s="142">
        <v>5228898.0599999996</v>
      </c>
      <c r="G42" s="142">
        <f>F42/F48*B8</f>
        <v>78310.634861761398</v>
      </c>
      <c r="H42" s="109"/>
      <c r="I42" s="109"/>
      <c r="J42" s="168"/>
    </row>
    <row r="43" spans="1:22" x14ac:dyDescent="0.25">
      <c r="A43" s="65" t="s">
        <v>92</v>
      </c>
      <c r="B43" s="66"/>
      <c r="C43" s="70" t="s">
        <v>31</v>
      </c>
      <c r="D43" s="140"/>
      <c r="E43" s="141" t="s">
        <v>33</v>
      </c>
      <c r="F43" s="142">
        <v>1017312.51</v>
      </c>
      <c r="G43" s="142">
        <f>F43/F48*B8</f>
        <v>15235.789184788964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B45+B46+B48+B49+B50+B51+B52+B53+B54+B55+B56+B47+B57</f>
        <v>292917.7174960082</v>
      </c>
      <c r="C44" s="70" t="s">
        <v>31</v>
      </c>
      <c r="D44" s="140"/>
      <c r="E44" s="141" t="s">
        <v>35</v>
      </c>
      <c r="F44" s="142">
        <v>174824</v>
      </c>
      <c r="G44" s="142">
        <f>F44/F48*B8</f>
        <v>2618.2530758827943</v>
      </c>
      <c r="H44" s="109"/>
      <c r="I44" s="109"/>
      <c r="J44" s="168"/>
    </row>
    <row r="45" spans="1:22" x14ac:dyDescent="0.25">
      <c r="A45" s="71" t="s">
        <v>112</v>
      </c>
      <c r="B45" s="72">
        <v>19438.41</v>
      </c>
      <c r="C45" s="73" t="s">
        <v>31</v>
      </c>
      <c r="D45" s="140"/>
      <c r="E45" s="141" t="s">
        <v>18</v>
      </c>
      <c r="F45" s="142">
        <v>206457.71</v>
      </c>
      <c r="G45" s="142">
        <f>F45/F48*B8</f>
        <v>3092.0155942388797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93546.424046550368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F46/F48*B8</f>
        <v>762.40760712864255</v>
      </c>
      <c r="H46" s="109"/>
      <c r="I46" s="109"/>
      <c r="J46" s="168"/>
    </row>
    <row r="47" spans="1:22" x14ac:dyDescent="0.25">
      <c r="A47" s="74" t="s">
        <v>39</v>
      </c>
      <c r="B47" s="72">
        <v>11350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F47/F48*B8</f>
        <v>104655.36629680001</v>
      </c>
      <c r="H47" s="109"/>
      <c r="I47" s="109"/>
      <c r="J47" s="168"/>
    </row>
    <row r="48" spans="1:22" x14ac:dyDescent="0.25">
      <c r="A48" s="71" t="s">
        <v>40</v>
      </c>
      <c r="B48" s="72">
        <f>G46+17244.8</f>
        <v>18007.207607128643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G45+837.45</f>
        <v>3929.4655942388799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</f>
        <v>104655.36629680001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F50/F48*B8</f>
        <v>44.128281517918893</v>
      </c>
      <c r="H50" s="109"/>
      <c r="I50" s="109"/>
      <c r="J50" s="168"/>
    </row>
    <row r="51" spans="1:12" x14ac:dyDescent="0.25">
      <c r="A51" s="71" t="s">
        <v>44</v>
      </c>
      <c r="B51" s="72">
        <f>F54</f>
        <v>1157.532487148804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</f>
        <v>44.128281517918893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>
        <f>3364.01+7338.23</f>
        <v>10702.24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193</v>
      </c>
      <c r="F54" s="147">
        <f>F52/F53*B8</f>
        <v>1157.532487148804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5863.46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24223.483182623582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71" t="s">
        <v>165</v>
      </c>
      <c r="B57" s="72"/>
      <c r="C57" s="73" t="s">
        <v>31</v>
      </c>
      <c r="D57" s="140"/>
      <c r="E57" s="140"/>
      <c r="F57" s="169"/>
      <c r="G57" s="136"/>
      <c r="H57" s="168"/>
      <c r="I57" s="168"/>
      <c r="J57" s="168"/>
    </row>
    <row r="58" spans="1:12" x14ac:dyDescent="0.25">
      <c r="A58" s="68" t="s">
        <v>50</v>
      </c>
      <c r="B58" s="69">
        <f>C81</f>
        <v>187137</v>
      </c>
      <c r="C58" s="70" t="s">
        <v>31</v>
      </c>
      <c r="D58" s="149"/>
      <c r="E58" s="149"/>
      <c r="F58" s="150"/>
      <c r="G58" s="151"/>
      <c r="H58" s="151"/>
      <c r="I58" s="109"/>
      <c r="J58" s="109"/>
    </row>
    <row r="59" spans="1:12" x14ac:dyDescent="0.25">
      <c r="A59" s="68" t="s">
        <v>51</v>
      </c>
      <c r="B59" s="69">
        <f>85364.17+1029.38</f>
        <v>86393.55</v>
      </c>
      <c r="C59" s="70" t="s">
        <v>31</v>
      </c>
      <c r="D59" s="149"/>
      <c r="E59" s="149"/>
      <c r="F59" s="150"/>
      <c r="G59" s="151"/>
      <c r="H59" s="151"/>
      <c r="I59" s="79"/>
      <c r="J59" s="79" t="s">
        <v>56</v>
      </c>
      <c r="K59" s="79"/>
      <c r="L59" s="79" t="s">
        <v>57</v>
      </c>
    </row>
    <row r="60" spans="1:12" x14ac:dyDescent="0.25">
      <c r="A60" s="68" t="s">
        <v>52</v>
      </c>
      <c r="B60" s="69">
        <f>L73</f>
        <v>384308.52999999997</v>
      </c>
      <c r="C60" s="70" t="s">
        <v>31</v>
      </c>
      <c r="D60" s="56"/>
      <c r="E60" s="56"/>
      <c r="F60" s="3"/>
      <c r="I60" s="78" t="s">
        <v>64</v>
      </c>
      <c r="J60" s="129">
        <f>69232.05+1062.06</f>
        <v>70294.11</v>
      </c>
      <c r="K60" s="78"/>
      <c r="L60" s="129"/>
    </row>
    <row r="61" spans="1:12" x14ac:dyDescent="0.25">
      <c r="A61" s="68" t="s">
        <v>53</v>
      </c>
      <c r="B61" s="69"/>
      <c r="C61" s="70" t="s">
        <v>54</v>
      </c>
      <c r="D61" s="56"/>
      <c r="E61" s="56"/>
      <c r="F61" s="3"/>
      <c r="I61" s="78" t="s">
        <v>66</v>
      </c>
      <c r="J61" s="129">
        <f>42280.92+1468.62</f>
        <v>43749.54</v>
      </c>
      <c r="K61" s="78"/>
      <c r="L61" s="129"/>
    </row>
    <row r="62" spans="1:12" x14ac:dyDescent="0.25">
      <c r="A62" s="164" t="s">
        <v>113</v>
      </c>
      <c r="B62" s="165">
        <f>C37/1.02</f>
        <v>0</v>
      </c>
      <c r="C62" s="166"/>
      <c r="D62" s="56"/>
      <c r="E62" s="56"/>
      <c r="F62" s="3"/>
      <c r="I62" s="78" t="s">
        <v>67</v>
      </c>
      <c r="J62" s="129">
        <f>42944.83+1625.98</f>
        <v>44570.810000000005</v>
      </c>
      <c r="K62" s="78"/>
      <c r="L62" s="129"/>
    </row>
    <row r="63" spans="1:12" ht="15.75" thickBot="1" x14ac:dyDescent="0.3">
      <c r="A63" s="75" t="s">
        <v>114</v>
      </c>
      <c r="B63" s="76">
        <f>G44</f>
        <v>2618.2530758827943</v>
      </c>
      <c r="C63" s="77" t="s">
        <v>31</v>
      </c>
      <c r="D63" s="56"/>
      <c r="E63" s="56"/>
      <c r="F63" s="3"/>
      <c r="I63" s="78" t="s">
        <v>68</v>
      </c>
      <c r="J63" s="129">
        <f>30954.83+1501.76</f>
        <v>32456.59</v>
      </c>
      <c r="K63" s="78"/>
      <c r="L63" s="129"/>
    </row>
    <row r="64" spans="1:12" x14ac:dyDescent="0.25">
      <c r="A64" s="60"/>
      <c r="B64" s="61"/>
      <c r="C64" s="56"/>
      <c r="D64" s="56"/>
      <c r="E64" s="56"/>
      <c r="F64" s="3"/>
      <c r="I64" s="78" t="s">
        <v>69</v>
      </c>
      <c r="J64" s="129">
        <f>8748.07</f>
        <v>8748.07</v>
      </c>
      <c r="K64" s="78"/>
      <c r="L64" s="129"/>
    </row>
    <row r="65" spans="1:12" x14ac:dyDescent="0.25">
      <c r="A65" s="60" t="s">
        <v>98</v>
      </c>
      <c r="B65" s="174">
        <f>C39-C24+B43-B42</f>
        <v>-73209.220571891055</v>
      </c>
      <c r="C65" s="56" t="s">
        <v>31</v>
      </c>
      <c r="D65" s="56"/>
      <c r="E65" s="56"/>
      <c r="F65" s="3"/>
      <c r="I65" s="78" t="s">
        <v>70</v>
      </c>
      <c r="J65" s="129">
        <f>2935.71</f>
        <v>2935.71</v>
      </c>
      <c r="K65" s="78"/>
      <c r="L65" s="129"/>
    </row>
    <row r="66" spans="1:12" x14ac:dyDescent="0.25">
      <c r="A66" s="60" t="s">
        <v>99</v>
      </c>
      <c r="B66" s="2">
        <f>B67+B68+B69+B70+B71+B72</f>
        <v>-72066.55057189097</v>
      </c>
      <c r="C66" s="56" t="s">
        <v>31</v>
      </c>
      <c r="D66" s="56"/>
      <c r="E66" s="56"/>
      <c r="F66" s="3"/>
      <c r="I66" s="78" t="s">
        <v>71</v>
      </c>
      <c r="J66" s="129">
        <f>3111.59+2129.33</f>
        <v>5240.92</v>
      </c>
      <c r="K66" s="78"/>
      <c r="L66" s="129"/>
    </row>
    <row r="67" spans="1:12" x14ac:dyDescent="0.25">
      <c r="A67" s="80" t="s">
        <v>58</v>
      </c>
      <c r="B67" s="81">
        <f>C20-B44-B63</f>
        <v>-6216.5705718909758</v>
      </c>
      <c r="C67" s="56" t="s">
        <v>31</v>
      </c>
      <c r="D67" s="56"/>
      <c r="E67" s="56"/>
      <c r="F67" s="3"/>
      <c r="I67" s="78" t="s">
        <v>72</v>
      </c>
      <c r="J67" s="129">
        <f>3111.59+1576.49</f>
        <v>4688.08</v>
      </c>
      <c r="K67" s="78"/>
      <c r="L67" s="129"/>
    </row>
    <row r="68" spans="1:12" x14ac:dyDescent="0.25">
      <c r="A68" s="80" t="s">
        <v>59</v>
      </c>
      <c r="B68" s="81">
        <f>C22-B58</f>
        <v>-30028.75</v>
      </c>
      <c r="C68" s="56" t="s">
        <v>31</v>
      </c>
      <c r="D68" s="56"/>
      <c r="E68" s="56"/>
      <c r="F68" s="3"/>
      <c r="I68" s="78" t="s">
        <v>73</v>
      </c>
      <c r="J68" s="129">
        <f>6022.99+499.18</f>
        <v>6522.17</v>
      </c>
      <c r="K68" s="78"/>
      <c r="L68" s="129"/>
    </row>
    <row r="69" spans="1:12" x14ac:dyDescent="0.25">
      <c r="A69" s="80" t="s">
        <v>60</v>
      </c>
      <c r="B69" s="81">
        <f>C26-B59</f>
        <v>-86393.55</v>
      </c>
      <c r="C69" s="56" t="s">
        <v>31</v>
      </c>
      <c r="D69" s="56"/>
      <c r="E69" s="56"/>
      <c r="F69" s="3"/>
      <c r="I69" s="78" t="s">
        <v>74</v>
      </c>
      <c r="J69" s="129">
        <f>31936.74+1219.6-2935.71+2935.71</f>
        <v>33156.340000000004</v>
      </c>
      <c r="K69" s="78"/>
      <c r="L69" s="129"/>
    </row>
    <row r="70" spans="1:12" x14ac:dyDescent="0.25">
      <c r="A70" s="80" t="s">
        <v>61</v>
      </c>
      <c r="B70" s="81">
        <f>C28-B60</f>
        <v>50572.320000000007</v>
      </c>
      <c r="C70" s="56" t="s">
        <v>31</v>
      </c>
      <c r="D70" s="56"/>
      <c r="E70" s="56"/>
      <c r="F70" s="3"/>
      <c r="I70" s="78" t="s">
        <v>75</v>
      </c>
      <c r="J70" s="129">
        <f>45564.69+1879.79</f>
        <v>47444.480000000003</v>
      </c>
      <c r="K70" s="78"/>
      <c r="L70" s="129">
        <f>5186.3</f>
        <v>5186.3</v>
      </c>
    </row>
    <row r="71" spans="1:12" ht="15.75" thickBot="1" x14ac:dyDescent="0.3">
      <c r="A71" s="80" t="s">
        <v>62</v>
      </c>
      <c r="B71" s="81">
        <f>C35-B61</f>
        <v>0</v>
      </c>
      <c r="C71" s="56" t="s">
        <v>31</v>
      </c>
      <c r="D71" s="56"/>
      <c r="E71" s="56"/>
      <c r="F71" s="3"/>
      <c r="I71" s="86" t="s">
        <v>76</v>
      </c>
      <c r="J71" s="130">
        <f>77759.82+1555.59</f>
        <v>79315.41</v>
      </c>
      <c r="K71" s="86"/>
      <c r="L71" s="130"/>
    </row>
    <row r="72" spans="1:12" x14ac:dyDescent="0.25">
      <c r="A72" s="80" t="s">
        <v>115</v>
      </c>
      <c r="B72" s="81">
        <f>C37-B62</f>
        <v>0</v>
      </c>
      <c r="C72" s="56" t="s">
        <v>31</v>
      </c>
      <c r="I72" s="87"/>
      <c r="J72" s="88"/>
      <c r="K72" s="88"/>
      <c r="L72" s="131"/>
    </row>
    <row r="73" spans="1:12" ht="15.75" thickBot="1" x14ac:dyDescent="0.3">
      <c r="A73" s="80"/>
      <c r="B73" s="81"/>
      <c r="C73" s="56"/>
      <c r="D73" s="111"/>
      <c r="E73" s="112"/>
      <c r="F73" s="113"/>
      <c r="G73" s="109"/>
      <c r="I73" s="92" t="s">
        <v>77</v>
      </c>
      <c r="J73" s="93"/>
      <c r="K73" s="93"/>
      <c r="L73" s="132">
        <f>J60+J61+J62+J63+J64+J65+J66+J67+J68+J69+J70+J71+L60+L61+L62+L63+L64+L65+L66+L67+L68+L69+L70+L71+N30</f>
        <v>384308.52999999997</v>
      </c>
    </row>
    <row r="74" spans="1:12" ht="15.75" thickBot="1" x14ac:dyDescent="0.3">
      <c r="A74" s="155" t="s">
        <v>121</v>
      </c>
      <c r="B74" s="156"/>
      <c r="C74" s="157"/>
      <c r="D74" s="114"/>
      <c r="E74" s="114"/>
      <c r="F74" s="114"/>
      <c r="G74" s="109"/>
    </row>
    <row r="75" spans="1:12" ht="51.75" thickBot="1" x14ac:dyDescent="0.3">
      <c r="A75" s="82" t="s">
        <v>116</v>
      </c>
      <c r="B75" s="83" t="s">
        <v>63</v>
      </c>
      <c r="C75" s="84" t="s">
        <v>96</v>
      </c>
      <c r="D75" s="115"/>
      <c r="E75" s="116"/>
      <c r="F75" s="117"/>
      <c r="G75" s="109"/>
      <c r="I75" s="1" t="s">
        <v>78</v>
      </c>
      <c r="J75" s="1"/>
      <c r="K75" s="1"/>
      <c r="L75" s="2">
        <f>C28-L73</f>
        <v>50572.320000000007</v>
      </c>
    </row>
    <row r="76" spans="1:12" x14ac:dyDescent="0.25">
      <c r="A76" s="85" t="s">
        <v>65</v>
      </c>
      <c r="B76" s="134" t="s">
        <v>31</v>
      </c>
      <c r="C76" s="135" t="s">
        <v>31</v>
      </c>
      <c r="D76" s="115"/>
      <c r="E76" s="116"/>
      <c r="F76" s="117"/>
      <c r="G76" s="109"/>
    </row>
    <row r="77" spans="1:12" x14ac:dyDescent="0.25">
      <c r="A77" s="179" t="s">
        <v>190</v>
      </c>
      <c r="B77" s="43"/>
      <c r="C77" s="124">
        <v>15694</v>
      </c>
      <c r="D77" s="115"/>
      <c r="E77" s="116"/>
      <c r="F77" s="117"/>
      <c r="G77" s="109"/>
    </row>
    <row r="78" spans="1:12" x14ac:dyDescent="0.25">
      <c r="A78" s="193" t="s">
        <v>191</v>
      </c>
      <c r="B78" s="43"/>
      <c r="C78" s="124">
        <v>11859</v>
      </c>
      <c r="D78" s="115"/>
      <c r="E78" s="116"/>
      <c r="F78" s="117"/>
      <c r="G78" s="109"/>
    </row>
    <row r="79" spans="1:12" x14ac:dyDescent="0.25">
      <c r="A79" s="194"/>
      <c r="B79" s="43"/>
      <c r="C79" s="124">
        <v>9584</v>
      </c>
      <c r="D79" s="115"/>
      <c r="E79" s="116"/>
      <c r="F79" s="117"/>
      <c r="G79" s="109"/>
    </row>
    <row r="80" spans="1:12" x14ac:dyDescent="0.25">
      <c r="A80" s="53" t="s">
        <v>192</v>
      </c>
      <c r="B80" s="43"/>
      <c r="C80" s="124">
        <v>150000</v>
      </c>
      <c r="D80" s="115"/>
      <c r="E80" s="116"/>
      <c r="F80" s="117"/>
      <c r="G80" s="109"/>
    </row>
    <row r="81" spans="1:7" ht="15.75" thickBot="1" x14ac:dyDescent="0.3">
      <c r="A81" s="176" t="s">
        <v>5</v>
      </c>
      <c r="B81" s="177">
        <f>B77</f>
        <v>0</v>
      </c>
      <c r="C81" s="178">
        <f>C77+C78+C79+C80</f>
        <v>187137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 t="s">
        <v>79</v>
      </c>
      <c r="B84" s="33"/>
      <c r="D84" s="118"/>
      <c r="E84" s="116"/>
      <c r="F84" s="117"/>
      <c r="G84" s="109"/>
    </row>
    <row r="85" spans="1:7" x14ac:dyDescent="0.25">
      <c r="A85" s="60" t="s">
        <v>34</v>
      </c>
      <c r="B85" s="20">
        <f>B44/B8/12</f>
        <v>14.580855260339298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81</v>
      </c>
      <c r="B86" s="20">
        <f>B58/B8/12</f>
        <v>9.3153037452959797</v>
      </c>
      <c r="C86" s="101" t="s">
        <v>80</v>
      </c>
      <c r="D86" s="118"/>
      <c r="E86" s="116"/>
      <c r="F86" s="117"/>
      <c r="G86" s="109"/>
    </row>
    <row r="87" spans="1:7" x14ac:dyDescent="0.25">
      <c r="A87" s="60" t="s">
        <v>82</v>
      </c>
      <c r="B87" s="20">
        <f>B59/B8/12</f>
        <v>4.3004972821217375</v>
      </c>
      <c r="C87" s="101" t="s">
        <v>80</v>
      </c>
      <c r="D87" s="118"/>
      <c r="E87" s="116"/>
      <c r="F87" s="117"/>
      <c r="G87" s="109"/>
    </row>
    <row r="88" spans="1:7" x14ac:dyDescent="0.25">
      <c r="A88" s="60"/>
      <c r="B88" s="33"/>
      <c r="C88" s="98"/>
      <c r="D88" s="118"/>
      <c r="E88" s="116"/>
      <c r="F88" s="117"/>
      <c r="G88" s="109"/>
    </row>
    <row r="89" spans="1:7" x14ac:dyDescent="0.25">
      <c r="A89" s="185"/>
      <c r="B89" s="180"/>
      <c r="C89" s="184"/>
      <c r="D89" s="182"/>
      <c r="E89" s="183"/>
      <c r="F89" s="119"/>
      <c r="G89" s="109"/>
    </row>
    <row r="90" spans="1:7" x14ac:dyDescent="0.25">
      <c r="A90" s="185"/>
      <c r="B90" s="186"/>
      <c r="C90" s="184"/>
      <c r="D90" s="182"/>
      <c r="E90" s="183"/>
      <c r="F90" s="109"/>
      <c r="G90" s="109"/>
    </row>
    <row r="91" spans="1:7" x14ac:dyDescent="0.25">
      <c r="A91" s="185"/>
      <c r="B91" s="186"/>
      <c r="C91" s="184"/>
      <c r="D91" s="181"/>
      <c r="E91" s="183"/>
      <c r="F91" s="109"/>
      <c r="G91" s="109"/>
    </row>
    <row r="92" spans="1:7" x14ac:dyDescent="0.25">
      <c r="A92" s="31"/>
      <c r="B92" s="33"/>
      <c r="C92" s="105"/>
      <c r="E92" s="116"/>
      <c r="F92" s="109"/>
      <c r="G92" s="109"/>
    </row>
    <row r="93" spans="1:7" x14ac:dyDescent="0.25">
      <c r="A93" s="103"/>
      <c r="B93" s="104"/>
      <c r="C93" s="105"/>
      <c r="D93" s="118"/>
      <c r="E93" s="116"/>
      <c r="F93" s="109"/>
      <c r="G93" s="109"/>
    </row>
    <row r="94" spans="1:7" x14ac:dyDescent="0.25">
      <c r="A94" s="19" t="s">
        <v>83</v>
      </c>
      <c r="B94" s="104"/>
      <c r="C94" s="105"/>
      <c r="D94" s="133" t="s">
        <v>95</v>
      </c>
      <c r="E94" s="100"/>
    </row>
    <row r="95" spans="1:7" x14ac:dyDescent="0.25">
      <c r="A95" s="103"/>
      <c r="B95" s="104"/>
      <c r="C95" s="105"/>
      <c r="D95" s="99"/>
      <c r="E95" s="100"/>
    </row>
    <row r="96" spans="1:7" x14ac:dyDescent="0.25">
      <c r="A96" s="103"/>
      <c r="B96" s="104"/>
      <c r="C96" s="98"/>
      <c r="D96" s="99"/>
      <c r="E96" s="100"/>
    </row>
    <row r="97" spans="1:6" x14ac:dyDescent="0.25">
      <c r="A97" s="31"/>
      <c r="B97" s="33"/>
      <c r="C97" s="98"/>
      <c r="D97" s="99"/>
      <c r="E97" s="100"/>
    </row>
    <row r="98" spans="1:6" x14ac:dyDescent="0.25">
      <c r="A98" s="31"/>
      <c r="B98" s="33"/>
      <c r="C98" s="56"/>
      <c r="D98" s="99"/>
      <c r="E98" s="100"/>
    </row>
    <row r="99" spans="1:6" x14ac:dyDescent="0.25">
      <c r="A99" s="19"/>
      <c r="B99" s="20"/>
      <c r="C99" s="56"/>
      <c r="D99" s="56"/>
      <c r="E99" s="56"/>
    </row>
    <row r="100" spans="1:6" x14ac:dyDescent="0.25">
      <c r="A100" s="19"/>
      <c r="B100" s="20"/>
      <c r="C100" s="56"/>
      <c r="D100" s="102"/>
      <c r="E100" s="56"/>
    </row>
    <row r="101" spans="1:6" x14ac:dyDescent="0.25">
      <c r="A101" s="19"/>
      <c r="B101" s="20"/>
      <c r="C101" s="100"/>
      <c r="D101" s="99"/>
      <c r="E101" s="100"/>
    </row>
    <row r="102" spans="1:6" x14ac:dyDescent="0.25">
      <c r="A102" s="31"/>
      <c r="B102" s="33"/>
      <c r="C102" s="100"/>
      <c r="D102" s="99"/>
      <c r="E102" s="100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</row>
    <row r="105" spans="1:6" x14ac:dyDescent="0.25">
      <c r="A105" s="107"/>
      <c r="B105" s="108"/>
      <c r="C105" s="100"/>
      <c r="D105" s="105"/>
      <c r="E105" s="100"/>
      <c r="F105" s="106"/>
    </row>
    <row r="106" spans="1:6" x14ac:dyDescent="0.25">
      <c r="A106" s="31"/>
      <c r="B106" s="33"/>
      <c r="C106" s="100"/>
      <c r="D106" s="105"/>
      <c r="E106" s="100"/>
    </row>
    <row r="107" spans="1:6" x14ac:dyDescent="0.25">
      <c r="A107" s="31"/>
      <c r="B107" s="33"/>
      <c r="C107" s="56"/>
      <c r="D107" s="98"/>
      <c r="E107" s="100"/>
    </row>
    <row r="108" spans="1:6" x14ac:dyDescent="0.25">
      <c r="A108" s="19"/>
      <c r="B108" s="20"/>
      <c r="C108" s="100"/>
      <c r="D108" s="98"/>
      <c r="E108" s="100"/>
    </row>
    <row r="109" spans="1:6" x14ac:dyDescent="0.25">
      <c r="A109" s="31"/>
      <c r="B109" s="33"/>
      <c r="C109" s="100"/>
      <c r="D109" s="56"/>
      <c r="E109" s="56"/>
      <c r="F109" s="3"/>
    </row>
    <row r="110" spans="1:6" x14ac:dyDescent="0.25">
      <c r="A110" s="31"/>
      <c r="B110" s="33"/>
      <c r="C110" s="33"/>
      <c r="D110" s="56"/>
      <c r="E110" s="100"/>
    </row>
    <row r="111" spans="1:6" x14ac:dyDescent="0.25">
      <c r="A111" s="31"/>
      <c r="B111" s="33"/>
      <c r="C111" s="33"/>
      <c r="D111" s="56"/>
      <c r="E111" s="56"/>
    </row>
    <row r="112" spans="1:6" x14ac:dyDescent="0.25">
      <c r="A112" s="31"/>
      <c r="B112" s="33"/>
      <c r="C112" s="33"/>
      <c r="D112" s="100"/>
      <c r="E112" s="100"/>
    </row>
    <row r="113" spans="1:6" x14ac:dyDescent="0.25">
      <c r="A113" s="31"/>
      <c r="B113" s="33"/>
      <c r="D113" s="100"/>
      <c r="E113" s="100"/>
    </row>
    <row r="114" spans="1:6" x14ac:dyDescent="0.25">
      <c r="D114" s="100"/>
      <c r="E114" s="100"/>
    </row>
    <row r="115" spans="1:6" x14ac:dyDescent="0.25">
      <c r="D115" s="100"/>
      <c r="E115" s="100"/>
    </row>
    <row r="116" spans="1:6" x14ac:dyDescent="0.25">
      <c r="D116" s="100"/>
      <c r="E116" s="100"/>
    </row>
    <row r="117" spans="1:6" x14ac:dyDescent="0.25">
      <c r="D117" s="100"/>
      <c r="E117" s="100"/>
    </row>
    <row r="118" spans="1:6" x14ac:dyDescent="0.25">
      <c r="B118"/>
      <c r="C118"/>
      <c r="D118" s="56"/>
      <c r="E118" s="56"/>
      <c r="F118" s="3"/>
    </row>
    <row r="119" spans="1:6" x14ac:dyDescent="0.25">
      <c r="B119"/>
      <c r="C119"/>
      <c r="D119" s="100"/>
      <c r="E119" s="100"/>
      <c r="F119" s="3"/>
    </row>
    <row r="120" spans="1:6" x14ac:dyDescent="0.25">
      <c r="B120"/>
      <c r="C120"/>
      <c r="D120" s="100"/>
      <c r="E120" s="100"/>
    </row>
    <row r="121" spans="1:6" x14ac:dyDescent="0.25">
      <c r="B121"/>
      <c r="C121"/>
      <c r="D121" s="33"/>
      <c r="E121" s="33"/>
    </row>
    <row r="122" spans="1:6" x14ac:dyDescent="0.25">
      <c r="B122"/>
      <c r="C122"/>
      <c r="D122" s="33"/>
      <c r="E122" s="33"/>
    </row>
    <row r="123" spans="1:6" x14ac:dyDescent="0.25">
      <c r="D123" s="33"/>
      <c r="E123" s="33"/>
    </row>
  </sheetData>
  <mergeCells count="1">
    <mergeCell ref="A78:A79"/>
  </mergeCells>
  <pageMargins left="0.7" right="0.7" top="0.75" bottom="0.75" header="0.3" footer="0.3"/>
  <pageSetup paperSize="9" scale="3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3"/>
  <sheetViews>
    <sheetView workbookViewId="0">
      <selection activeCell="F13" sqref="F1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195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4"/>
      <c r="D4" s="128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33"/>
      <c r="E5"/>
      <c r="K5" s="125"/>
      <c r="L5" s="125"/>
      <c r="M5" s="125"/>
      <c r="N5" s="125"/>
    </row>
    <row r="6" spans="1:22" ht="15.75" thickBot="1" x14ac:dyDescent="0.3">
      <c r="A6" s="188" t="s">
        <v>196</v>
      </c>
      <c r="B6" s="190">
        <v>508.4</v>
      </c>
      <c r="C6" s="191">
        <v>21</v>
      </c>
      <c r="E6"/>
      <c r="K6" s="125"/>
      <c r="L6" s="125"/>
      <c r="M6" s="125"/>
      <c r="N6" s="125"/>
    </row>
    <row r="7" spans="1:22" x14ac:dyDescent="0.25">
      <c r="A7" s="10"/>
      <c r="B7" s="95"/>
      <c r="C7" s="189"/>
      <c r="E7"/>
      <c r="K7" s="125"/>
      <c r="L7" s="125"/>
      <c r="M7" s="125"/>
      <c r="N7" s="125"/>
    </row>
    <row r="8" spans="1:22" ht="15.75" thickBot="1" x14ac:dyDescent="0.3">
      <c r="A8" s="16" t="s">
        <v>5</v>
      </c>
      <c r="B8" s="17">
        <f>B6+B7</f>
        <v>508.4</v>
      </c>
      <c r="C8" s="18">
        <f>C6</f>
        <v>21</v>
      </c>
      <c r="E8"/>
      <c r="K8" s="125"/>
      <c r="L8" s="125"/>
      <c r="M8" s="125"/>
      <c r="N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11.94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5.77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33484.5</v>
      </c>
      <c r="D20" s="40">
        <f>19577.55+4497.22</f>
        <v>24074.77</v>
      </c>
      <c r="E20" s="42">
        <f t="shared" ref="E20:E38" si="0">C20-D20+B20</f>
        <v>9409.73</v>
      </c>
      <c r="F20" s="137">
        <f>C20+F22</f>
        <v>49666.020000000004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16181.52</v>
      </c>
      <c r="D22" s="43">
        <f>9460.95+2173.29</f>
        <v>11634.240000000002</v>
      </c>
      <c r="E22" s="45">
        <f t="shared" si="0"/>
        <v>4547.2799999999988</v>
      </c>
      <c r="F22" s="137">
        <f>C22</f>
        <v>16181.52</v>
      </c>
      <c r="G22" s="139">
        <f>F22*G20/F20</f>
        <v>32.580665815380414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17369.68</v>
      </c>
      <c r="D28" s="50">
        <f>D29+D30+D31+D33+D32</f>
        <v>13223.44</v>
      </c>
      <c r="E28" s="51">
        <f>C28-D28+B28</f>
        <v>4146.24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/>
      <c r="D29" s="40"/>
      <c r="E29" s="42">
        <f t="shared" si="0"/>
        <v>0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/>
      <c r="D30" s="43"/>
      <c r="E30" s="45">
        <f t="shared" si="0"/>
        <v>0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f>6281.91-30.65</f>
        <v>6251.26</v>
      </c>
      <c r="D31" s="43">
        <f>4252.74+507.42</f>
        <v>4760.16</v>
      </c>
      <c r="E31" s="45">
        <f t="shared" si="0"/>
        <v>1491.1000000000004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11172.94-54.52</f>
        <v>11118.42</v>
      </c>
      <c r="D33" s="43">
        <f>7560.79+902.49</f>
        <v>8463.2800000000007</v>
      </c>
      <c r="E33" s="45">
        <f t="shared" si="0"/>
        <v>2655.1399999999994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67035.700000000012</v>
      </c>
      <c r="D39" s="58">
        <f>D20+D21+D22+D23+D24+D25+D26+D28+D35+D36+D37+D38+D27</f>
        <v>48932.450000000004</v>
      </c>
      <c r="E39" s="58">
        <f>E20+E21+E22+E23+E24+E25+E26+E28+E35+E36+E37+E38+E27</f>
        <v>18103.25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B44+B60+B61+B58+B63+B59+B62</f>
        <v>40606.502599392785</v>
      </c>
      <c r="C42" s="64" t="s">
        <v>31</v>
      </c>
      <c r="D42" s="140">
        <f>C39-B42-B63</f>
        <v>26064.764807433607</v>
      </c>
      <c r="E42" s="141" t="s">
        <v>32</v>
      </c>
      <c r="F42" s="142">
        <v>5228898.0599999996</v>
      </c>
      <c r="G42" s="142">
        <f>F42/F48*B8</f>
        <v>23781.809189247651</v>
      </c>
      <c r="H42" s="109"/>
      <c r="I42" s="109"/>
      <c r="J42" s="168"/>
    </row>
    <row r="43" spans="1:22" x14ac:dyDescent="0.25">
      <c r="A43" s="65" t="s">
        <v>92</v>
      </c>
      <c r="B43" s="66"/>
      <c r="C43" s="70" t="s">
        <v>31</v>
      </c>
      <c r="D43" s="140"/>
      <c r="E43" s="141" t="s">
        <v>33</v>
      </c>
      <c r="F43" s="142">
        <v>1017312.51</v>
      </c>
      <c r="G43" s="142">
        <f>F43/F48*B8</f>
        <v>4626.8892070645179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B45+B46+B48+B49+B50+B51+B52+B53+B54+B55+B56+B47+B57</f>
        <v>40242.070006219168</v>
      </c>
      <c r="C44" s="70" t="s">
        <v>31</v>
      </c>
      <c r="D44" s="140"/>
      <c r="E44" s="141" t="s">
        <v>35</v>
      </c>
      <c r="F44" s="142">
        <v>174824</v>
      </c>
      <c r="G44" s="142">
        <f>F44/F48*B8</f>
        <v>795.12565783335083</v>
      </c>
      <c r="H44" s="109"/>
      <c r="I44" s="109"/>
      <c r="J44" s="168"/>
    </row>
    <row r="45" spans="1:22" x14ac:dyDescent="0.25">
      <c r="A45" s="71" t="s">
        <v>112</v>
      </c>
      <c r="B45" s="72"/>
      <c r="C45" s="73" t="s">
        <v>31</v>
      </c>
      <c r="D45" s="140"/>
      <c r="E45" s="141" t="s">
        <v>18</v>
      </c>
      <c r="F45" s="142">
        <v>206457.71</v>
      </c>
      <c r="G45" s="142">
        <f>F45/F48*B8</f>
        <v>939.0004946604422</v>
      </c>
      <c r="H45" s="109"/>
      <c r="I45" s="109"/>
      <c r="J45" s="168"/>
    </row>
    <row r="46" spans="1:22" x14ac:dyDescent="0.25">
      <c r="A46" s="74" t="s">
        <v>37</v>
      </c>
      <c r="B46" s="72">
        <f>(G42+G43)/12*5.5</f>
        <v>13020.653431643075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F46/F48*B8</f>
        <v>231.53218294259713</v>
      </c>
      <c r="H46" s="109"/>
      <c r="I46" s="109"/>
      <c r="J46" s="168"/>
    </row>
    <row r="47" spans="1:22" x14ac:dyDescent="0.25">
      <c r="A47" s="74" t="s">
        <v>39</v>
      </c>
      <c r="B47" s="72">
        <v>3780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F47/F48*B8</f>
        <v>31782.323771156516</v>
      </c>
      <c r="H47" s="109"/>
      <c r="I47" s="109"/>
      <c r="J47" s="168"/>
    </row>
    <row r="48" spans="1:22" x14ac:dyDescent="0.25">
      <c r="A48" s="71" t="s">
        <v>40</v>
      </c>
      <c r="B48" s="72">
        <f>G46/12*5.5+2300.78</f>
        <v>2406.898917182024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G45/12*5.5+22.2</f>
        <v>452.57522671936931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G47/12*5.5</f>
        <v>14566.898395113403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F50/F48*B8</f>
        <v>13.401121990149912</v>
      </c>
      <c r="H50" s="109"/>
      <c r="I50" s="109"/>
      <c r="J50" s="168"/>
    </row>
    <row r="51" spans="1:12" x14ac:dyDescent="0.25">
      <c r="A51" s="71" t="s">
        <v>44</v>
      </c>
      <c r="B51" s="72">
        <f>F54/12*5.5</f>
        <v>161.11603949213935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G50/12*5.5</f>
        <v>6.1421809121520425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>
        <v>1460.09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198</v>
      </c>
      <c r="F54" s="147">
        <f>F52/F53*B8</f>
        <v>351.52590434648585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818.37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3569.325815157003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71" t="s">
        <v>165</v>
      </c>
      <c r="B57" s="72"/>
      <c r="C57" s="73" t="s">
        <v>31</v>
      </c>
      <c r="D57" s="140"/>
      <c r="E57" s="140"/>
      <c r="F57" s="169"/>
      <c r="G57" s="136"/>
      <c r="H57" s="168"/>
      <c r="I57" s="168"/>
      <c r="J57" s="168"/>
    </row>
    <row r="58" spans="1:12" x14ac:dyDescent="0.25">
      <c r="A58" s="68" t="s">
        <v>50</v>
      </c>
      <c r="B58" s="69">
        <f>C81</f>
        <v>0</v>
      </c>
      <c r="C58" s="70" t="s">
        <v>31</v>
      </c>
      <c r="D58" s="149"/>
      <c r="E58" s="149"/>
      <c r="F58" s="150"/>
      <c r="G58" s="151"/>
      <c r="H58" s="151"/>
      <c r="I58" s="109"/>
      <c r="J58" s="109"/>
    </row>
    <row r="59" spans="1:12" x14ac:dyDescent="0.25">
      <c r="A59" s="68" t="s">
        <v>51</v>
      </c>
      <c r="B59" s="69"/>
      <c r="C59" s="70" t="s">
        <v>31</v>
      </c>
      <c r="D59" s="149"/>
      <c r="E59" s="149"/>
      <c r="F59" s="150"/>
      <c r="G59" s="151"/>
      <c r="H59" s="151"/>
      <c r="I59" s="79"/>
      <c r="J59" s="79" t="s">
        <v>56</v>
      </c>
      <c r="K59" s="79"/>
      <c r="L59" s="79" t="s">
        <v>57</v>
      </c>
    </row>
    <row r="60" spans="1:12" x14ac:dyDescent="0.25">
      <c r="A60" s="68" t="s">
        <v>52</v>
      </c>
      <c r="B60" s="69">
        <f>L73</f>
        <v>0</v>
      </c>
      <c r="C60" s="70" t="s">
        <v>31</v>
      </c>
      <c r="D60" s="56"/>
      <c r="E60" s="56"/>
      <c r="F60" s="3"/>
      <c r="I60" s="78" t="s">
        <v>64</v>
      </c>
      <c r="J60" s="129"/>
      <c r="K60" s="78"/>
      <c r="L60" s="129"/>
    </row>
    <row r="61" spans="1:12" x14ac:dyDescent="0.25">
      <c r="A61" s="68" t="s">
        <v>53</v>
      </c>
      <c r="B61" s="69"/>
      <c r="C61" s="70" t="s">
        <v>54</v>
      </c>
      <c r="D61" s="56"/>
      <c r="E61" s="56"/>
      <c r="F61" s="3"/>
      <c r="I61" s="78" t="s">
        <v>66</v>
      </c>
      <c r="J61" s="129"/>
      <c r="K61" s="78"/>
      <c r="L61" s="129"/>
    </row>
    <row r="62" spans="1:12" x14ac:dyDescent="0.25">
      <c r="A62" s="164" t="s">
        <v>113</v>
      </c>
      <c r="B62" s="165">
        <f>C37/1.02</f>
        <v>0</v>
      </c>
      <c r="C62" s="166"/>
      <c r="D62" s="56"/>
      <c r="E62" s="56"/>
      <c r="F62" s="3"/>
      <c r="I62" s="78" t="s">
        <v>67</v>
      </c>
      <c r="J62" s="129"/>
      <c r="K62" s="78"/>
      <c r="L62" s="129"/>
    </row>
    <row r="63" spans="1:12" ht="15.75" thickBot="1" x14ac:dyDescent="0.3">
      <c r="A63" s="75" t="s">
        <v>114</v>
      </c>
      <c r="B63" s="76">
        <f>G44/12*5.5</f>
        <v>364.43259317361913</v>
      </c>
      <c r="C63" s="77" t="s">
        <v>31</v>
      </c>
      <c r="D63" s="56"/>
      <c r="E63" s="56"/>
      <c r="F63" s="3"/>
      <c r="I63" s="78" t="s">
        <v>68</v>
      </c>
      <c r="J63" s="129"/>
      <c r="K63" s="78"/>
      <c r="L63" s="129"/>
    </row>
    <row r="64" spans="1:12" x14ac:dyDescent="0.25">
      <c r="A64" s="60"/>
      <c r="B64" s="61"/>
      <c r="C64" s="56"/>
      <c r="D64" s="56"/>
      <c r="E64" s="56"/>
      <c r="F64" s="3"/>
      <c r="I64" s="78" t="s">
        <v>69</v>
      </c>
      <c r="J64" s="129"/>
      <c r="K64" s="78"/>
      <c r="L64" s="129"/>
    </row>
    <row r="65" spans="1:12" x14ac:dyDescent="0.25">
      <c r="A65" s="60" t="s">
        <v>98</v>
      </c>
      <c r="B65" s="174">
        <f>C39-C24+B43-B42</f>
        <v>26429.197400607227</v>
      </c>
      <c r="C65" s="56" t="s">
        <v>31</v>
      </c>
      <c r="D65" s="56"/>
      <c r="E65" s="56"/>
      <c r="F65" s="3"/>
      <c r="I65" s="78" t="s">
        <v>70</v>
      </c>
      <c r="J65" s="129"/>
      <c r="K65" s="78"/>
      <c r="L65" s="129"/>
    </row>
    <row r="66" spans="1:12" x14ac:dyDescent="0.25">
      <c r="A66" s="60" t="s">
        <v>99</v>
      </c>
      <c r="B66" s="2">
        <f>B67+B68+B69+B70+B71+B72</f>
        <v>26429.197400607212</v>
      </c>
      <c r="C66" s="56" t="s">
        <v>31</v>
      </c>
      <c r="D66" s="56"/>
      <c r="E66" s="56"/>
      <c r="F66" s="3"/>
      <c r="I66" s="78" t="s">
        <v>71</v>
      </c>
      <c r="J66" s="129"/>
      <c r="K66" s="78"/>
      <c r="L66" s="129"/>
    </row>
    <row r="67" spans="1:12" x14ac:dyDescent="0.25">
      <c r="A67" s="80" t="s">
        <v>58</v>
      </c>
      <c r="B67" s="81">
        <f>C20-B44-B63</f>
        <v>-7122.0025993927875</v>
      </c>
      <c r="C67" s="56" t="s">
        <v>31</v>
      </c>
      <c r="D67" s="56"/>
      <c r="E67" s="56"/>
      <c r="F67" s="3"/>
      <c r="I67" s="78" t="s">
        <v>72</v>
      </c>
      <c r="J67" s="129"/>
      <c r="K67" s="78"/>
      <c r="L67" s="129"/>
    </row>
    <row r="68" spans="1:12" x14ac:dyDescent="0.25">
      <c r="A68" s="80" t="s">
        <v>59</v>
      </c>
      <c r="B68" s="81">
        <f>C22-B58</f>
        <v>16181.52</v>
      </c>
      <c r="C68" s="56" t="s">
        <v>31</v>
      </c>
      <c r="D68" s="56"/>
      <c r="E68" s="56"/>
      <c r="F68" s="3"/>
      <c r="I68" s="78" t="s">
        <v>73</v>
      </c>
      <c r="J68" s="129"/>
      <c r="K68" s="78"/>
      <c r="L68" s="129"/>
    </row>
    <row r="69" spans="1:12" x14ac:dyDescent="0.25">
      <c r="A69" s="80" t="s">
        <v>60</v>
      </c>
      <c r="B69" s="81">
        <f>C26-B59</f>
        <v>0</v>
      </c>
      <c r="C69" s="56" t="s">
        <v>31</v>
      </c>
      <c r="D69" s="56"/>
      <c r="E69" s="56"/>
      <c r="F69" s="3"/>
      <c r="I69" s="78" t="s">
        <v>74</v>
      </c>
      <c r="J69" s="129"/>
      <c r="K69" s="78"/>
      <c r="L69" s="129"/>
    </row>
    <row r="70" spans="1:12" x14ac:dyDescent="0.25">
      <c r="A70" s="80" t="s">
        <v>61</v>
      </c>
      <c r="B70" s="81">
        <f>C28-B60</f>
        <v>17369.68</v>
      </c>
      <c r="C70" s="56" t="s">
        <v>31</v>
      </c>
      <c r="D70" s="56"/>
      <c r="E70" s="56"/>
      <c r="F70" s="3"/>
      <c r="I70" s="78" t="s">
        <v>75</v>
      </c>
      <c r="J70" s="129"/>
      <c r="K70" s="78"/>
      <c r="L70" s="129"/>
    </row>
    <row r="71" spans="1:12" ht="15.75" thickBot="1" x14ac:dyDescent="0.3">
      <c r="A71" s="80" t="s">
        <v>62</v>
      </c>
      <c r="B71" s="81">
        <f>C35-B61</f>
        <v>0</v>
      </c>
      <c r="C71" s="56" t="s">
        <v>31</v>
      </c>
      <c r="D71" s="56"/>
      <c r="E71" s="56"/>
      <c r="F71" s="3"/>
      <c r="I71" s="86" t="s">
        <v>76</v>
      </c>
      <c r="J71" s="130"/>
      <c r="K71" s="86"/>
      <c r="L71" s="130"/>
    </row>
    <row r="72" spans="1:12" x14ac:dyDescent="0.25">
      <c r="A72" s="80" t="s">
        <v>115</v>
      </c>
      <c r="B72" s="81">
        <f>C37-B62</f>
        <v>0</v>
      </c>
      <c r="C72" s="56" t="s">
        <v>31</v>
      </c>
      <c r="I72" s="87"/>
      <c r="J72" s="88"/>
      <c r="K72" s="88"/>
      <c r="L72" s="131"/>
    </row>
    <row r="73" spans="1:12" ht="15.75" thickBot="1" x14ac:dyDescent="0.3">
      <c r="A73" s="80"/>
      <c r="B73" s="81"/>
      <c r="C73" s="56"/>
      <c r="D73" s="111"/>
      <c r="E73" s="112"/>
      <c r="F73" s="113"/>
      <c r="G73" s="109"/>
      <c r="I73" s="92" t="s">
        <v>77</v>
      </c>
      <c r="J73" s="93"/>
      <c r="K73" s="93"/>
      <c r="L73" s="132">
        <f>J60+J61+J62+J63+J64+J65+J66+J67+J68+J69+J70+J71+L60+L61+L62+L63+L64+L65+L66+L67+L68+L69+L70+L71+N30</f>
        <v>0</v>
      </c>
    </row>
    <row r="74" spans="1:12" ht="15.75" thickBot="1" x14ac:dyDescent="0.3">
      <c r="A74" s="155" t="s">
        <v>121</v>
      </c>
      <c r="B74" s="156"/>
      <c r="C74" s="157"/>
      <c r="D74" s="114"/>
      <c r="E74" s="114"/>
      <c r="F74" s="114"/>
      <c r="G74" s="109"/>
    </row>
    <row r="75" spans="1:12" ht="51.75" thickBot="1" x14ac:dyDescent="0.3">
      <c r="A75" s="82" t="s">
        <v>116</v>
      </c>
      <c r="B75" s="83" t="s">
        <v>63</v>
      </c>
      <c r="C75" s="84" t="s">
        <v>96</v>
      </c>
      <c r="D75" s="115"/>
      <c r="E75" s="116"/>
      <c r="F75" s="117"/>
      <c r="G75" s="109"/>
      <c r="I75" s="1" t="s">
        <v>78</v>
      </c>
      <c r="J75" s="1"/>
      <c r="K75" s="1"/>
      <c r="L75" s="2">
        <f>C28-L73</f>
        <v>17369.68</v>
      </c>
    </row>
    <row r="76" spans="1:12" x14ac:dyDescent="0.25">
      <c r="A76" s="85" t="s">
        <v>65</v>
      </c>
      <c r="B76" s="134" t="s">
        <v>31</v>
      </c>
      <c r="C76" s="135" t="s">
        <v>31</v>
      </c>
      <c r="D76" s="115"/>
      <c r="E76" s="116"/>
      <c r="F76" s="117"/>
      <c r="G76" s="109"/>
    </row>
    <row r="77" spans="1:12" x14ac:dyDescent="0.25">
      <c r="A77" s="179"/>
      <c r="B77" s="43"/>
      <c r="C77" s="124"/>
      <c r="D77" s="115"/>
      <c r="E77" s="116"/>
      <c r="F77" s="117"/>
      <c r="G77" s="109"/>
    </row>
    <row r="78" spans="1:12" hidden="1" x14ac:dyDescent="0.25">
      <c r="A78" s="192"/>
      <c r="B78" s="43"/>
      <c r="C78" s="124"/>
      <c r="D78" s="115"/>
      <c r="E78" s="116"/>
      <c r="F78" s="117"/>
      <c r="G78" s="109"/>
    </row>
    <row r="79" spans="1:12" hidden="1" x14ac:dyDescent="0.25">
      <c r="A79" s="192"/>
      <c r="B79" s="43"/>
      <c r="C79" s="124"/>
      <c r="D79" s="115"/>
      <c r="E79" s="116"/>
      <c r="F79" s="117"/>
      <c r="G79" s="109"/>
    </row>
    <row r="80" spans="1:12" hidden="1" x14ac:dyDescent="0.25">
      <c r="A80" s="53"/>
      <c r="B80" s="43"/>
      <c r="C80" s="124"/>
      <c r="D80" s="115"/>
      <c r="E80" s="116"/>
      <c r="F80" s="117"/>
      <c r="G80" s="109"/>
    </row>
    <row r="81" spans="1:7" ht="15.75" thickBot="1" x14ac:dyDescent="0.3">
      <c r="A81" s="176" t="s">
        <v>5</v>
      </c>
      <c r="B81" s="177">
        <f>B77</f>
        <v>0</v>
      </c>
      <c r="C81" s="178">
        <f>C77+C78+C79+C80</f>
        <v>0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 t="s">
        <v>79</v>
      </c>
      <c r="B84" s="33"/>
      <c r="D84" s="118"/>
      <c r="E84" s="116"/>
      <c r="F84" s="117"/>
      <c r="G84" s="109"/>
    </row>
    <row r="85" spans="1:7" x14ac:dyDescent="0.25">
      <c r="A85" s="60" t="s">
        <v>34</v>
      </c>
      <c r="B85" s="20">
        <f>B44/B8/12</f>
        <v>6.5961955819268248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81</v>
      </c>
      <c r="B86" s="20">
        <f>B58/B8/12</f>
        <v>0</v>
      </c>
      <c r="C86" s="101" t="s">
        <v>80</v>
      </c>
      <c r="D86" s="118"/>
      <c r="E86" s="116"/>
      <c r="F86" s="117"/>
      <c r="G86" s="109"/>
    </row>
    <row r="87" spans="1:7" x14ac:dyDescent="0.25">
      <c r="A87" s="60" t="s">
        <v>82</v>
      </c>
      <c r="B87" s="20">
        <f>B59/B8/12</f>
        <v>0</v>
      </c>
      <c r="C87" s="101" t="s">
        <v>80</v>
      </c>
      <c r="D87" s="118"/>
      <c r="E87" s="116"/>
      <c r="F87" s="117"/>
      <c r="G87" s="109"/>
    </row>
    <row r="88" spans="1:7" x14ac:dyDescent="0.25">
      <c r="A88" s="60"/>
      <c r="B88" s="33"/>
      <c r="C88" s="98"/>
      <c r="D88" s="118"/>
      <c r="E88" s="116"/>
      <c r="F88" s="117"/>
      <c r="G88" s="109"/>
    </row>
    <row r="89" spans="1:7" x14ac:dyDescent="0.25">
      <c r="A89" s="185"/>
      <c r="B89" s="180"/>
      <c r="C89" s="184"/>
      <c r="D89" s="182"/>
      <c r="E89" s="183"/>
      <c r="F89" s="119"/>
      <c r="G89" s="109"/>
    </row>
    <row r="90" spans="1:7" x14ac:dyDescent="0.25">
      <c r="A90" s="185"/>
      <c r="B90" s="186"/>
      <c r="C90" s="184"/>
      <c r="D90" s="182"/>
      <c r="E90" s="183"/>
      <c r="F90" s="109"/>
      <c r="G90" s="109"/>
    </row>
    <row r="91" spans="1:7" x14ac:dyDescent="0.25">
      <c r="A91" s="185"/>
      <c r="B91" s="186"/>
      <c r="C91" s="184"/>
      <c r="D91" s="181"/>
      <c r="E91" s="183"/>
      <c r="F91" s="109"/>
      <c r="G91" s="109"/>
    </row>
    <row r="92" spans="1:7" x14ac:dyDescent="0.25">
      <c r="A92" s="31"/>
      <c r="B92" s="33"/>
      <c r="C92" s="105"/>
      <c r="E92" s="116"/>
      <c r="F92" s="109"/>
      <c r="G92" s="109"/>
    </row>
    <row r="93" spans="1:7" x14ac:dyDescent="0.25">
      <c r="A93" s="103"/>
      <c r="B93" s="104"/>
      <c r="C93" s="105"/>
      <c r="D93" s="118"/>
      <c r="E93" s="116"/>
      <c r="F93" s="109"/>
      <c r="G93" s="109"/>
    </row>
    <row r="94" spans="1:7" x14ac:dyDescent="0.25">
      <c r="A94" s="19" t="s">
        <v>83</v>
      </c>
      <c r="B94" s="104"/>
      <c r="C94" s="105"/>
      <c r="D94" s="133" t="s">
        <v>95</v>
      </c>
      <c r="E94" s="100"/>
    </row>
    <row r="95" spans="1:7" x14ac:dyDescent="0.25">
      <c r="A95" s="103"/>
      <c r="B95" s="104"/>
      <c r="C95" s="105"/>
      <c r="D95" s="99"/>
      <c r="E95" s="100"/>
    </row>
    <row r="96" spans="1:7" x14ac:dyDescent="0.25">
      <c r="A96" s="103"/>
      <c r="B96" s="104"/>
      <c r="C96" s="98"/>
      <c r="D96" s="99"/>
      <c r="E96" s="100"/>
    </row>
    <row r="97" spans="1:6" x14ac:dyDescent="0.25">
      <c r="A97" s="31"/>
      <c r="B97" s="33"/>
      <c r="C97" s="98"/>
      <c r="D97" s="99"/>
      <c r="E97" s="100"/>
    </row>
    <row r="98" spans="1:6" x14ac:dyDescent="0.25">
      <c r="A98" s="31"/>
      <c r="B98" s="33"/>
      <c r="C98" s="56"/>
      <c r="D98" s="99"/>
      <c r="E98" s="100"/>
    </row>
    <row r="99" spans="1:6" x14ac:dyDescent="0.25">
      <c r="A99" s="19"/>
      <c r="B99" s="20"/>
      <c r="C99" s="56"/>
      <c r="D99" s="56"/>
      <c r="E99" s="56"/>
    </row>
    <row r="100" spans="1:6" x14ac:dyDescent="0.25">
      <c r="A100" s="19"/>
      <c r="B100" s="20"/>
      <c r="C100" s="56"/>
      <c r="D100" s="102"/>
      <c r="E100" s="56"/>
    </row>
    <row r="101" spans="1:6" x14ac:dyDescent="0.25">
      <c r="A101" s="19"/>
      <c r="B101" s="20"/>
      <c r="C101" s="100"/>
      <c r="D101" s="99"/>
      <c r="E101" s="100"/>
    </row>
    <row r="102" spans="1:6" x14ac:dyDescent="0.25">
      <c r="A102" s="31"/>
      <c r="B102" s="33"/>
      <c r="C102" s="100"/>
      <c r="D102" s="99"/>
      <c r="E102" s="100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</row>
    <row r="105" spans="1:6" x14ac:dyDescent="0.25">
      <c r="A105" s="107"/>
      <c r="B105" s="108"/>
      <c r="C105" s="100"/>
      <c r="D105" s="105"/>
      <c r="E105" s="100"/>
      <c r="F105" s="106"/>
    </row>
    <row r="106" spans="1:6" x14ac:dyDescent="0.25">
      <c r="A106" s="31"/>
      <c r="B106" s="33"/>
      <c r="C106" s="100"/>
      <c r="D106" s="105"/>
      <c r="E106" s="100"/>
    </row>
    <row r="107" spans="1:6" x14ac:dyDescent="0.25">
      <c r="A107" s="31"/>
      <c r="B107" s="33"/>
      <c r="C107" s="56"/>
      <c r="D107" s="98"/>
      <c r="E107" s="100"/>
    </row>
    <row r="108" spans="1:6" x14ac:dyDescent="0.25">
      <c r="A108" s="19"/>
      <c r="B108" s="20"/>
      <c r="C108" s="100"/>
      <c r="D108" s="98"/>
      <c r="E108" s="100"/>
    </row>
    <row r="109" spans="1:6" x14ac:dyDescent="0.25">
      <c r="A109" s="31"/>
      <c r="B109" s="33"/>
      <c r="C109" s="100"/>
      <c r="D109" s="56"/>
      <c r="E109" s="56"/>
      <c r="F109" s="3"/>
    </row>
    <row r="110" spans="1:6" x14ac:dyDescent="0.25">
      <c r="A110" s="31"/>
      <c r="B110" s="33"/>
      <c r="C110" s="33"/>
      <c r="D110" s="56"/>
      <c r="E110" s="100"/>
    </row>
    <row r="111" spans="1:6" x14ac:dyDescent="0.25">
      <c r="A111" s="31"/>
      <c r="B111" s="33"/>
      <c r="C111" s="33"/>
      <c r="D111" s="56"/>
      <c r="E111" s="56"/>
    </row>
    <row r="112" spans="1:6" x14ac:dyDescent="0.25">
      <c r="A112" s="31"/>
      <c r="B112" s="33"/>
      <c r="C112" s="33"/>
      <c r="D112" s="100"/>
      <c r="E112" s="100"/>
    </row>
    <row r="113" spans="1:6" x14ac:dyDescent="0.25">
      <c r="A113" s="31"/>
      <c r="B113" s="33"/>
      <c r="D113" s="100"/>
      <c r="E113" s="100"/>
    </row>
    <row r="114" spans="1:6" x14ac:dyDescent="0.25">
      <c r="D114" s="100"/>
      <c r="E114" s="100"/>
    </row>
    <row r="115" spans="1:6" x14ac:dyDescent="0.25">
      <c r="D115" s="100"/>
      <c r="E115" s="100"/>
    </row>
    <row r="116" spans="1:6" x14ac:dyDescent="0.25">
      <c r="D116" s="100"/>
      <c r="E116" s="100"/>
    </row>
    <row r="117" spans="1:6" x14ac:dyDescent="0.25">
      <c r="D117" s="100"/>
      <c r="E117" s="100"/>
    </row>
    <row r="118" spans="1:6" x14ac:dyDescent="0.25">
      <c r="B118"/>
      <c r="C118"/>
      <c r="D118" s="56"/>
      <c r="E118" s="56"/>
      <c r="F118" s="3"/>
    </row>
    <row r="119" spans="1:6" x14ac:dyDescent="0.25">
      <c r="B119"/>
      <c r="C119"/>
      <c r="D119" s="100"/>
      <c r="E119" s="100"/>
      <c r="F119" s="3"/>
    </row>
    <row r="120" spans="1:6" x14ac:dyDescent="0.25">
      <c r="B120"/>
      <c r="C120"/>
      <c r="D120" s="100"/>
      <c r="E120" s="100"/>
    </row>
    <row r="121" spans="1:6" x14ac:dyDescent="0.25">
      <c r="B121"/>
      <c r="C121"/>
      <c r="D121" s="33"/>
      <c r="E121" s="33"/>
    </row>
    <row r="122" spans="1:6" x14ac:dyDescent="0.25">
      <c r="B122"/>
      <c r="C122"/>
      <c r="D122" s="33"/>
      <c r="E122" s="33"/>
    </row>
    <row r="123" spans="1:6" x14ac:dyDescent="0.25">
      <c r="D123" s="33"/>
      <c r="E123" s="33"/>
    </row>
  </sheetData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8"/>
  <sheetViews>
    <sheetView topLeftCell="A68" workbookViewId="0">
      <selection activeCell="D79" sqref="D7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6.285156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84</v>
      </c>
      <c r="B2" s="2"/>
      <c r="C2" s="2"/>
      <c r="D2" s="2"/>
    </row>
    <row r="3" spans="1:22" x14ac:dyDescent="0.25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4" t="s">
        <v>0</v>
      </c>
      <c r="B4" s="5"/>
      <c r="C4" s="5"/>
      <c r="D4" s="5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4</v>
      </c>
      <c r="B6" s="11"/>
      <c r="C6" s="11">
        <v>1868.2</v>
      </c>
      <c r="D6" s="12">
        <v>63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1868.2</v>
      </c>
      <c r="D8" s="18"/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94</v>
      </c>
      <c r="B10" s="23"/>
      <c r="C10" s="23"/>
      <c r="D10" s="24" t="s">
        <v>6</v>
      </c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f>10.44+0.55</f>
        <v>10.99</v>
      </c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5.36</v>
      </c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</v>
      </c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x14ac:dyDescent="0.25">
      <c r="A15" s="32"/>
      <c r="B15" s="33"/>
      <c r="C15" s="33"/>
      <c r="D15" s="33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34" t="s">
        <v>87</v>
      </c>
      <c r="B16" s="35"/>
      <c r="C16" s="35"/>
      <c r="D16" s="35"/>
      <c r="E16" s="5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36"/>
      <c r="G19" s="136"/>
      <c r="H19" s="136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36400.21</v>
      </c>
      <c r="C20" s="41">
        <v>246378.48</v>
      </c>
      <c r="D20" s="40">
        <f>183619.06+7657.37</f>
        <v>191276.43</v>
      </c>
      <c r="E20" s="42">
        <f t="shared" ref="E20:E36" si="0">C20-D20+B20</f>
        <v>91502.260000000009</v>
      </c>
      <c r="F20" s="137">
        <f>C20+F22</f>
        <v>366541.08</v>
      </c>
      <c r="G20" s="138">
        <f>100</f>
        <v>100</v>
      </c>
      <c r="H20" s="136" t="s">
        <v>90</v>
      </c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17780.259999999998</v>
      </c>
      <c r="C22" s="44">
        <f>113885.45+6277.15</f>
        <v>120162.59999999999</v>
      </c>
      <c r="D22" s="43">
        <f>89175.32+3698.44</f>
        <v>92873.760000000009</v>
      </c>
      <c r="E22" s="45">
        <f t="shared" si="0"/>
        <v>45069.099999999977</v>
      </c>
      <c r="F22" s="137">
        <f>C22</f>
        <v>120162.59999999999</v>
      </c>
      <c r="G22" s="139">
        <f>F22*G20/F20</f>
        <v>32.782846604806203</v>
      </c>
      <c r="H22" s="136" t="s">
        <v>90</v>
      </c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36"/>
      <c r="G23" s="136"/>
      <c r="H23" s="136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hidden="1" x14ac:dyDescent="0.25">
      <c r="A24" s="13" t="s">
        <v>17</v>
      </c>
      <c r="B24" s="44"/>
      <c r="C24" s="44"/>
      <c r="D24" s="44"/>
      <c r="E24" s="45">
        <f t="shared" si="0"/>
        <v>0</v>
      </c>
      <c r="F24" s="136"/>
      <c r="G24" s="136"/>
      <c r="H24" s="136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36"/>
      <c r="G25" s="136"/>
      <c r="H25" s="136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/>
      <c r="C26" s="46">
        <v>0</v>
      </c>
      <c r="D26" s="46">
        <v>4.29</v>
      </c>
      <c r="E26" s="47">
        <f t="shared" si="0"/>
        <v>-4.29</v>
      </c>
      <c r="F26" s="136"/>
      <c r="G26" s="136"/>
      <c r="H26" s="136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B28+B29+B30+B31</f>
        <v>-60223.37999999999</v>
      </c>
      <c r="C27" s="50">
        <f>C28+C29+C30+C31</f>
        <v>734604.87999999989</v>
      </c>
      <c r="D27" s="50">
        <f>D28+D29+D30+D31</f>
        <v>506121.39</v>
      </c>
      <c r="E27" s="51">
        <f>C27-D27+B27</f>
        <v>168260.10999999987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52" t="s">
        <v>22</v>
      </c>
      <c r="B28" s="40">
        <f>-82495.13</f>
        <v>-82495.13</v>
      </c>
      <c r="C28" s="40">
        <f>547999.11-115125.8</f>
        <v>432873.31</v>
      </c>
      <c r="D28" s="40">
        <f>168805.95+10515.12</f>
        <v>179321.07</v>
      </c>
      <c r="E28" s="42">
        <f t="shared" si="0"/>
        <v>171057.11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3" t="s">
        <v>23</v>
      </c>
      <c r="B29" s="43">
        <f>152183.82-124158.76</f>
        <v>28025.060000000012</v>
      </c>
      <c r="C29" s="43">
        <f>159913.86-0.08-4090.75+44725.46-0.05-1083.31</f>
        <v>199465.13</v>
      </c>
      <c r="D29" s="43">
        <f>241683.49+6756.28+3484.6</f>
        <v>251924.37</v>
      </c>
      <c r="E29" s="45">
        <f t="shared" si="0"/>
        <v>-24434.179999999978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24</v>
      </c>
      <c r="B30" s="43">
        <f>-5774.43</f>
        <v>-5774.43</v>
      </c>
      <c r="C30" s="43">
        <f>30658.74+4014.71-453.48</f>
        <v>34219.97</v>
      </c>
      <c r="D30" s="43">
        <f>26443.23+715.22</f>
        <v>27158.45</v>
      </c>
      <c r="E30" s="45">
        <f t="shared" si="0"/>
        <v>1287.0900000000001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25</v>
      </c>
      <c r="B31" s="43">
        <v>21.12</v>
      </c>
      <c r="C31" s="43">
        <f>69919.13-0.05-1872.61</f>
        <v>68046.47</v>
      </c>
      <c r="D31" s="43">
        <f>46540.93+1176.57</f>
        <v>47717.5</v>
      </c>
      <c r="E31" s="45">
        <f t="shared" si="0"/>
        <v>20350.09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/>
      <c r="B32" s="43"/>
      <c r="C32" s="44"/>
      <c r="D32" s="44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13" t="s">
        <v>26</v>
      </c>
      <c r="B33" s="54"/>
      <c r="C33" s="55"/>
      <c r="D33" s="55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13"/>
      <c r="B34" s="44"/>
      <c r="C34" s="44"/>
      <c r="D34" s="44"/>
      <c r="E34" s="45">
        <f>C34-D34+B34</f>
        <v>0</v>
      </c>
      <c r="J34" s="56"/>
      <c r="K34" s="56"/>
      <c r="L34" s="3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 t="s">
        <v>27</v>
      </c>
      <c r="B35" s="44"/>
      <c r="C35" s="44"/>
      <c r="D35" s="44"/>
      <c r="E35" s="45">
        <f t="shared" si="0"/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5.75" hidden="1" thickBot="1" x14ac:dyDescent="0.3">
      <c r="A36" s="16" t="s">
        <v>28</v>
      </c>
      <c r="B36" s="46"/>
      <c r="C36" s="46"/>
      <c r="D36" s="46"/>
      <c r="E36" s="47">
        <f t="shared" si="0"/>
        <v>0</v>
      </c>
      <c r="K36" s="3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57" t="s">
        <v>29</v>
      </c>
      <c r="B37" s="58">
        <f>B20+B21+B22+B23+B24+B25+B26+B27+B33+B34+B35+B36</f>
        <v>-6042.9099999999889</v>
      </c>
      <c r="C37" s="58">
        <f>C20+C21+C22+C23+C24+C25+C26+C27+C33+C34+C35+C36</f>
        <v>1101145.96</v>
      </c>
      <c r="D37" s="58">
        <f>D20+D21+D22+D23+D24+D25+D26+D27+D33+D34+D35+D36</f>
        <v>790275.87</v>
      </c>
      <c r="E37" s="59">
        <f>E20+E21+E22+E23+E24+E25+E27+E33+E34+E35+E36+E26</f>
        <v>304827.17999999988</v>
      </c>
      <c r="F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x14ac:dyDescent="0.25">
      <c r="A38" s="60"/>
      <c r="B38" s="61"/>
      <c r="C38" s="56"/>
      <c r="D38" s="114"/>
      <c r="E38" s="114"/>
      <c r="F38" s="152"/>
      <c r="G38" s="109"/>
      <c r="H38" s="109"/>
      <c r="I38" s="109"/>
      <c r="J38" s="109"/>
      <c r="K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60"/>
      <c r="B39" s="61"/>
      <c r="C39" s="56"/>
      <c r="D39" s="114"/>
      <c r="E39" s="114"/>
      <c r="F39" s="152"/>
      <c r="G39" s="109"/>
      <c r="H39" s="109"/>
      <c r="I39" s="109"/>
      <c r="J39" s="109"/>
    </row>
    <row r="40" spans="1:22" ht="15.75" thickBot="1" x14ac:dyDescent="0.3">
      <c r="A40" s="62" t="s">
        <v>30</v>
      </c>
      <c r="B40" s="63">
        <f>B42+B57+B58+B55+B59+B56</f>
        <v>1140053.1610774542</v>
      </c>
      <c r="C40" s="64" t="s">
        <v>31</v>
      </c>
      <c r="D40" s="140">
        <f>C37-B40</f>
        <v>-38907.201077454258</v>
      </c>
      <c r="E40" s="141" t="s">
        <v>32</v>
      </c>
      <c r="F40" s="142">
        <v>5228898.0599999996</v>
      </c>
      <c r="G40" s="142">
        <f>F40/F46*C8</f>
        <v>70218.446395109524</v>
      </c>
      <c r="H40" s="136"/>
      <c r="I40" s="136"/>
      <c r="J40" s="109"/>
    </row>
    <row r="41" spans="1:22" x14ac:dyDescent="0.25">
      <c r="A41" s="65" t="s">
        <v>92</v>
      </c>
      <c r="B41" s="66">
        <f>'[1] 4 ЖД 46Б'!$B$61</f>
        <v>-16922.985999999946</v>
      </c>
      <c r="C41" s="67" t="s">
        <v>31</v>
      </c>
      <c r="D41" s="140"/>
      <c r="E41" s="141" t="s">
        <v>33</v>
      </c>
      <c r="F41" s="142">
        <v>1017312.51</v>
      </c>
      <c r="G41" s="142">
        <f>F41/F46*C8</f>
        <v>13661.406883596681</v>
      </c>
      <c r="H41" s="136"/>
      <c r="I41" s="136"/>
      <c r="J41" s="109"/>
    </row>
    <row r="42" spans="1:22" x14ac:dyDescent="0.25">
      <c r="A42" s="68" t="s">
        <v>34</v>
      </c>
      <c r="B42" s="69">
        <f>B43+B44+B46+B47+B48+B49+B50+B51+B52+B53+B54+B45</f>
        <v>265441.85381280759</v>
      </c>
      <c r="C42" s="70" t="s">
        <v>31</v>
      </c>
      <c r="D42" s="140"/>
      <c r="E42" s="141" t="s">
        <v>35</v>
      </c>
      <c r="F42" s="142">
        <v>174824</v>
      </c>
      <c r="G42" s="142">
        <f>F42/F46*C8</f>
        <v>2347.6972646467366</v>
      </c>
      <c r="H42" s="136"/>
      <c r="I42" s="136"/>
      <c r="J42" s="109"/>
    </row>
    <row r="43" spans="1:22" x14ac:dyDescent="0.25">
      <c r="A43" s="71" t="s">
        <v>36</v>
      </c>
      <c r="B43" s="72">
        <v>26040.240000000002</v>
      </c>
      <c r="C43" s="73" t="s">
        <v>31</v>
      </c>
      <c r="D43" s="140"/>
      <c r="E43" s="141" t="s">
        <v>18</v>
      </c>
      <c r="F43" s="142">
        <v>206457.71</v>
      </c>
      <c r="G43" s="142">
        <f>F43/F46*C8</f>
        <v>2772.5037811297602</v>
      </c>
      <c r="H43" s="136"/>
      <c r="I43" s="136"/>
      <c r="J43" s="109"/>
    </row>
    <row r="44" spans="1:22" x14ac:dyDescent="0.25">
      <c r="A44" s="74" t="s">
        <v>37</v>
      </c>
      <c r="B44" s="72">
        <f>G40+G41</f>
        <v>83879.853278706199</v>
      </c>
      <c r="C44" s="73" t="s">
        <v>31</v>
      </c>
      <c r="D44" s="140"/>
      <c r="E44" s="143" t="s">
        <v>38</v>
      </c>
      <c r="F44" s="142">
        <f>7706.9+43200</f>
        <v>50906.9</v>
      </c>
      <c r="G44" s="142">
        <f>F44/F46*C8</f>
        <v>683.62461608042929</v>
      </c>
      <c r="H44" s="136"/>
      <c r="I44" s="136">
        <v>35134.480000000003</v>
      </c>
      <c r="J44" s="109"/>
    </row>
    <row r="45" spans="1:22" x14ac:dyDescent="0.25">
      <c r="A45" s="74" t="s">
        <v>39</v>
      </c>
      <c r="B45" s="72">
        <v>17900</v>
      </c>
      <c r="C45" s="73" t="s">
        <v>31</v>
      </c>
      <c r="D45" s="140"/>
      <c r="E45" s="142" t="s">
        <v>12</v>
      </c>
      <c r="F45" s="142">
        <f>7038875.3-F44</f>
        <v>6987968.3999999994</v>
      </c>
      <c r="G45" s="142">
        <f>F45/F46*C8</f>
        <v>93840.858795805107</v>
      </c>
      <c r="H45" s="136"/>
      <c r="I45" s="136"/>
      <c r="J45" s="109"/>
    </row>
    <row r="46" spans="1:22" x14ac:dyDescent="0.25">
      <c r="A46" s="71" t="s">
        <v>40</v>
      </c>
      <c r="B46" s="72">
        <f>3076.68+260+1692.97+G44</f>
        <v>5713.274616080429</v>
      </c>
      <c r="C46" s="73" t="s">
        <v>31</v>
      </c>
      <c r="D46" s="140"/>
      <c r="E46" s="144" t="s">
        <v>41</v>
      </c>
      <c r="F46" s="145">
        <v>139117.68</v>
      </c>
      <c r="G46" s="142"/>
      <c r="H46" s="136"/>
      <c r="I46" s="136"/>
      <c r="J46" s="109"/>
    </row>
    <row r="47" spans="1:22" x14ac:dyDescent="0.25">
      <c r="A47" s="71" t="s">
        <v>42</v>
      </c>
      <c r="B47" s="72">
        <f>G43</f>
        <v>2772.5037811297602</v>
      </c>
      <c r="C47" s="73" t="s">
        <v>31</v>
      </c>
      <c r="D47" s="140"/>
      <c r="E47" s="145"/>
      <c r="F47" s="142">
        <f>F44*0.6559</f>
        <v>33389.835709999999</v>
      </c>
      <c r="G47" s="142"/>
      <c r="H47" s="136"/>
      <c r="I47" s="136"/>
      <c r="J47" s="109"/>
    </row>
    <row r="48" spans="1:22" x14ac:dyDescent="0.25">
      <c r="A48" s="71" t="s">
        <v>43</v>
      </c>
      <c r="B48" s="72">
        <f>G45</f>
        <v>93840.858795805107</v>
      </c>
      <c r="C48" s="73" t="s">
        <v>31</v>
      </c>
      <c r="D48" s="140"/>
      <c r="E48" s="146" t="s">
        <v>102</v>
      </c>
      <c r="F48" s="146">
        <f>2946.5</f>
        <v>2946.5</v>
      </c>
      <c r="G48" s="146">
        <f>F48/F46*C8</f>
        <v>39.568308643444894</v>
      </c>
      <c r="H48" s="136"/>
      <c r="I48" s="136"/>
      <c r="J48" s="109"/>
    </row>
    <row r="49" spans="1:12" x14ac:dyDescent="0.25">
      <c r="A49" s="71" t="s">
        <v>44</v>
      </c>
      <c r="B49" s="72">
        <f>F52</f>
        <v>1291.7401544061859</v>
      </c>
      <c r="C49" s="73" t="s">
        <v>31</v>
      </c>
      <c r="D49" s="140"/>
      <c r="E49" s="140"/>
      <c r="F49" s="147"/>
      <c r="G49" s="148"/>
      <c r="H49" s="136"/>
      <c r="I49" s="136"/>
      <c r="J49" s="109"/>
    </row>
    <row r="50" spans="1:12" x14ac:dyDescent="0.25">
      <c r="A50" s="71" t="s">
        <v>45</v>
      </c>
      <c r="B50" s="72">
        <f>G48</f>
        <v>39.568308643444894</v>
      </c>
      <c r="C50" s="73" t="s">
        <v>31</v>
      </c>
      <c r="D50" s="140"/>
      <c r="E50" s="140" t="s">
        <v>100</v>
      </c>
      <c r="F50" s="147">
        <v>20905.240000000002</v>
      </c>
      <c r="G50" s="148"/>
      <c r="H50" s="136"/>
      <c r="I50" s="136"/>
      <c r="J50" s="109"/>
    </row>
    <row r="51" spans="1:12" x14ac:dyDescent="0.25">
      <c r="A51" s="71" t="s">
        <v>46</v>
      </c>
      <c r="B51" s="72">
        <f>3424.02+2552.37</f>
        <v>5976.3899999999994</v>
      </c>
      <c r="C51" s="73" t="s">
        <v>31</v>
      </c>
      <c r="D51" s="140"/>
      <c r="E51" s="140" t="s">
        <v>93</v>
      </c>
      <c r="F51" s="147">
        <v>30234.54</v>
      </c>
      <c r="G51" s="148"/>
      <c r="H51" s="136"/>
      <c r="I51" s="136"/>
      <c r="J51" s="109"/>
    </row>
    <row r="52" spans="1:12" x14ac:dyDescent="0.25">
      <c r="A52" s="71" t="s">
        <v>47</v>
      </c>
      <c r="B52" s="72">
        <v>225</v>
      </c>
      <c r="C52" s="73" t="s">
        <v>31</v>
      </c>
      <c r="D52" s="140"/>
      <c r="E52" s="140" t="s">
        <v>101</v>
      </c>
      <c r="F52" s="147">
        <f>F50/F51*C8</f>
        <v>1291.7401544061859</v>
      </c>
      <c r="G52" s="148"/>
      <c r="H52" s="136"/>
      <c r="I52" s="136"/>
      <c r="J52" s="109"/>
    </row>
    <row r="53" spans="1:12" x14ac:dyDescent="0.25">
      <c r="A53" s="71" t="s">
        <v>48</v>
      </c>
      <c r="B53" s="72">
        <v>6727.68</v>
      </c>
      <c r="C53" s="73" t="s">
        <v>31</v>
      </c>
      <c r="D53" s="140"/>
      <c r="E53" s="140"/>
      <c r="F53" s="169"/>
      <c r="G53" s="136"/>
      <c r="H53" s="136"/>
      <c r="I53" s="136"/>
      <c r="J53" s="109"/>
    </row>
    <row r="54" spans="1:12" x14ac:dyDescent="0.25">
      <c r="A54" s="71" t="s">
        <v>49</v>
      </c>
      <c r="B54" s="72">
        <f>(B44+B45+B46+B47+B48+B50+B51+B52)*0.1</f>
        <v>21034.744878036494</v>
      </c>
      <c r="C54" s="73" t="s">
        <v>31</v>
      </c>
      <c r="D54" s="140"/>
      <c r="E54" s="140"/>
      <c r="F54" s="169"/>
      <c r="G54" s="136"/>
      <c r="H54" s="136"/>
      <c r="I54" s="136"/>
      <c r="J54" s="109"/>
    </row>
    <row r="55" spans="1:12" x14ac:dyDescent="0.25">
      <c r="A55" s="68" t="s">
        <v>50</v>
      </c>
      <c r="B55" s="69">
        <f>C74</f>
        <v>158013</v>
      </c>
      <c r="C55" s="70" t="s">
        <v>31</v>
      </c>
      <c r="D55" s="56"/>
      <c r="E55" s="56"/>
      <c r="F55" s="3"/>
    </row>
    <row r="56" spans="1:12" x14ac:dyDescent="0.25">
      <c r="A56" s="68" t="s">
        <v>51</v>
      </c>
      <c r="B56" s="69">
        <v>2587.52</v>
      </c>
      <c r="C56" s="70" t="s">
        <v>31</v>
      </c>
      <c r="D56" s="56"/>
      <c r="E56" s="56"/>
      <c r="F56" s="3"/>
    </row>
    <row r="57" spans="1:12" x14ac:dyDescent="0.25">
      <c r="A57" s="68" t="s">
        <v>52</v>
      </c>
      <c r="B57" s="69">
        <f>L73</f>
        <v>711663.09</v>
      </c>
      <c r="C57" s="70" t="s">
        <v>31</v>
      </c>
      <c r="D57" s="56"/>
      <c r="E57" s="56"/>
      <c r="F57" s="3"/>
    </row>
    <row r="58" spans="1:12" hidden="1" x14ac:dyDescent="0.25">
      <c r="A58" s="68" t="s">
        <v>53</v>
      </c>
      <c r="B58" s="69"/>
      <c r="C58" s="70" t="s">
        <v>54</v>
      </c>
      <c r="D58" s="56"/>
      <c r="E58" s="56"/>
      <c r="F58" s="3"/>
    </row>
    <row r="59" spans="1:12" ht="15.75" thickBot="1" x14ac:dyDescent="0.3">
      <c r="A59" s="75" t="s">
        <v>55</v>
      </c>
      <c r="B59" s="76">
        <f>G42</f>
        <v>2347.6972646467366</v>
      </c>
      <c r="C59" s="77" t="s">
        <v>31</v>
      </c>
      <c r="D59" s="56"/>
      <c r="E59" s="56"/>
      <c r="F59" s="3"/>
      <c r="I59" s="79"/>
      <c r="J59" s="79" t="s">
        <v>56</v>
      </c>
      <c r="K59" s="79"/>
      <c r="L59" s="79" t="s">
        <v>57</v>
      </c>
    </row>
    <row r="60" spans="1:12" x14ac:dyDescent="0.25">
      <c r="A60" s="60"/>
      <c r="B60" s="61"/>
      <c r="C60" s="56"/>
      <c r="D60" s="56"/>
      <c r="E60" s="56"/>
      <c r="F60" s="3"/>
      <c r="I60" s="78" t="s">
        <v>64</v>
      </c>
      <c r="J60" s="129">
        <v>74555.429999999993</v>
      </c>
      <c r="K60" s="78"/>
      <c r="L60" s="129">
        <v>10836.2</v>
      </c>
    </row>
    <row r="61" spans="1:12" x14ac:dyDescent="0.25">
      <c r="A61" s="60" t="s">
        <v>98</v>
      </c>
      <c r="B61" s="3">
        <f>C37+B41-B40</f>
        <v>-55830.187077454291</v>
      </c>
      <c r="C61" s="56" t="s">
        <v>31</v>
      </c>
      <c r="D61" s="56"/>
      <c r="E61" s="56"/>
      <c r="F61" s="3"/>
      <c r="I61" s="78" t="s">
        <v>66</v>
      </c>
      <c r="J61" s="129">
        <v>75223.199999999997</v>
      </c>
      <c r="K61" s="78"/>
      <c r="L61" s="129">
        <v>10226.61</v>
      </c>
    </row>
    <row r="62" spans="1:12" x14ac:dyDescent="0.25">
      <c r="A62" s="60" t="s">
        <v>99</v>
      </c>
      <c r="B62" s="2">
        <f>B63+B64+B65+B66+B67</f>
        <v>-36559.503812807663</v>
      </c>
      <c r="C62" s="56" t="s">
        <v>31</v>
      </c>
      <c r="D62" s="56"/>
      <c r="E62" s="56"/>
      <c r="F62" s="3"/>
      <c r="I62" s="78" t="s">
        <v>67</v>
      </c>
      <c r="J62" s="129">
        <v>61698.31</v>
      </c>
      <c r="K62" s="78"/>
      <c r="L62" s="129">
        <v>10028.629999999999</v>
      </c>
    </row>
    <row r="63" spans="1:12" x14ac:dyDescent="0.25">
      <c r="A63" s="80" t="s">
        <v>58</v>
      </c>
      <c r="B63" s="81">
        <f>C20-B42</f>
        <v>-19063.373812807578</v>
      </c>
      <c r="C63" s="56" t="s">
        <v>31</v>
      </c>
      <c r="D63" s="56"/>
      <c r="E63" s="56"/>
      <c r="F63" s="3"/>
      <c r="I63" s="78" t="s">
        <v>68</v>
      </c>
      <c r="J63" s="129">
        <v>47694.66</v>
      </c>
      <c r="K63" s="78"/>
      <c r="L63" s="129">
        <v>9543.14</v>
      </c>
    </row>
    <row r="64" spans="1:12" x14ac:dyDescent="0.25">
      <c r="A64" s="80" t="s">
        <v>59</v>
      </c>
      <c r="B64" s="81">
        <f>C22-B55</f>
        <v>-37850.400000000009</v>
      </c>
      <c r="C64" s="56" t="s">
        <v>31</v>
      </c>
      <c r="D64" s="56"/>
      <c r="E64" s="56"/>
      <c r="F64" s="3"/>
      <c r="I64" s="78" t="s">
        <v>69</v>
      </c>
      <c r="J64" s="129">
        <v>27220.7</v>
      </c>
      <c r="K64" s="78"/>
      <c r="L64" s="129">
        <v>8759.73</v>
      </c>
    </row>
    <row r="65" spans="1:12" x14ac:dyDescent="0.25">
      <c r="A65" s="80" t="s">
        <v>60</v>
      </c>
      <c r="B65" s="81">
        <f>C26-B56</f>
        <v>-2587.52</v>
      </c>
      <c r="C65" s="56" t="s">
        <v>31</v>
      </c>
      <c r="D65" s="56"/>
      <c r="E65" s="56"/>
      <c r="F65" s="3"/>
      <c r="I65" s="78" t="s">
        <v>70</v>
      </c>
      <c r="J65" s="129">
        <v>13362.27</v>
      </c>
      <c r="K65" s="78"/>
      <c r="L65" s="129">
        <v>8293.7000000000007</v>
      </c>
    </row>
    <row r="66" spans="1:12" x14ac:dyDescent="0.25">
      <c r="A66" s="80" t="s">
        <v>61</v>
      </c>
      <c r="B66" s="81">
        <f>C27-B57</f>
        <v>22941.789999999921</v>
      </c>
      <c r="C66" s="56" t="s">
        <v>31</v>
      </c>
      <c r="D66" s="56"/>
      <c r="E66" s="56"/>
      <c r="F66" s="3"/>
      <c r="I66" s="78" t="s">
        <v>71</v>
      </c>
      <c r="J66" s="129">
        <v>18756.84</v>
      </c>
      <c r="K66" s="78"/>
      <c r="L66" s="129">
        <v>9134.17</v>
      </c>
    </row>
    <row r="67" spans="1:12" x14ac:dyDescent="0.25">
      <c r="A67" s="80" t="s">
        <v>62</v>
      </c>
      <c r="B67" s="81">
        <f>C33-B58</f>
        <v>0</v>
      </c>
      <c r="C67" s="56"/>
      <c r="D67" s="56"/>
      <c r="E67" s="56"/>
      <c r="F67" s="3"/>
      <c r="I67" s="78" t="s">
        <v>72</v>
      </c>
      <c r="J67" s="129">
        <v>14842.9</v>
      </c>
      <c r="K67" s="78"/>
      <c r="L67" s="129">
        <v>6964.12</v>
      </c>
    </row>
    <row r="68" spans="1:12" x14ac:dyDescent="0.25">
      <c r="A68" s="60"/>
      <c r="B68" s="2"/>
      <c r="C68" s="56"/>
      <c r="I68" s="78" t="s">
        <v>73</v>
      </c>
      <c r="J68" s="129">
        <v>24539.49</v>
      </c>
      <c r="K68" s="78"/>
      <c r="L68" s="129">
        <v>7639.6</v>
      </c>
    </row>
    <row r="69" spans="1:12" ht="15.75" thickBot="1" x14ac:dyDescent="0.3">
      <c r="A69" s="60" t="s">
        <v>91</v>
      </c>
      <c r="D69" s="111"/>
      <c r="E69" s="112"/>
      <c r="F69" s="113"/>
      <c r="G69" s="109"/>
      <c r="I69" s="78" t="s">
        <v>74</v>
      </c>
      <c r="J69" s="129">
        <v>53211.43</v>
      </c>
      <c r="K69" s="78"/>
      <c r="L69" s="129">
        <v>7245.28</v>
      </c>
    </row>
    <row r="70" spans="1:12" ht="51.75" thickBot="1" x14ac:dyDescent="0.3">
      <c r="A70" s="82" t="s">
        <v>116</v>
      </c>
      <c r="B70" s="83" t="s">
        <v>63</v>
      </c>
      <c r="C70" s="84" t="s">
        <v>96</v>
      </c>
      <c r="D70" s="114"/>
      <c r="E70" s="114"/>
      <c r="F70" s="114"/>
      <c r="G70" s="109"/>
      <c r="I70" s="78" t="s">
        <v>75</v>
      </c>
      <c r="J70" s="129">
        <v>85626.73</v>
      </c>
      <c r="K70" s="78"/>
      <c r="L70" s="129">
        <v>0</v>
      </c>
    </row>
    <row r="71" spans="1:12" ht="15.75" thickBot="1" x14ac:dyDescent="0.3">
      <c r="A71" s="85" t="s">
        <v>65</v>
      </c>
      <c r="B71" s="134" t="s">
        <v>31</v>
      </c>
      <c r="C71" s="135" t="s">
        <v>31</v>
      </c>
      <c r="D71" s="115"/>
      <c r="E71" s="116"/>
      <c r="F71" s="117"/>
      <c r="G71" s="109"/>
      <c r="I71" s="86" t="s">
        <v>76</v>
      </c>
      <c r="J71" s="130">
        <v>126259.95</v>
      </c>
      <c r="K71" s="86"/>
      <c r="L71" s="130">
        <v>0</v>
      </c>
    </row>
    <row r="72" spans="1:12" x14ac:dyDescent="0.25">
      <c r="A72" s="53" t="s">
        <v>97</v>
      </c>
      <c r="B72" s="43">
        <f>5.36*1868.2*12</f>
        <v>120162.62400000001</v>
      </c>
      <c r="C72" s="124">
        <v>155000</v>
      </c>
      <c r="D72" s="115"/>
      <c r="E72" s="116"/>
      <c r="F72" s="117"/>
      <c r="G72" s="109"/>
      <c r="I72" s="87"/>
      <c r="J72" s="88"/>
      <c r="K72" s="88"/>
      <c r="L72" s="131"/>
    </row>
    <row r="73" spans="1:12" ht="15.75" thickBot="1" x14ac:dyDescent="0.3">
      <c r="A73" s="171" t="s">
        <v>174</v>
      </c>
      <c r="B73" s="172"/>
      <c r="C73" s="173">
        <v>3013</v>
      </c>
      <c r="D73" s="115"/>
      <c r="E73" s="116"/>
      <c r="F73" s="117"/>
      <c r="G73" s="109"/>
      <c r="I73" s="92" t="s">
        <v>77</v>
      </c>
      <c r="J73" s="93"/>
      <c r="K73" s="93"/>
      <c r="L73" s="132">
        <f>J60+J61+J62+J63+J64+J65+J66+J67+J68+J69+J70+J71+L60+L61+L62+L63+L64+L65+L66+L67+L68+L69+L70+L71+N29</f>
        <v>711663.09</v>
      </c>
    </row>
    <row r="74" spans="1:12" ht="15.75" thickBot="1" x14ac:dyDescent="0.3">
      <c r="A74" s="89" t="s">
        <v>5</v>
      </c>
      <c r="B74" s="90">
        <f>B72</f>
        <v>120162.62400000001</v>
      </c>
      <c r="C74" s="91">
        <f>C72+C73</f>
        <v>158013</v>
      </c>
      <c r="D74" s="118"/>
      <c r="E74" s="116"/>
      <c r="F74" s="117"/>
      <c r="G74" s="109"/>
    </row>
    <row r="75" spans="1:12" x14ac:dyDescent="0.25">
      <c r="A75" s="94"/>
      <c r="B75" s="95"/>
      <c r="C75" s="96"/>
      <c r="D75" s="118"/>
      <c r="E75" s="116"/>
      <c r="F75" s="117"/>
      <c r="G75" s="109"/>
    </row>
    <row r="76" spans="1:12" ht="15.75" thickBot="1" x14ac:dyDescent="0.3">
      <c r="A76" s="16"/>
      <c r="B76" s="17"/>
      <c r="C76" s="97"/>
      <c r="D76" s="118"/>
      <c r="E76" s="116"/>
      <c r="F76" s="117"/>
      <c r="G76" s="109"/>
      <c r="I76" s="1" t="s">
        <v>78</v>
      </c>
      <c r="J76" s="1"/>
      <c r="K76" s="1"/>
      <c r="L76" s="2">
        <f>C27-L73</f>
        <v>22941.789999999921</v>
      </c>
    </row>
    <row r="77" spans="1:12" x14ac:dyDescent="0.25">
      <c r="A77" s="31"/>
      <c r="B77" s="33"/>
      <c r="C77" s="98"/>
      <c r="D77" s="118"/>
      <c r="E77" s="116"/>
      <c r="F77" s="117"/>
      <c r="G77" s="109"/>
    </row>
    <row r="78" spans="1:12" x14ac:dyDescent="0.25">
      <c r="A78" s="60"/>
      <c r="B78" s="33"/>
      <c r="C78" s="98"/>
      <c r="D78" s="118"/>
      <c r="E78" s="116"/>
      <c r="F78" s="117"/>
      <c r="G78" s="109"/>
    </row>
    <row r="79" spans="1:12" x14ac:dyDescent="0.25">
      <c r="A79" s="60" t="s">
        <v>79</v>
      </c>
      <c r="B79" s="33"/>
      <c r="D79" s="118"/>
      <c r="E79" s="116"/>
      <c r="F79" s="117"/>
      <c r="G79" s="109"/>
    </row>
    <row r="80" spans="1:12" x14ac:dyDescent="0.25">
      <c r="A80" s="60" t="s">
        <v>34</v>
      </c>
      <c r="B80" s="20">
        <f>B42/C8/12</f>
        <v>11.8403567521682</v>
      </c>
      <c r="C80" s="101" t="s">
        <v>80</v>
      </c>
      <c r="D80" s="118"/>
      <c r="E80" s="116"/>
      <c r="F80" s="117"/>
      <c r="G80" s="109"/>
    </row>
    <row r="81" spans="1:7" x14ac:dyDescent="0.25">
      <c r="A81" s="60" t="s">
        <v>81</v>
      </c>
      <c r="B81" s="20">
        <f>B55/C8/12</f>
        <v>7.0483620597366441</v>
      </c>
      <c r="C81" s="101" t="s">
        <v>80</v>
      </c>
      <c r="D81" s="118"/>
      <c r="E81" s="116"/>
      <c r="F81" s="117"/>
      <c r="G81" s="109"/>
    </row>
    <row r="82" spans="1:7" x14ac:dyDescent="0.25">
      <c r="A82" s="60" t="s">
        <v>82</v>
      </c>
      <c r="B82" s="20">
        <f>B56/C8/12</f>
        <v>0.11541947685829497</v>
      </c>
      <c r="C82" s="101" t="s">
        <v>80</v>
      </c>
      <c r="D82" s="110"/>
      <c r="E82" s="114"/>
      <c r="F82" s="119"/>
      <c r="G82" s="109"/>
    </row>
    <row r="83" spans="1:7" hidden="1" x14ac:dyDescent="0.25">
      <c r="A83" s="60"/>
      <c r="B83" s="33"/>
      <c r="C83" s="98"/>
      <c r="D83" s="120"/>
      <c r="E83" s="121"/>
      <c r="F83" s="109"/>
      <c r="G83" s="109"/>
    </row>
    <row r="84" spans="1:7" ht="15.75" hidden="1" thickBot="1" x14ac:dyDescent="0.3">
      <c r="A84" s="60"/>
      <c r="B84" s="33"/>
      <c r="C84" s="101"/>
      <c r="D84" s="122"/>
      <c r="E84" s="123"/>
      <c r="F84" s="109"/>
      <c r="G84" s="109"/>
    </row>
    <row r="85" spans="1:7" x14ac:dyDescent="0.25">
      <c r="A85" s="19"/>
      <c r="B85" s="20"/>
      <c r="C85" s="101"/>
      <c r="E85" s="116"/>
      <c r="F85" s="109"/>
      <c r="G85" s="109"/>
    </row>
    <row r="86" spans="1:7" x14ac:dyDescent="0.25">
      <c r="A86" s="19"/>
      <c r="B86" s="20"/>
      <c r="C86" s="101"/>
      <c r="E86" s="116"/>
      <c r="F86" s="109"/>
      <c r="G86" s="109"/>
    </row>
    <row r="87" spans="1:7" x14ac:dyDescent="0.25">
      <c r="A87" s="19" t="s">
        <v>83</v>
      </c>
      <c r="B87" s="20"/>
      <c r="C87" s="98"/>
      <c r="D87" s="133" t="s">
        <v>95</v>
      </c>
      <c r="E87" s="116"/>
      <c r="F87" s="109"/>
      <c r="G87" s="109"/>
    </row>
    <row r="88" spans="1:7" x14ac:dyDescent="0.25">
      <c r="A88" s="31"/>
      <c r="B88" s="33"/>
      <c r="C88" s="105"/>
      <c r="D88" s="99"/>
      <c r="E88" s="100"/>
    </row>
    <row r="89" spans="1:7" x14ac:dyDescent="0.25">
      <c r="A89" s="103"/>
      <c r="B89" s="104"/>
      <c r="C89" s="105"/>
      <c r="D89" s="99"/>
      <c r="E89" s="100"/>
    </row>
    <row r="90" spans="1:7" x14ac:dyDescent="0.25">
      <c r="A90" s="103"/>
      <c r="B90" s="104"/>
      <c r="C90" s="105"/>
      <c r="D90" s="99"/>
      <c r="E90" s="100"/>
    </row>
    <row r="91" spans="1:7" x14ac:dyDescent="0.25">
      <c r="A91" s="103"/>
      <c r="B91" s="104"/>
      <c r="C91" s="105"/>
      <c r="D91" s="99"/>
      <c r="E91" s="100"/>
    </row>
    <row r="92" spans="1:7" x14ac:dyDescent="0.25">
      <c r="A92" s="103"/>
      <c r="B92" s="104"/>
      <c r="C92" s="98"/>
      <c r="D92" s="99"/>
      <c r="E92" s="100"/>
    </row>
    <row r="93" spans="1:7" x14ac:dyDescent="0.25">
      <c r="A93" s="31"/>
      <c r="B93" s="33"/>
      <c r="C93" s="98"/>
      <c r="D93" s="56"/>
      <c r="E93" s="56"/>
    </row>
    <row r="94" spans="1:7" x14ac:dyDescent="0.25">
      <c r="A94" s="31"/>
      <c r="B94" s="33"/>
      <c r="C94" s="56"/>
      <c r="D94" s="102"/>
      <c r="E94" s="56"/>
    </row>
    <row r="95" spans="1:7" x14ac:dyDescent="0.25">
      <c r="A95" s="19"/>
      <c r="B95" s="20"/>
      <c r="C95" s="56"/>
      <c r="D95" s="99"/>
      <c r="E95" s="100"/>
    </row>
    <row r="96" spans="1:7" x14ac:dyDescent="0.25">
      <c r="A96" s="19"/>
      <c r="B96" s="20"/>
      <c r="C96" s="56"/>
      <c r="D96" s="99"/>
      <c r="E96" s="100"/>
    </row>
    <row r="97" spans="1:6" x14ac:dyDescent="0.25">
      <c r="A97" s="19"/>
      <c r="B97" s="20"/>
      <c r="C97" s="100"/>
      <c r="D97" s="105"/>
      <c r="E97" s="100"/>
    </row>
    <row r="98" spans="1:6" x14ac:dyDescent="0.25">
      <c r="A98" s="31"/>
      <c r="B98" s="33"/>
      <c r="C98" s="100"/>
      <c r="D98" s="105"/>
      <c r="E98" s="100"/>
    </row>
    <row r="99" spans="1:6" x14ac:dyDescent="0.25">
      <c r="A99" s="31"/>
      <c r="B99" s="33"/>
      <c r="C99" s="100"/>
      <c r="D99" s="105"/>
      <c r="E99" s="100"/>
      <c r="F99" s="106"/>
    </row>
    <row r="100" spans="1:6" x14ac:dyDescent="0.25">
      <c r="A100" s="107"/>
      <c r="B100" s="108"/>
      <c r="C100" s="100"/>
      <c r="D100" s="105"/>
      <c r="E100" s="100"/>
    </row>
    <row r="101" spans="1:6" x14ac:dyDescent="0.25">
      <c r="A101" s="107"/>
      <c r="B101" s="108"/>
      <c r="C101" s="100"/>
      <c r="D101" s="98"/>
      <c r="E101" s="100"/>
    </row>
    <row r="102" spans="1:6" x14ac:dyDescent="0.25">
      <c r="A102" s="31"/>
      <c r="B102" s="33"/>
      <c r="C102" s="100"/>
      <c r="D102" s="98"/>
      <c r="E102" s="100"/>
    </row>
    <row r="103" spans="1:6" x14ac:dyDescent="0.25">
      <c r="A103" s="31"/>
      <c r="B103" s="33"/>
      <c r="C103" s="56"/>
      <c r="D103" s="56"/>
      <c r="E103" s="56"/>
      <c r="F103" s="3"/>
    </row>
    <row r="104" spans="1:6" x14ac:dyDescent="0.25">
      <c r="A104" s="19"/>
      <c r="B104" s="20"/>
      <c r="C104" s="100"/>
      <c r="D104" s="56"/>
      <c r="E104" s="100"/>
    </row>
    <row r="105" spans="1:6" x14ac:dyDescent="0.25">
      <c r="A105" s="31"/>
      <c r="B105" s="33"/>
      <c r="C105" s="100"/>
      <c r="D105" s="56"/>
      <c r="E105" s="56"/>
    </row>
    <row r="106" spans="1:6" x14ac:dyDescent="0.25">
      <c r="A106" s="31"/>
      <c r="B106" s="33"/>
      <c r="C106" s="33"/>
      <c r="D106" s="100"/>
      <c r="E106" s="100"/>
    </row>
    <row r="107" spans="1:6" hidden="1" x14ac:dyDescent="0.25">
      <c r="A107" s="31"/>
      <c r="B107" s="33"/>
      <c r="C107" s="33"/>
      <c r="D107" s="100"/>
      <c r="E107" s="100"/>
    </row>
    <row r="108" spans="1:6" hidden="1" x14ac:dyDescent="0.25">
      <c r="A108" s="31"/>
      <c r="B108" s="33"/>
      <c r="C108" s="33"/>
      <c r="D108" s="100"/>
      <c r="E108" s="100"/>
    </row>
    <row r="109" spans="1:6" hidden="1" x14ac:dyDescent="0.25">
      <c r="A109" s="31"/>
      <c r="B109" s="33"/>
      <c r="D109" s="100"/>
      <c r="E109" s="100"/>
    </row>
    <row r="110" spans="1:6" x14ac:dyDescent="0.25">
      <c r="D110" s="100"/>
      <c r="E110" s="100"/>
    </row>
    <row r="111" spans="1:6" x14ac:dyDescent="0.25">
      <c r="D111" s="100"/>
      <c r="E111" s="100"/>
    </row>
    <row r="112" spans="1:6" x14ac:dyDescent="0.25">
      <c r="D112" s="56"/>
      <c r="E112" s="56"/>
      <c r="F112" s="3"/>
    </row>
    <row r="113" spans="2:6" x14ac:dyDescent="0.25">
      <c r="D113" s="100"/>
      <c r="E113" s="100"/>
      <c r="F113" s="3"/>
    </row>
    <row r="114" spans="2:6" x14ac:dyDescent="0.25">
      <c r="B114"/>
      <c r="C114"/>
      <c r="D114" s="100"/>
      <c r="E114" s="100"/>
    </row>
    <row r="115" spans="2:6" x14ac:dyDescent="0.25">
      <c r="B115"/>
      <c r="C115"/>
      <c r="D115" s="33"/>
      <c r="E115" s="33"/>
    </row>
    <row r="116" spans="2:6" x14ac:dyDescent="0.25">
      <c r="B116"/>
      <c r="C116"/>
      <c r="D116" s="33"/>
      <c r="E116" s="33"/>
    </row>
    <row r="117" spans="2:6" x14ac:dyDescent="0.25">
      <c r="B117"/>
      <c r="C117"/>
      <c r="D117" s="33"/>
      <c r="E117" s="33"/>
    </row>
    <row r="118" spans="2:6" x14ac:dyDescent="0.25">
      <c r="B118"/>
      <c r="C118"/>
    </row>
  </sheetData>
  <pageMargins left="0.7" right="0.7" top="0.75" bottom="0.75" header="0.3" footer="0.3"/>
  <pageSetup paperSize="9" scale="36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3"/>
  <sheetViews>
    <sheetView workbookViewId="0">
      <selection activeCell="E8" sqref="E8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199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4"/>
      <c r="D4" s="128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33"/>
      <c r="E5"/>
      <c r="K5" s="125"/>
      <c r="L5" s="125"/>
      <c r="M5" s="125"/>
      <c r="N5" s="125"/>
    </row>
    <row r="6" spans="1:22" ht="15.75" thickBot="1" x14ac:dyDescent="0.3">
      <c r="A6" s="188" t="s">
        <v>200</v>
      </c>
      <c r="B6" s="190"/>
      <c r="C6" s="191"/>
      <c r="E6"/>
      <c r="K6" s="125"/>
      <c r="L6" s="125"/>
      <c r="M6" s="125"/>
      <c r="N6" s="125"/>
    </row>
    <row r="7" spans="1:22" x14ac:dyDescent="0.25">
      <c r="A7" s="10"/>
      <c r="B7" s="95"/>
      <c r="C7" s="189"/>
      <c r="E7"/>
      <c r="K7" s="125"/>
      <c r="L7" s="125"/>
      <c r="M7" s="125"/>
      <c r="N7" s="125"/>
    </row>
    <row r="8" spans="1:22" ht="15.75" thickBot="1" x14ac:dyDescent="0.3">
      <c r="A8" s="16" t="s">
        <v>5</v>
      </c>
      <c r="B8" s="17">
        <f>B6+B7</f>
        <v>0</v>
      </c>
      <c r="C8" s="18">
        <f>C6</f>
        <v>0</v>
      </c>
      <c r="E8"/>
      <c r="K8" s="125"/>
      <c r="L8" s="125"/>
      <c r="M8" s="125"/>
      <c r="N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f>0.84+1.89+3.37+0.33+1.17+0.37+0.33+4.51</f>
        <v>12.809999999999999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/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197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/>
      <c r="D20" s="40"/>
      <c r="E20" s="42">
        <f t="shared" ref="E20:E38" si="0">C20-D20+B20</f>
        <v>0</v>
      </c>
      <c r="F20" s="137">
        <f>C20+F22</f>
        <v>0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/>
      <c r="D22" s="43"/>
      <c r="E22" s="45">
        <f t="shared" si="0"/>
        <v>0</v>
      </c>
      <c r="F22" s="137">
        <f>C22</f>
        <v>0</v>
      </c>
      <c r="G22" s="139" t="e">
        <f>F22*G20/F20</f>
        <v>#DIV/0!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0</v>
      </c>
      <c r="D28" s="50">
        <f>D29+D30+D31+D33+D32</f>
        <v>0</v>
      </c>
      <c r="E28" s="51">
        <f>C28-D28+B28</f>
        <v>0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/>
      <c r="D29" s="40"/>
      <c r="E29" s="42">
        <f t="shared" si="0"/>
        <v>0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/>
      <c r="D30" s="43"/>
      <c r="E30" s="45">
        <f t="shared" si="0"/>
        <v>0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/>
      <c r="D31" s="43"/>
      <c r="E31" s="45">
        <f t="shared" si="0"/>
        <v>0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/>
      <c r="D33" s="43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0</v>
      </c>
      <c r="D39" s="58">
        <f>D20+D21+D22+D23+D24+D25+D26+D28+D35+D36+D37+D38+D27</f>
        <v>0</v>
      </c>
      <c r="E39" s="58">
        <f>E20+E21+E22+E23+E24+E25+E26+E28+E35+E36+E37+E38+E27</f>
        <v>0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B44+B60+B61+B58+B63+B59+B62</f>
        <v>0</v>
      </c>
      <c r="C42" s="64" t="s">
        <v>31</v>
      </c>
      <c r="D42" s="114">
        <f>C39-B42-B63</f>
        <v>0</v>
      </c>
      <c r="E42" s="110" t="s">
        <v>32</v>
      </c>
      <c r="F42" s="158">
        <v>5228898.0599999996</v>
      </c>
      <c r="G42" s="158">
        <f>F42/F48*B8</f>
        <v>0</v>
      </c>
      <c r="H42" s="109"/>
      <c r="I42" s="109"/>
      <c r="J42" s="168"/>
    </row>
    <row r="43" spans="1:22" x14ac:dyDescent="0.25">
      <c r="A43" s="65" t="s">
        <v>92</v>
      </c>
      <c r="B43" s="66"/>
      <c r="C43" s="70" t="s">
        <v>31</v>
      </c>
      <c r="D43" s="114"/>
      <c r="E43" s="110" t="s">
        <v>33</v>
      </c>
      <c r="F43" s="158">
        <v>1017312.51</v>
      </c>
      <c r="G43" s="158">
        <f>F43/F48*B8</f>
        <v>0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B45+B46+B48+B49+B50+B51+B52+B53+B54+B55+B56+B47+B57</f>
        <v>0</v>
      </c>
      <c r="C44" s="70" t="s">
        <v>31</v>
      </c>
      <c r="D44" s="114"/>
      <c r="E44" s="110" t="s">
        <v>35</v>
      </c>
      <c r="F44" s="158">
        <v>174824</v>
      </c>
      <c r="G44" s="158">
        <f>F44/F48*B8</f>
        <v>0</v>
      </c>
      <c r="H44" s="109"/>
      <c r="I44" s="109"/>
      <c r="J44" s="168"/>
    </row>
    <row r="45" spans="1:22" x14ac:dyDescent="0.25">
      <c r="A45" s="71" t="s">
        <v>112</v>
      </c>
      <c r="B45" s="72"/>
      <c r="C45" s="73" t="s">
        <v>31</v>
      </c>
      <c r="D45" s="114"/>
      <c r="E45" s="110" t="s">
        <v>18</v>
      </c>
      <c r="F45" s="158">
        <v>206457.71</v>
      </c>
      <c r="G45" s="158">
        <f>F45/F48*B8</f>
        <v>0</v>
      </c>
      <c r="H45" s="109"/>
      <c r="I45" s="109"/>
      <c r="J45" s="168"/>
    </row>
    <row r="46" spans="1:22" x14ac:dyDescent="0.25">
      <c r="A46" s="74" t="s">
        <v>37</v>
      </c>
      <c r="B46" s="72">
        <f>(G42+G43)/12*1</f>
        <v>0</v>
      </c>
      <c r="C46" s="73" t="s">
        <v>31</v>
      </c>
      <c r="D46" s="114"/>
      <c r="E46" s="159" t="s">
        <v>38</v>
      </c>
      <c r="F46" s="158">
        <f>7706.9+43200</f>
        <v>50906.9</v>
      </c>
      <c r="G46" s="158">
        <f>F46/F48*B8</f>
        <v>0</v>
      </c>
      <c r="H46" s="109"/>
      <c r="I46" s="109"/>
      <c r="J46" s="168"/>
    </row>
    <row r="47" spans="1:22" x14ac:dyDescent="0.25">
      <c r="A47" s="74" t="s">
        <v>39</v>
      </c>
      <c r="B47" s="72"/>
      <c r="C47" s="73" t="s">
        <v>31</v>
      </c>
      <c r="D47" s="114"/>
      <c r="E47" s="158" t="s">
        <v>12</v>
      </c>
      <c r="F47" s="158">
        <f>7038875.3-F46</f>
        <v>6987968.3999999994</v>
      </c>
      <c r="G47" s="158">
        <f>F47/F48*B8</f>
        <v>0</v>
      </c>
      <c r="H47" s="109"/>
      <c r="I47" s="109"/>
      <c r="J47" s="168"/>
    </row>
    <row r="48" spans="1:22" x14ac:dyDescent="0.25">
      <c r="A48" s="71" t="s">
        <v>40</v>
      </c>
      <c r="B48" s="72">
        <f>G46/12*1</f>
        <v>0</v>
      </c>
      <c r="C48" s="73" t="s">
        <v>31</v>
      </c>
      <c r="D48" s="114"/>
      <c r="E48" s="160" t="s">
        <v>41</v>
      </c>
      <c r="F48" s="161">
        <v>111781.73</v>
      </c>
      <c r="G48" s="158"/>
      <c r="H48" s="109"/>
      <c r="I48" s="109"/>
      <c r="J48" s="168"/>
    </row>
    <row r="49" spans="1:12" x14ac:dyDescent="0.25">
      <c r="A49" s="71" t="s">
        <v>42</v>
      </c>
      <c r="B49" s="72">
        <f>G45/12*1</f>
        <v>0</v>
      </c>
      <c r="C49" s="73" t="s">
        <v>31</v>
      </c>
      <c r="D49" s="114"/>
      <c r="E49" s="161"/>
      <c r="F49" s="158">
        <f>F46*0.6559</f>
        <v>33389.835709999999</v>
      </c>
      <c r="G49" s="158"/>
      <c r="H49" s="109"/>
      <c r="I49" s="109"/>
      <c r="J49" s="168"/>
    </row>
    <row r="50" spans="1:12" x14ac:dyDescent="0.25">
      <c r="A50" s="71" t="s">
        <v>43</v>
      </c>
      <c r="B50" s="72">
        <f>G47/12*1</f>
        <v>0</v>
      </c>
      <c r="C50" s="73" t="s">
        <v>31</v>
      </c>
      <c r="D50" s="114"/>
      <c r="E50" s="117" t="s">
        <v>102</v>
      </c>
      <c r="F50" s="117">
        <f>2946.5</f>
        <v>2946.5</v>
      </c>
      <c r="G50" s="117">
        <f>F50/F48*B8</f>
        <v>0</v>
      </c>
      <c r="H50" s="109"/>
      <c r="I50" s="109"/>
      <c r="J50" s="168"/>
    </row>
    <row r="51" spans="1:12" x14ac:dyDescent="0.25">
      <c r="A51" s="71" t="s">
        <v>44</v>
      </c>
      <c r="B51" s="72">
        <f>F54/12*1</f>
        <v>0</v>
      </c>
      <c r="C51" s="73" t="s">
        <v>31</v>
      </c>
      <c r="D51" s="114"/>
      <c r="E51" s="114"/>
      <c r="F51" s="162"/>
      <c r="G51" s="163"/>
      <c r="H51" s="109"/>
      <c r="I51" s="109"/>
      <c r="J51" s="168"/>
    </row>
    <row r="52" spans="1:12" x14ac:dyDescent="0.25">
      <c r="A52" s="71" t="s">
        <v>45</v>
      </c>
      <c r="B52" s="72">
        <f>G50/12*1</f>
        <v>0</v>
      </c>
      <c r="C52" s="73" t="s">
        <v>31</v>
      </c>
      <c r="D52" s="114"/>
      <c r="E52" s="114" t="s">
        <v>100</v>
      </c>
      <c r="F52" s="162">
        <v>20905.240000000002</v>
      </c>
      <c r="G52" s="163"/>
      <c r="H52" s="109"/>
      <c r="I52" s="109"/>
      <c r="J52" s="168"/>
    </row>
    <row r="53" spans="1:12" x14ac:dyDescent="0.25">
      <c r="A53" s="71" t="s">
        <v>46</v>
      </c>
      <c r="B53" s="72"/>
      <c r="C53" s="73" t="s">
        <v>31</v>
      </c>
      <c r="D53" s="114"/>
      <c r="E53" s="114" t="s">
        <v>93</v>
      </c>
      <c r="F53" s="162">
        <v>30234.54</v>
      </c>
      <c r="G53" s="163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14"/>
      <c r="E54" s="114" t="s">
        <v>201</v>
      </c>
      <c r="F54" s="162">
        <f>F52/F53*B8</f>
        <v>0</v>
      </c>
      <c r="G54" s="163"/>
      <c r="H54" s="109"/>
      <c r="I54" s="109"/>
      <c r="J54" s="168"/>
    </row>
    <row r="55" spans="1:12" x14ac:dyDescent="0.25">
      <c r="A55" s="71" t="s">
        <v>48</v>
      </c>
      <c r="B55" s="72"/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0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71" t="s">
        <v>165</v>
      </c>
      <c r="B57" s="72"/>
      <c r="C57" s="73" t="s">
        <v>31</v>
      </c>
      <c r="D57" s="140"/>
      <c r="E57" s="140"/>
      <c r="F57" s="169"/>
      <c r="G57" s="136"/>
      <c r="H57" s="168"/>
      <c r="I57" s="168"/>
      <c r="J57" s="168"/>
    </row>
    <row r="58" spans="1:12" x14ac:dyDescent="0.25">
      <c r="A58" s="68" t="s">
        <v>50</v>
      </c>
      <c r="B58" s="69">
        <f>C81</f>
        <v>0</v>
      </c>
      <c r="C58" s="70" t="s">
        <v>31</v>
      </c>
      <c r="D58" s="149"/>
      <c r="E58" s="149"/>
      <c r="F58" s="150"/>
      <c r="G58" s="151"/>
      <c r="H58" s="151"/>
      <c r="I58" s="109"/>
      <c r="J58" s="109"/>
    </row>
    <row r="59" spans="1:12" x14ac:dyDescent="0.25">
      <c r="A59" s="68" t="s">
        <v>51</v>
      </c>
      <c r="B59" s="69"/>
      <c r="C59" s="70" t="s">
        <v>31</v>
      </c>
      <c r="D59" s="149"/>
      <c r="E59" s="149"/>
      <c r="F59" s="150"/>
      <c r="G59" s="151"/>
      <c r="H59" s="151"/>
      <c r="I59" s="79"/>
      <c r="J59" s="79" t="s">
        <v>56</v>
      </c>
      <c r="K59" s="79"/>
      <c r="L59" s="79" t="s">
        <v>57</v>
      </c>
    </row>
    <row r="60" spans="1:12" x14ac:dyDescent="0.25">
      <c r="A60" s="68" t="s">
        <v>52</v>
      </c>
      <c r="B60" s="69">
        <f>L73</f>
        <v>0</v>
      </c>
      <c r="C60" s="70" t="s">
        <v>31</v>
      </c>
      <c r="D60" s="56"/>
      <c r="E60" s="56"/>
      <c r="F60" s="3"/>
      <c r="I60" s="78" t="s">
        <v>64</v>
      </c>
      <c r="J60" s="129"/>
      <c r="K60" s="78"/>
      <c r="L60" s="129"/>
    </row>
    <row r="61" spans="1:12" x14ac:dyDescent="0.25">
      <c r="A61" s="68" t="s">
        <v>53</v>
      </c>
      <c r="B61" s="69"/>
      <c r="C61" s="70" t="s">
        <v>54</v>
      </c>
      <c r="D61" s="56"/>
      <c r="E61" s="56"/>
      <c r="F61" s="3"/>
      <c r="I61" s="78" t="s">
        <v>66</v>
      </c>
      <c r="J61" s="129"/>
      <c r="K61" s="78"/>
      <c r="L61" s="129"/>
    </row>
    <row r="62" spans="1:12" x14ac:dyDescent="0.25">
      <c r="A62" s="164" t="s">
        <v>113</v>
      </c>
      <c r="B62" s="165">
        <f>C37/1.02</f>
        <v>0</v>
      </c>
      <c r="C62" s="166"/>
      <c r="D62" s="56"/>
      <c r="E62" s="56"/>
      <c r="F62" s="3"/>
      <c r="I62" s="78" t="s">
        <v>67</v>
      </c>
      <c r="J62" s="129"/>
      <c r="K62" s="78"/>
      <c r="L62" s="129"/>
    </row>
    <row r="63" spans="1:12" ht="15.75" thickBot="1" x14ac:dyDescent="0.3">
      <c r="A63" s="75" t="s">
        <v>114</v>
      </c>
      <c r="B63" s="76">
        <f>G44/12*5.5</f>
        <v>0</v>
      </c>
      <c r="C63" s="77" t="s">
        <v>31</v>
      </c>
      <c r="D63" s="56"/>
      <c r="E63" s="56"/>
      <c r="F63" s="3"/>
      <c r="I63" s="78" t="s">
        <v>68</v>
      </c>
      <c r="J63" s="129"/>
      <c r="K63" s="78"/>
      <c r="L63" s="129"/>
    </row>
    <row r="64" spans="1:12" x14ac:dyDescent="0.25">
      <c r="A64" s="60"/>
      <c r="B64" s="61"/>
      <c r="C64" s="56"/>
      <c r="D64" s="56"/>
      <c r="E64" s="56"/>
      <c r="F64" s="3"/>
      <c r="I64" s="78" t="s">
        <v>69</v>
      </c>
      <c r="J64" s="129"/>
      <c r="K64" s="78"/>
      <c r="L64" s="129"/>
    </row>
    <row r="65" spans="1:12" x14ac:dyDescent="0.25">
      <c r="A65" s="60" t="s">
        <v>98</v>
      </c>
      <c r="B65" s="174">
        <f>C39-C24+B43-B42</f>
        <v>0</v>
      </c>
      <c r="C65" s="56" t="s">
        <v>31</v>
      </c>
      <c r="D65" s="56"/>
      <c r="E65" s="56"/>
      <c r="F65" s="3"/>
      <c r="I65" s="78" t="s">
        <v>70</v>
      </c>
      <c r="J65" s="129"/>
      <c r="K65" s="78"/>
      <c r="L65" s="129"/>
    </row>
    <row r="66" spans="1:12" x14ac:dyDescent="0.25">
      <c r="A66" s="60" t="s">
        <v>99</v>
      </c>
      <c r="B66" s="2">
        <f>B67+B68+B69+B70+B71+B72</f>
        <v>0</v>
      </c>
      <c r="C66" s="56" t="s">
        <v>31</v>
      </c>
      <c r="D66" s="56"/>
      <c r="E66" s="56"/>
      <c r="F66" s="3"/>
      <c r="I66" s="78" t="s">
        <v>71</v>
      </c>
      <c r="J66" s="129"/>
      <c r="K66" s="78"/>
      <c r="L66" s="129"/>
    </row>
    <row r="67" spans="1:12" x14ac:dyDescent="0.25">
      <c r="A67" s="80" t="s">
        <v>58</v>
      </c>
      <c r="B67" s="81">
        <f>C20-B44-B63</f>
        <v>0</v>
      </c>
      <c r="C67" s="56" t="s">
        <v>31</v>
      </c>
      <c r="D67" s="56"/>
      <c r="E67" s="56"/>
      <c r="F67" s="3"/>
      <c r="I67" s="78" t="s">
        <v>72</v>
      </c>
      <c r="J67" s="129"/>
      <c r="K67" s="78"/>
      <c r="L67" s="129"/>
    </row>
    <row r="68" spans="1:12" x14ac:dyDescent="0.25">
      <c r="A68" s="80" t="s">
        <v>59</v>
      </c>
      <c r="B68" s="81">
        <f>C22-B58</f>
        <v>0</v>
      </c>
      <c r="C68" s="56" t="s">
        <v>31</v>
      </c>
      <c r="D68" s="56"/>
      <c r="E68" s="56"/>
      <c r="F68" s="3"/>
      <c r="I68" s="78" t="s">
        <v>73</v>
      </c>
      <c r="J68" s="129"/>
      <c r="K68" s="78"/>
      <c r="L68" s="129"/>
    </row>
    <row r="69" spans="1:12" x14ac:dyDescent="0.25">
      <c r="A69" s="80" t="s">
        <v>60</v>
      </c>
      <c r="B69" s="81">
        <f>C26-B59</f>
        <v>0</v>
      </c>
      <c r="C69" s="56" t="s">
        <v>31</v>
      </c>
      <c r="D69" s="56"/>
      <c r="E69" s="56"/>
      <c r="F69" s="3"/>
      <c r="I69" s="78" t="s">
        <v>74</v>
      </c>
      <c r="J69" s="129"/>
      <c r="K69" s="78"/>
      <c r="L69" s="129"/>
    </row>
    <row r="70" spans="1:12" x14ac:dyDescent="0.25">
      <c r="A70" s="80" t="s">
        <v>61</v>
      </c>
      <c r="B70" s="81">
        <f>C28-B60</f>
        <v>0</v>
      </c>
      <c r="C70" s="56" t="s">
        <v>31</v>
      </c>
      <c r="D70" s="56"/>
      <c r="E70" s="56"/>
      <c r="F70" s="3"/>
      <c r="I70" s="78" t="s">
        <v>75</v>
      </c>
      <c r="J70" s="129"/>
      <c r="K70" s="78"/>
      <c r="L70" s="129"/>
    </row>
    <row r="71" spans="1:12" ht="15.75" thickBot="1" x14ac:dyDescent="0.3">
      <c r="A71" s="80" t="s">
        <v>62</v>
      </c>
      <c r="B71" s="81">
        <f>C35-B61</f>
        <v>0</v>
      </c>
      <c r="C71" s="56" t="s">
        <v>31</v>
      </c>
      <c r="D71" s="56"/>
      <c r="E71" s="56"/>
      <c r="F71" s="3"/>
      <c r="I71" s="86" t="s">
        <v>76</v>
      </c>
      <c r="J71" s="130"/>
      <c r="K71" s="86"/>
      <c r="L71" s="130"/>
    </row>
    <row r="72" spans="1:12" x14ac:dyDescent="0.25">
      <c r="A72" s="80" t="s">
        <v>115</v>
      </c>
      <c r="B72" s="81">
        <f>C37-B62</f>
        <v>0</v>
      </c>
      <c r="C72" s="56" t="s">
        <v>31</v>
      </c>
      <c r="I72" s="87"/>
      <c r="J72" s="88"/>
      <c r="K72" s="88"/>
      <c r="L72" s="131"/>
    </row>
    <row r="73" spans="1:12" ht="15.75" thickBot="1" x14ac:dyDescent="0.3">
      <c r="A73" s="80"/>
      <c r="B73" s="81"/>
      <c r="C73" s="56"/>
      <c r="D73" s="111"/>
      <c r="E73" s="112"/>
      <c r="F73" s="113"/>
      <c r="G73" s="109"/>
      <c r="I73" s="92" t="s">
        <v>77</v>
      </c>
      <c r="J73" s="93"/>
      <c r="K73" s="93"/>
      <c r="L73" s="132">
        <f>J60+J61+J62+J63+J64+J65+J66+J67+J68+J69+J70+J71+L60+L61+L62+L63+L64+L65+L66+L67+L68+L69+L70+L71+N30</f>
        <v>0</v>
      </c>
    </row>
    <row r="74" spans="1:12" ht="15.75" thickBot="1" x14ac:dyDescent="0.3">
      <c r="A74" s="155" t="s">
        <v>121</v>
      </c>
      <c r="B74" s="156"/>
      <c r="C74" s="157"/>
      <c r="D74" s="114"/>
      <c r="E74" s="114"/>
      <c r="F74" s="114"/>
      <c r="G74" s="109"/>
    </row>
    <row r="75" spans="1:12" ht="51.75" thickBot="1" x14ac:dyDescent="0.3">
      <c r="A75" s="82" t="s">
        <v>116</v>
      </c>
      <c r="B75" s="83" t="s">
        <v>63</v>
      </c>
      <c r="C75" s="84" t="s">
        <v>96</v>
      </c>
      <c r="D75" s="115"/>
      <c r="E75" s="116"/>
      <c r="F75" s="117"/>
      <c r="G75" s="109"/>
      <c r="I75" s="1" t="s">
        <v>78</v>
      </c>
      <c r="J75" s="1"/>
      <c r="K75" s="1"/>
      <c r="L75" s="2">
        <f>C28-L73</f>
        <v>0</v>
      </c>
    </row>
    <row r="76" spans="1:12" x14ac:dyDescent="0.25">
      <c r="A76" s="85" t="s">
        <v>65</v>
      </c>
      <c r="B76" s="134" t="s">
        <v>31</v>
      </c>
      <c r="C76" s="135" t="s">
        <v>31</v>
      </c>
      <c r="D76" s="115"/>
      <c r="E76" s="116"/>
      <c r="F76" s="117"/>
      <c r="G76" s="109"/>
    </row>
    <row r="77" spans="1:12" x14ac:dyDescent="0.25">
      <c r="A77" s="179"/>
      <c r="B77" s="43"/>
      <c r="C77" s="124"/>
      <c r="D77" s="115"/>
      <c r="E77" s="116"/>
      <c r="F77" s="117"/>
      <c r="G77" s="109"/>
    </row>
    <row r="78" spans="1:12" x14ac:dyDescent="0.25">
      <c r="A78" s="192"/>
      <c r="B78" s="43"/>
      <c r="C78" s="124"/>
      <c r="D78" s="115"/>
      <c r="E78" s="116"/>
      <c r="F78" s="117"/>
      <c r="G78" s="109"/>
    </row>
    <row r="79" spans="1:12" x14ac:dyDescent="0.25">
      <c r="A79" s="192"/>
      <c r="B79" s="43"/>
      <c r="C79" s="124"/>
      <c r="D79" s="115"/>
      <c r="E79" s="116"/>
      <c r="F79" s="117"/>
      <c r="G79" s="109"/>
    </row>
    <row r="80" spans="1:12" x14ac:dyDescent="0.25">
      <c r="A80" s="53"/>
      <c r="B80" s="43"/>
      <c r="C80" s="124"/>
      <c r="D80" s="115"/>
      <c r="E80" s="116"/>
      <c r="F80" s="117"/>
      <c r="G80" s="109"/>
    </row>
    <row r="81" spans="1:7" ht="15.75" thickBot="1" x14ac:dyDescent="0.3">
      <c r="A81" s="176" t="s">
        <v>5</v>
      </c>
      <c r="B81" s="177">
        <f>B77</f>
        <v>0</v>
      </c>
      <c r="C81" s="178">
        <f>C77+C78+C79+C80</f>
        <v>0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 t="s">
        <v>79</v>
      </c>
      <c r="B84" s="33"/>
      <c r="D84" s="118"/>
      <c r="E84" s="116"/>
      <c r="F84" s="117"/>
      <c r="G84" s="109"/>
    </row>
    <row r="85" spans="1:7" x14ac:dyDescent="0.25">
      <c r="A85" s="60" t="s">
        <v>34</v>
      </c>
      <c r="B85" s="20" t="e">
        <f>B44/B8/12</f>
        <v>#DIV/0!</v>
      </c>
      <c r="C85" s="101" t="s">
        <v>80</v>
      </c>
      <c r="D85" s="118"/>
      <c r="E85" s="116"/>
      <c r="F85" s="117"/>
      <c r="G85" s="109"/>
    </row>
    <row r="86" spans="1:7" x14ac:dyDescent="0.25">
      <c r="A86" s="60" t="s">
        <v>81</v>
      </c>
      <c r="B86" s="20" t="e">
        <f>B58/B8/12</f>
        <v>#DIV/0!</v>
      </c>
      <c r="C86" s="101" t="s">
        <v>80</v>
      </c>
      <c r="D86" s="118"/>
      <c r="E86" s="116"/>
      <c r="F86" s="117"/>
      <c r="G86" s="109"/>
    </row>
    <row r="87" spans="1:7" x14ac:dyDescent="0.25">
      <c r="A87" s="60" t="s">
        <v>82</v>
      </c>
      <c r="B87" s="20" t="e">
        <f>B59/B8/12</f>
        <v>#DIV/0!</v>
      </c>
      <c r="C87" s="101" t="s">
        <v>80</v>
      </c>
      <c r="D87" s="118"/>
      <c r="E87" s="116"/>
      <c r="F87" s="117"/>
      <c r="G87" s="109"/>
    </row>
    <row r="88" spans="1:7" x14ac:dyDescent="0.25">
      <c r="A88" s="60"/>
      <c r="B88" s="33"/>
      <c r="C88" s="98"/>
      <c r="D88" s="118"/>
      <c r="E88" s="116"/>
      <c r="F88" s="117"/>
      <c r="G88" s="109"/>
    </row>
    <row r="89" spans="1:7" x14ac:dyDescent="0.25">
      <c r="A89" s="185"/>
      <c r="B89" s="180"/>
      <c r="C89" s="184"/>
      <c r="D89" s="182"/>
      <c r="E89" s="183"/>
      <c r="F89" s="119"/>
      <c r="G89" s="109"/>
    </row>
    <row r="90" spans="1:7" x14ac:dyDescent="0.25">
      <c r="A90" s="185"/>
      <c r="B90" s="186"/>
      <c r="C90" s="184"/>
      <c r="D90" s="182"/>
      <c r="E90" s="183"/>
      <c r="F90" s="109"/>
      <c r="G90" s="109"/>
    </row>
    <row r="91" spans="1:7" x14ac:dyDescent="0.25">
      <c r="A91" s="185"/>
      <c r="B91" s="186"/>
      <c r="C91" s="184"/>
      <c r="D91" s="181"/>
      <c r="E91" s="183"/>
      <c r="F91" s="109"/>
      <c r="G91" s="109"/>
    </row>
    <row r="92" spans="1:7" x14ac:dyDescent="0.25">
      <c r="A92" s="31"/>
      <c r="B92" s="33"/>
      <c r="C92" s="105"/>
      <c r="E92" s="116"/>
      <c r="F92" s="109"/>
      <c r="G92" s="109"/>
    </row>
    <row r="93" spans="1:7" x14ac:dyDescent="0.25">
      <c r="A93" s="103"/>
      <c r="B93" s="104"/>
      <c r="C93" s="105"/>
      <c r="D93" s="118"/>
      <c r="E93" s="116"/>
      <c r="F93" s="109"/>
      <c r="G93" s="109"/>
    </row>
    <row r="94" spans="1:7" x14ac:dyDescent="0.25">
      <c r="A94" s="19" t="s">
        <v>83</v>
      </c>
      <c r="B94" s="104"/>
      <c r="C94" s="105"/>
      <c r="D94" s="133" t="s">
        <v>95</v>
      </c>
      <c r="E94" s="100"/>
    </row>
    <row r="95" spans="1:7" x14ac:dyDescent="0.25">
      <c r="A95" s="103"/>
      <c r="B95" s="104"/>
      <c r="C95" s="105"/>
      <c r="D95" s="99"/>
      <c r="E95" s="100"/>
    </row>
    <row r="96" spans="1:7" x14ac:dyDescent="0.25">
      <c r="A96" s="103"/>
      <c r="B96" s="104"/>
      <c r="C96" s="98"/>
      <c r="D96" s="99"/>
      <c r="E96" s="100"/>
    </row>
    <row r="97" spans="1:6" x14ac:dyDescent="0.25">
      <c r="A97" s="31"/>
      <c r="B97" s="33"/>
      <c r="C97" s="98"/>
      <c r="D97" s="99"/>
      <c r="E97" s="100"/>
    </row>
    <row r="98" spans="1:6" x14ac:dyDescent="0.25">
      <c r="A98" s="31"/>
      <c r="B98" s="33"/>
      <c r="C98" s="56"/>
      <c r="D98" s="99"/>
      <c r="E98" s="100"/>
    </row>
    <row r="99" spans="1:6" x14ac:dyDescent="0.25">
      <c r="A99" s="19"/>
      <c r="B99" s="20"/>
      <c r="C99" s="56"/>
      <c r="D99" s="56"/>
      <c r="E99" s="56"/>
    </row>
    <row r="100" spans="1:6" x14ac:dyDescent="0.25">
      <c r="A100" s="19"/>
      <c r="B100" s="20"/>
      <c r="C100" s="56"/>
      <c r="D100" s="102"/>
      <c r="E100" s="56"/>
    </row>
    <row r="101" spans="1:6" x14ac:dyDescent="0.25">
      <c r="A101" s="19"/>
      <c r="B101" s="20"/>
      <c r="C101" s="100"/>
      <c r="D101" s="99"/>
      <c r="E101" s="100"/>
    </row>
    <row r="102" spans="1:6" x14ac:dyDescent="0.25">
      <c r="A102" s="31"/>
      <c r="B102" s="33"/>
      <c r="C102" s="100"/>
      <c r="D102" s="99"/>
      <c r="E102" s="100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</row>
    <row r="105" spans="1:6" x14ac:dyDescent="0.25">
      <c r="A105" s="107"/>
      <c r="B105" s="108"/>
      <c r="C105" s="100"/>
      <c r="D105" s="105"/>
      <c r="E105" s="100"/>
      <c r="F105" s="106"/>
    </row>
    <row r="106" spans="1:6" x14ac:dyDescent="0.25">
      <c r="A106" s="31"/>
      <c r="B106" s="33"/>
      <c r="C106" s="100"/>
      <c r="D106" s="105"/>
      <c r="E106" s="100"/>
    </row>
    <row r="107" spans="1:6" x14ac:dyDescent="0.25">
      <c r="A107" s="31"/>
      <c r="B107" s="33"/>
      <c r="C107" s="56"/>
      <c r="D107" s="98"/>
      <c r="E107" s="100"/>
    </row>
    <row r="108" spans="1:6" x14ac:dyDescent="0.25">
      <c r="A108" s="19"/>
      <c r="B108" s="20"/>
      <c r="C108" s="100"/>
      <c r="D108" s="98"/>
      <c r="E108" s="100"/>
    </row>
    <row r="109" spans="1:6" x14ac:dyDescent="0.25">
      <c r="A109" s="31"/>
      <c r="B109" s="33"/>
      <c r="C109" s="100"/>
      <c r="D109" s="56"/>
      <c r="E109" s="56"/>
      <c r="F109" s="3"/>
    </row>
    <row r="110" spans="1:6" x14ac:dyDescent="0.25">
      <c r="A110" s="31"/>
      <c r="B110" s="33"/>
      <c r="C110" s="33"/>
      <c r="D110" s="56"/>
      <c r="E110" s="100"/>
    </row>
    <row r="111" spans="1:6" x14ac:dyDescent="0.25">
      <c r="A111" s="31"/>
      <c r="B111" s="33"/>
      <c r="C111" s="33"/>
      <c r="D111" s="56"/>
      <c r="E111" s="56"/>
    </row>
    <row r="112" spans="1:6" x14ac:dyDescent="0.25">
      <c r="A112" s="31"/>
      <c r="B112" s="33"/>
      <c r="C112" s="33"/>
      <c r="D112" s="100"/>
      <c r="E112" s="100"/>
    </row>
    <row r="113" spans="1:6" x14ac:dyDescent="0.25">
      <c r="A113" s="31"/>
      <c r="B113" s="33"/>
      <c r="D113" s="100"/>
      <c r="E113" s="100"/>
    </row>
    <row r="114" spans="1:6" x14ac:dyDescent="0.25">
      <c r="D114" s="100"/>
      <c r="E114" s="100"/>
    </row>
    <row r="115" spans="1:6" x14ac:dyDescent="0.25">
      <c r="D115" s="100"/>
      <c r="E115" s="100"/>
    </row>
    <row r="116" spans="1:6" x14ac:dyDescent="0.25">
      <c r="D116" s="100"/>
      <c r="E116" s="100"/>
    </row>
    <row r="117" spans="1:6" x14ac:dyDescent="0.25">
      <c r="D117" s="100"/>
      <c r="E117" s="100"/>
    </row>
    <row r="118" spans="1:6" x14ac:dyDescent="0.25">
      <c r="B118"/>
      <c r="C118"/>
      <c r="D118" s="56"/>
      <c r="E118" s="56"/>
      <c r="F118" s="3"/>
    </row>
    <row r="119" spans="1:6" x14ac:dyDescent="0.25">
      <c r="B119"/>
      <c r="C119"/>
      <c r="D119" s="100"/>
      <c r="E119" s="100"/>
      <c r="F119" s="3"/>
    </row>
    <row r="120" spans="1:6" x14ac:dyDescent="0.25">
      <c r="B120"/>
      <c r="C120"/>
      <c r="D120" s="100"/>
      <c r="E120" s="100"/>
    </row>
    <row r="121" spans="1:6" x14ac:dyDescent="0.25">
      <c r="B121"/>
      <c r="C121"/>
      <c r="D121" s="33"/>
      <c r="E121" s="33"/>
    </row>
    <row r="122" spans="1:6" x14ac:dyDescent="0.25">
      <c r="B122"/>
      <c r="C122"/>
      <c r="D122" s="33"/>
      <c r="E122" s="33"/>
    </row>
    <row r="123" spans="1:6" x14ac:dyDescent="0.25">
      <c r="D123" s="33"/>
      <c r="E123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7"/>
  <sheetViews>
    <sheetView topLeftCell="A57" workbookViewId="0">
      <selection activeCell="B83" sqref="B8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104</v>
      </c>
      <c r="B2" s="2"/>
      <c r="C2" s="2"/>
      <c r="D2" s="2"/>
    </row>
    <row r="3" spans="1:22" x14ac:dyDescent="0.25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4" t="s">
        <v>0</v>
      </c>
      <c r="B4" s="5"/>
      <c r="C4" s="5"/>
      <c r="D4" s="5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103</v>
      </c>
      <c r="B6" s="11"/>
      <c r="C6" s="11">
        <v>2420</v>
      </c>
      <c r="D6" s="12">
        <v>44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2420</v>
      </c>
      <c r="D8" s="18">
        <v>44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14.5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8.5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0.21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x14ac:dyDescent="0.25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34" t="s">
        <v>87</v>
      </c>
      <c r="B16" s="35"/>
      <c r="C16" s="35"/>
      <c r="D16" s="35"/>
      <c r="E16" s="5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50720.92</v>
      </c>
      <c r="C20" s="41">
        <f>328903.5+1087.5</f>
        <v>329991</v>
      </c>
      <c r="D20" s="40">
        <f>268373.37+7166.82</f>
        <v>275540.19</v>
      </c>
      <c r="E20" s="42">
        <f t="shared" ref="E20:E37" si="0">C20-D20+B20</f>
        <v>105171.73</v>
      </c>
      <c r="F20" s="137">
        <f>C20+F22</f>
        <v>462063.28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30059.25</v>
      </c>
      <c r="C22" s="44">
        <f>192805.5+637.5-61370.72</f>
        <v>132072.28</v>
      </c>
      <c r="D22" s="43">
        <f>150514.35+4085.63</f>
        <v>154599.98000000001</v>
      </c>
      <c r="E22" s="45">
        <f t="shared" si="0"/>
        <v>7531.5499999999884</v>
      </c>
      <c r="F22" s="137">
        <f>C22</f>
        <v>132072.28</v>
      </c>
      <c r="G22" s="139">
        <f>F22*G20/F20</f>
        <v>28.583158566506299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>
        <v>558955.43999999994</v>
      </c>
      <c r="D24" s="44">
        <f>433652.98+7143.92</f>
        <v>440796.89999999997</v>
      </c>
      <c r="E24" s="45">
        <f t="shared" si="0"/>
        <v>118158.53999999998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>
        <v>635.49</v>
      </c>
      <c r="C26" s="46">
        <f>4763.61+15.75</f>
        <v>4779.3599999999997</v>
      </c>
      <c r="D26" s="46">
        <f>3787.59+103.79</f>
        <v>3891.38</v>
      </c>
      <c r="E26" s="47">
        <f t="shared" si="0"/>
        <v>1523.4699999999996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B28+B29+B30+B32+B31</f>
        <v>111954.15000000001</v>
      </c>
      <c r="C27" s="50">
        <f>C28+C29+C30+C32</f>
        <v>778932.83</v>
      </c>
      <c r="D27" s="50">
        <f>D28+D29+D30+D32</f>
        <v>673450.7699999999</v>
      </c>
      <c r="E27" s="51">
        <f>C27-D27+B27</f>
        <v>217436.21000000008</v>
      </c>
      <c r="F27" s="109"/>
      <c r="G27" s="109"/>
      <c r="H27" s="109"/>
      <c r="I27" s="109"/>
      <c r="J27" s="109"/>
      <c r="K27" s="109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52" t="s">
        <v>22</v>
      </c>
      <c r="B28" s="40">
        <v>79659.350000000006</v>
      </c>
      <c r="C28" s="40">
        <f>540906.88-9.66-1820.16</f>
        <v>539077.05999999994</v>
      </c>
      <c r="D28" s="40">
        <f>429610.61+11504.62</f>
        <v>441115.23</v>
      </c>
      <c r="E28" s="42">
        <f t="shared" si="0"/>
        <v>177621.17999999996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3" t="s">
        <v>23</v>
      </c>
      <c r="B29" s="43">
        <v>24534.1</v>
      </c>
      <c r="C29" s="43">
        <f>408.96+160038.56-7540.14-7031.28</f>
        <v>145876.09999999998</v>
      </c>
      <c r="D29" s="43">
        <f>137499.99+3623.45</f>
        <v>141123.44</v>
      </c>
      <c r="E29" s="45">
        <f t="shared" si="0"/>
        <v>29286.759999999973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24</v>
      </c>
      <c r="B30" s="43">
        <f>3544.76</f>
        <v>3544.76</v>
      </c>
      <c r="C30" s="43">
        <f>38243.22-1143.7-1674.59</f>
        <v>35424.930000000008</v>
      </c>
      <c r="D30" s="43">
        <f>36337.02+487.12</f>
        <v>36824.14</v>
      </c>
      <c r="E30" s="45">
        <f t="shared" si="0"/>
        <v>2145.5500000000084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106</v>
      </c>
      <c r="B31" s="43">
        <v>-4645.75</v>
      </c>
      <c r="C31" s="43"/>
      <c r="D31" s="43"/>
      <c r="E31" s="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25</v>
      </c>
      <c r="B32" s="43">
        <v>8861.69</v>
      </c>
      <c r="C32" s="43">
        <f>63386.57-2087.36-2744.47</f>
        <v>58554.74</v>
      </c>
      <c r="D32" s="43">
        <f>52952.37+1435.59</f>
        <v>54387.96</v>
      </c>
      <c r="E32" s="45">
        <f t="shared" si="0"/>
        <v>13028.47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53"/>
      <c r="B33" s="43"/>
      <c r="C33" s="44"/>
      <c r="D33" s="44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A34" s="13" t="s">
        <v>109</v>
      </c>
      <c r="B34" s="54"/>
      <c r="C34" s="55"/>
      <c r="D34" s="55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/>
      <c r="B35" s="44"/>
      <c r="C35" s="44"/>
      <c r="D35" s="44"/>
      <c r="E35" s="45">
        <f>C35-D35+B35</f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x14ac:dyDescent="0.25">
      <c r="A36" s="13" t="s">
        <v>27</v>
      </c>
      <c r="B36" s="44"/>
      <c r="C36" s="44"/>
      <c r="D36" s="44"/>
      <c r="E36" s="45">
        <f t="shared" si="0"/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16" t="s">
        <v>28</v>
      </c>
      <c r="B37" s="46"/>
      <c r="C37" s="46"/>
      <c r="D37" s="46"/>
      <c r="E37" s="47">
        <f t="shared" si="0"/>
        <v>0</v>
      </c>
      <c r="K37" s="3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57" t="s">
        <v>29</v>
      </c>
      <c r="B38" s="58">
        <f>B20+B21+B22+B23+B24+B25+B26+B27+B34+B35+B36+B37</f>
        <v>193369.81</v>
      </c>
      <c r="C38" s="58">
        <f>C20+C21+C22+C23+C24+C25+C26+C27+C34+C35+C36+C37</f>
        <v>1804730.91</v>
      </c>
      <c r="D38" s="58">
        <f>D20+D21+D22+D23+D24+D25+D26+D27+D34+D35+D36+D37</f>
        <v>1548279.22</v>
      </c>
      <c r="E38" s="59">
        <f>E20+E21+E22+E23+E24+E25+E27+E34+E35+E36+E37+E26</f>
        <v>449821.5</v>
      </c>
      <c r="F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x14ac:dyDescent="0.25">
      <c r="A39" s="60"/>
      <c r="B39" s="61"/>
      <c r="C39" s="56"/>
      <c r="D39" s="114"/>
      <c r="E39" s="114"/>
      <c r="F39" s="152"/>
      <c r="G39" s="109"/>
      <c r="H39" s="109"/>
      <c r="I39" s="109"/>
      <c r="J39" s="109"/>
      <c r="K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60"/>
      <c r="B40" s="61"/>
      <c r="C40" s="56"/>
      <c r="D40" s="114"/>
      <c r="E40" s="114"/>
      <c r="F40" s="152"/>
      <c r="G40" s="109"/>
      <c r="H40" s="109"/>
      <c r="I40" s="109"/>
      <c r="J40" s="109"/>
    </row>
    <row r="41" spans="1:22" ht="15.75" thickBot="1" x14ac:dyDescent="0.3">
      <c r="A41" s="62" t="s">
        <v>30</v>
      </c>
      <c r="B41" s="63">
        <f>B43+B58+B59+B56+B60+B57</f>
        <v>1132899.4855248046</v>
      </c>
      <c r="C41" s="64" t="s">
        <v>31</v>
      </c>
      <c r="D41" s="140">
        <f>C38-B41-B60</f>
        <v>668790.30073017604</v>
      </c>
      <c r="E41" s="141" t="s">
        <v>32</v>
      </c>
      <c r="F41" s="142">
        <f>5228898.06</f>
        <v>5228898.0599999996</v>
      </c>
      <c r="G41" s="142">
        <f>F41/F47*C8</f>
        <v>90958.484250168636</v>
      </c>
      <c r="H41" s="136"/>
      <c r="I41" s="136"/>
      <c r="J41" s="136"/>
    </row>
    <row r="42" spans="1:22" x14ac:dyDescent="0.25">
      <c r="A42" s="65" t="s">
        <v>92</v>
      </c>
      <c r="B42" s="66">
        <v>300396.05</v>
      </c>
      <c r="C42" s="67" t="s">
        <v>31</v>
      </c>
      <c r="D42" s="140"/>
      <c r="E42" s="141" t="s">
        <v>33</v>
      </c>
      <c r="F42" s="142">
        <f>1017312.51</f>
        <v>1017312.51</v>
      </c>
      <c r="G42" s="142">
        <f>F42/F47*C8</f>
        <v>17696.501797614797</v>
      </c>
      <c r="H42" s="136"/>
      <c r="I42" s="136"/>
      <c r="J42" s="136"/>
    </row>
    <row r="43" spans="1:22" x14ac:dyDescent="0.25">
      <c r="A43" s="68" t="s">
        <v>34</v>
      </c>
      <c r="B43" s="69">
        <f>B44+B45+B47+B48+B49+B50+B51+B52+B53+B54+B55+B46</f>
        <v>356917.38177978504</v>
      </c>
      <c r="C43" s="70" t="s">
        <v>31</v>
      </c>
      <c r="D43" s="140"/>
      <c r="E43" s="141" t="s">
        <v>35</v>
      </c>
      <c r="F43" s="142">
        <v>174824</v>
      </c>
      <c r="G43" s="142">
        <f>F43/F47*C8</f>
        <v>3041.1237450193248</v>
      </c>
      <c r="H43" s="136"/>
      <c r="I43" s="136"/>
      <c r="J43" s="136"/>
    </row>
    <row r="44" spans="1:22" x14ac:dyDescent="0.25">
      <c r="A44" s="71" t="s">
        <v>36</v>
      </c>
      <c r="B44" s="72">
        <v>37735.19</v>
      </c>
      <c r="C44" s="73" t="s">
        <v>31</v>
      </c>
      <c r="D44" s="140"/>
      <c r="E44" s="141" t="s">
        <v>18</v>
      </c>
      <c r="F44" s="142">
        <v>206457.71</v>
      </c>
      <c r="G44" s="142">
        <f>F44/F47*C8</f>
        <v>3591.4030351857509</v>
      </c>
      <c r="H44" s="136"/>
      <c r="I44" s="136"/>
      <c r="J44" s="136"/>
    </row>
    <row r="45" spans="1:22" x14ac:dyDescent="0.25">
      <c r="A45" s="74" t="s">
        <v>37</v>
      </c>
      <c r="B45" s="72">
        <f>G41+G42</f>
        <v>108654.98604778343</v>
      </c>
      <c r="C45" s="73" t="s">
        <v>31</v>
      </c>
      <c r="D45" s="140"/>
      <c r="E45" s="143" t="s">
        <v>38</v>
      </c>
      <c r="F45" s="142">
        <f>7706.9+43200</f>
        <v>50906.9</v>
      </c>
      <c r="G45" s="142">
        <f>F45/F47*C8</f>
        <v>885.5430740363123</v>
      </c>
      <c r="H45" s="136"/>
      <c r="I45" s="136">
        <v>35134.480000000003</v>
      </c>
      <c r="J45" s="136"/>
    </row>
    <row r="46" spans="1:22" x14ac:dyDescent="0.25">
      <c r="A46" s="74" t="s">
        <v>39</v>
      </c>
      <c r="B46" s="72">
        <v>20790</v>
      </c>
      <c r="C46" s="73" t="s">
        <v>31</v>
      </c>
      <c r="D46" s="140"/>
      <c r="E46" s="142" t="s">
        <v>12</v>
      </c>
      <c r="F46" s="142">
        <f>7038875.3-F45</f>
        <v>6987968.3999999994</v>
      </c>
      <c r="G46" s="142">
        <f>F46/F47*C8</f>
        <v>121558.11919807749</v>
      </c>
      <c r="H46" s="136"/>
      <c r="I46" s="136"/>
      <c r="J46" s="136"/>
    </row>
    <row r="47" spans="1:22" x14ac:dyDescent="0.25">
      <c r="A47" s="71" t="s">
        <v>40</v>
      </c>
      <c r="B47" s="72">
        <f>G45+6873.89</f>
        <v>7759.433074036313</v>
      </c>
      <c r="C47" s="73" t="s">
        <v>31</v>
      </c>
      <c r="D47" s="140"/>
      <c r="E47" s="144" t="s">
        <v>41</v>
      </c>
      <c r="F47" s="145">
        <v>139117.68</v>
      </c>
      <c r="G47" s="142"/>
      <c r="H47" s="136"/>
      <c r="I47" s="136"/>
      <c r="J47" s="136"/>
    </row>
    <row r="48" spans="1:22" x14ac:dyDescent="0.25">
      <c r="A48" s="71" t="s">
        <v>42</v>
      </c>
      <c r="B48" s="72">
        <f>G44+2950.2</f>
        <v>6541.6030351857507</v>
      </c>
      <c r="C48" s="73" t="s">
        <v>31</v>
      </c>
      <c r="D48" s="140"/>
      <c r="E48" s="145"/>
      <c r="F48" s="142">
        <f>F45*0.6559</f>
        <v>33389.835709999999</v>
      </c>
      <c r="G48" s="142"/>
      <c r="H48" s="136"/>
      <c r="I48" s="136"/>
      <c r="J48" s="136"/>
    </row>
    <row r="49" spans="1:12" x14ac:dyDescent="0.25">
      <c r="A49" s="71" t="s">
        <v>43</v>
      </c>
      <c r="B49" s="72">
        <f>G46</f>
        <v>121558.11919807749</v>
      </c>
      <c r="C49" s="73" t="s">
        <v>31</v>
      </c>
      <c r="D49" s="140"/>
      <c r="E49" s="146" t="s">
        <v>102</v>
      </c>
      <c r="F49" s="146">
        <f>2946.5</f>
        <v>2946.5</v>
      </c>
      <c r="G49" s="146">
        <f>F49/F47*C8</f>
        <v>51.255383212255985</v>
      </c>
      <c r="H49" s="136"/>
      <c r="I49" s="136"/>
      <c r="J49" s="136"/>
    </row>
    <row r="50" spans="1:12" x14ac:dyDescent="0.25">
      <c r="A50" s="71" t="s">
        <v>44</v>
      </c>
      <c r="B50" s="72">
        <f>F53</f>
        <v>1673.2743676602986</v>
      </c>
      <c r="C50" s="73" t="s">
        <v>31</v>
      </c>
      <c r="D50" s="140"/>
      <c r="E50" s="140"/>
      <c r="F50" s="147"/>
      <c r="G50" s="148"/>
      <c r="H50" s="136"/>
      <c r="I50" s="136"/>
      <c r="J50" s="136"/>
    </row>
    <row r="51" spans="1:12" x14ac:dyDescent="0.25">
      <c r="A51" s="71" t="s">
        <v>45</v>
      </c>
      <c r="B51" s="72">
        <f>G49</f>
        <v>51.255383212255985</v>
      </c>
      <c r="C51" s="73" t="s">
        <v>31</v>
      </c>
      <c r="D51" s="140"/>
      <c r="E51" s="140" t="s">
        <v>100</v>
      </c>
      <c r="F51" s="147">
        <v>20905.240000000002</v>
      </c>
      <c r="G51" s="148"/>
      <c r="H51" s="136"/>
      <c r="I51" s="136"/>
      <c r="J51" s="136"/>
    </row>
    <row r="52" spans="1:12" x14ac:dyDescent="0.25">
      <c r="A52" s="71" t="s">
        <v>46</v>
      </c>
      <c r="B52" s="72">
        <f>7425.57+6609.55+1339.19</f>
        <v>15374.31</v>
      </c>
      <c r="C52" s="73" t="s">
        <v>31</v>
      </c>
      <c r="D52" s="140"/>
      <c r="E52" s="140" t="s">
        <v>93</v>
      </c>
      <c r="F52" s="147">
        <v>30234.54</v>
      </c>
      <c r="G52" s="148"/>
      <c r="H52" s="136"/>
      <c r="I52" s="136"/>
      <c r="J52" s="136"/>
    </row>
    <row r="53" spans="1:12" x14ac:dyDescent="0.25">
      <c r="A53" s="71" t="s">
        <v>47</v>
      </c>
      <c r="B53" s="72"/>
      <c r="C53" s="73" t="s">
        <v>31</v>
      </c>
      <c r="D53" s="140"/>
      <c r="E53" s="140" t="s">
        <v>107</v>
      </c>
      <c r="F53" s="147">
        <f>F51/F52*C8</f>
        <v>1673.2743676602986</v>
      </c>
      <c r="G53" s="148"/>
      <c r="H53" s="136"/>
      <c r="I53" s="136"/>
      <c r="J53" s="136"/>
    </row>
    <row r="54" spans="1:12" x14ac:dyDescent="0.25">
      <c r="A54" s="71" t="s">
        <v>48</v>
      </c>
      <c r="B54" s="72">
        <v>8706.24</v>
      </c>
      <c r="C54" s="73" t="s">
        <v>31</v>
      </c>
      <c r="D54" s="114"/>
      <c r="E54" s="114"/>
      <c r="F54" s="152"/>
      <c r="G54" s="109"/>
      <c r="H54" s="109"/>
      <c r="I54" s="109"/>
      <c r="J54" s="109"/>
    </row>
    <row r="55" spans="1:12" x14ac:dyDescent="0.25">
      <c r="A55" s="71" t="s">
        <v>49</v>
      </c>
      <c r="B55" s="72">
        <f>(B45+B46+B47+B48+B49+B51+B52+B53)*0.1</f>
        <v>28072.970673829521</v>
      </c>
      <c r="C55" s="73" t="s">
        <v>31</v>
      </c>
      <c r="D55" s="114"/>
      <c r="E55" s="114"/>
      <c r="F55" s="152"/>
      <c r="G55" s="109"/>
      <c r="H55" s="109"/>
      <c r="I55" s="109"/>
      <c r="J55" s="109"/>
    </row>
    <row r="56" spans="1:12" x14ac:dyDescent="0.25">
      <c r="A56" s="68" t="s">
        <v>50</v>
      </c>
      <c r="B56" s="69">
        <f>C74</f>
        <v>69369</v>
      </c>
      <c r="C56" s="70" t="s">
        <v>31</v>
      </c>
      <c r="D56" s="114"/>
      <c r="E56" s="114"/>
      <c r="F56" s="152"/>
      <c r="G56" s="109"/>
      <c r="H56" s="109"/>
      <c r="I56" s="109"/>
      <c r="J56" s="109"/>
    </row>
    <row r="57" spans="1:12" x14ac:dyDescent="0.25">
      <c r="A57" s="68" t="s">
        <v>51</v>
      </c>
      <c r="B57" s="69"/>
      <c r="C57" s="70" t="s">
        <v>31</v>
      </c>
      <c r="D57" s="114"/>
      <c r="E57" s="114"/>
      <c r="F57" s="152"/>
      <c r="G57" s="109"/>
      <c r="H57" s="109"/>
      <c r="I57" s="109"/>
      <c r="J57" s="109"/>
    </row>
    <row r="58" spans="1:12" x14ac:dyDescent="0.25">
      <c r="A58" s="68" t="s">
        <v>52</v>
      </c>
      <c r="B58" s="69">
        <f>L74</f>
        <v>703571.98000000021</v>
      </c>
      <c r="C58" s="70" t="s">
        <v>31</v>
      </c>
      <c r="D58" s="56"/>
      <c r="E58" s="56"/>
      <c r="F58" s="3"/>
    </row>
    <row r="59" spans="1:12" x14ac:dyDescent="0.25">
      <c r="A59" s="68" t="s">
        <v>53</v>
      </c>
      <c r="B59" s="69"/>
      <c r="C59" s="70" t="s">
        <v>54</v>
      </c>
      <c r="D59" s="56"/>
      <c r="E59" s="56"/>
      <c r="F59" s="3"/>
    </row>
    <row r="60" spans="1:12" ht="15.75" thickBot="1" x14ac:dyDescent="0.3">
      <c r="A60" s="75" t="s">
        <v>55</v>
      </c>
      <c r="B60" s="76">
        <f>G43</f>
        <v>3041.1237450193248</v>
      </c>
      <c r="C60" s="77" t="s">
        <v>31</v>
      </c>
      <c r="D60" s="56"/>
      <c r="E60" s="56"/>
      <c r="F60" s="3"/>
      <c r="I60" s="79"/>
      <c r="J60" s="79" t="s">
        <v>56</v>
      </c>
      <c r="K60" s="79"/>
      <c r="L60" s="79" t="s">
        <v>57</v>
      </c>
    </row>
    <row r="61" spans="1:12" x14ac:dyDescent="0.25">
      <c r="A61" s="60"/>
      <c r="B61" s="61"/>
      <c r="C61" s="56"/>
      <c r="D61" s="56"/>
      <c r="E61" s="56"/>
      <c r="F61" s="3"/>
      <c r="I61" s="78" t="s">
        <v>64</v>
      </c>
      <c r="J61" s="129">
        <f>97934.49+3359.6</f>
        <v>101294.09000000001</v>
      </c>
      <c r="K61" s="78"/>
      <c r="L61" s="129">
        <f>3687.5+4259.8+340.78+295</f>
        <v>8583.08</v>
      </c>
    </row>
    <row r="62" spans="1:12" x14ac:dyDescent="0.25">
      <c r="A62" s="60" t="s">
        <v>98</v>
      </c>
      <c r="B62" s="3">
        <f>C38+B42-B41</f>
        <v>972227.4744751954</v>
      </c>
      <c r="C62" s="56" t="s">
        <v>31</v>
      </c>
      <c r="D62" s="56"/>
      <c r="E62" s="56"/>
      <c r="F62" s="3"/>
      <c r="I62" s="78" t="s">
        <v>66</v>
      </c>
      <c r="J62" s="129">
        <f>71636.3+3389.28</f>
        <v>75025.58</v>
      </c>
      <c r="K62" s="78"/>
      <c r="L62" s="129">
        <f>2227.25+2572.92+647.49+560.5</f>
        <v>6008.16</v>
      </c>
    </row>
    <row r="63" spans="1:12" x14ac:dyDescent="0.25">
      <c r="A63" s="60" t="s">
        <v>99</v>
      </c>
      <c r="B63" s="2">
        <f>B64+B65+B66+B67+B68</f>
        <v>115917.10822021471</v>
      </c>
      <c r="C63" s="56" t="s">
        <v>31</v>
      </c>
      <c r="D63" s="56"/>
      <c r="E63" s="56"/>
      <c r="F63" s="3"/>
      <c r="I63" s="78" t="s">
        <v>67</v>
      </c>
      <c r="J63" s="129">
        <f>60519.42+4064.62</f>
        <v>64584.04</v>
      </c>
      <c r="K63" s="78"/>
      <c r="L63" s="129">
        <f>2832+3271.53+255.59+221.24</f>
        <v>6580.3600000000006</v>
      </c>
    </row>
    <row r="64" spans="1:12" x14ac:dyDescent="0.25">
      <c r="A64" s="80" t="s">
        <v>58</v>
      </c>
      <c r="B64" s="81">
        <f>C20-B43</f>
        <v>-26926.381779785035</v>
      </c>
      <c r="C64" s="56" t="s">
        <v>31</v>
      </c>
      <c r="D64" s="56"/>
      <c r="E64" s="56"/>
      <c r="F64" s="3"/>
      <c r="I64" s="78" t="s">
        <v>68</v>
      </c>
      <c r="J64" s="129">
        <f>51543.58+3933.47</f>
        <v>55477.05</v>
      </c>
      <c r="K64" s="78"/>
      <c r="L64" s="129">
        <f>2950+3407.84+511.18+442.5</f>
        <v>7311.52</v>
      </c>
    </row>
    <row r="65" spans="1:12" x14ac:dyDescent="0.25">
      <c r="A65" s="80" t="s">
        <v>59</v>
      </c>
      <c r="B65" s="81">
        <f>C22-B56</f>
        <v>62703.28</v>
      </c>
      <c r="C65" s="56" t="s">
        <v>31</v>
      </c>
      <c r="D65" s="56"/>
      <c r="E65" s="56"/>
      <c r="F65" s="3"/>
      <c r="I65" s="78" t="s">
        <v>69</v>
      </c>
      <c r="J65" s="129">
        <f>11710.77+3736.06</f>
        <v>15446.83</v>
      </c>
      <c r="K65" s="78"/>
      <c r="L65" s="129">
        <f>2669.75+3084.1+374.86+324.5</f>
        <v>6453.21</v>
      </c>
    </row>
    <row r="66" spans="1:12" x14ac:dyDescent="0.25">
      <c r="A66" s="80" t="s">
        <v>60</v>
      </c>
      <c r="B66" s="81">
        <f>C26-B57</f>
        <v>4779.3599999999997</v>
      </c>
      <c r="C66" s="56" t="s">
        <v>31</v>
      </c>
      <c r="D66" s="56"/>
      <c r="E66" s="56"/>
      <c r="F66" s="3"/>
      <c r="I66" s="78" t="s">
        <v>70</v>
      </c>
      <c r="J66" s="129">
        <f>9060.19+3285.53+5548.74</f>
        <v>17894.46</v>
      </c>
      <c r="K66" s="78"/>
      <c r="L66" s="129">
        <f>2972.13+3433.4+374.86+324.5</f>
        <v>7104.89</v>
      </c>
    </row>
    <row r="67" spans="1:12" x14ac:dyDescent="0.25">
      <c r="A67" s="80" t="s">
        <v>61</v>
      </c>
      <c r="B67" s="81">
        <f>C27-B58</f>
        <v>75360.849999999744</v>
      </c>
      <c r="C67" s="56" t="s">
        <v>31</v>
      </c>
      <c r="D67" s="56"/>
      <c r="E67" s="56"/>
      <c r="F67" s="3"/>
      <c r="I67" s="78" t="s">
        <v>71</v>
      </c>
      <c r="J67" s="129">
        <f>1029.38+9602.99</f>
        <v>10632.369999999999</v>
      </c>
      <c r="K67" s="78"/>
      <c r="L67" s="129">
        <f>3163.7+3651.16+540.9+468.7</f>
        <v>7824.4599999999991</v>
      </c>
    </row>
    <row r="68" spans="1:12" x14ac:dyDescent="0.25">
      <c r="A68" s="80" t="s">
        <v>62</v>
      </c>
      <c r="B68" s="81">
        <f>C34-B59</f>
        <v>0</v>
      </c>
      <c r="C68" s="56"/>
      <c r="D68" s="56"/>
      <c r="E68" s="56"/>
      <c r="F68" s="3"/>
      <c r="I68" s="78" t="s">
        <v>72</v>
      </c>
      <c r="J68" s="129">
        <f>9699.56+3285.53</f>
        <v>12985.09</v>
      </c>
      <c r="K68" s="78"/>
      <c r="L68" s="129">
        <f>3124.64+3606.08+360.61+312.46</f>
        <v>7403.7899999999991</v>
      </c>
    </row>
    <row r="69" spans="1:12" x14ac:dyDescent="0.25">
      <c r="A69" s="60"/>
      <c r="B69" s="2"/>
      <c r="C69" s="56"/>
      <c r="I69" s="78" t="s">
        <v>73</v>
      </c>
      <c r="J69" s="129">
        <f>13951.41+799.11</f>
        <v>14750.52</v>
      </c>
      <c r="K69" s="78"/>
      <c r="L69" s="129">
        <f>3299.28+3809.04+329.93+380.9</f>
        <v>7819.15</v>
      </c>
    </row>
    <row r="70" spans="1:12" ht="15.75" thickBot="1" x14ac:dyDescent="0.3">
      <c r="A70" s="60" t="s">
        <v>91</v>
      </c>
      <c r="D70" s="111"/>
      <c r="E70" s="112"/>
      <c r="F70" s="113"/>
      <c r="G70" s="109"/>
      <c r="I70" s="78" t="s">
        <v>74</v>
      </c>
      <c r="J70" s="129">
        <f>48444.19+3048.45</f>
        <v>51492.639999999999</v>
      </c>
      <c r="K70" s="78"/>
      <c r="L70" s="129">
        <f>3629.21+5608.81</f>
        <v>9238.02</v>
      </c>
    </row>
    <row r="71" spans="1:12" ht="51.75" thickBot="1" x14ac:dyDescent="0.3">
      <c r="A71" s="82" t="s">
        <v>116</v>
      </c>
      <c r="B71" s="83" t="s">
        <v>63</v>
      </c>
      <c r="C71" s="84" t="s">
        <v>96</v>
      </c>
      <c r="D71" s="114"/>
      <c r="E71" s="114"/>
      <c r="F71" s="114"/>
      <c r="G71" s="109"/>
      <c r="I71" s="78" t="s">
        <v>75</v>
      </c>
      <c r="J71" s="129">
        <f>84433.44+2603.89</f>
        <v>87037.33</v>
      </c>
      <c r="K71" s="78"/>
      <c r="L71" s="129">
        <f>3299.28+3809.04+380.9+329.93</f>
        <v>7819.15</v>
      </c>
    </row>
    <row r="72" spans="1:12" ht="15.75" thickBot="1" x14ac:dyDescent="0.3">
      <c r="A72" s="85" t="s">
        <v>65</v>
      </c>
      <c r="B72" s="134" t="s">
        <v>31</v>
      </c>
      <c r="C72" s="135" t="s">
        <v>31</v>
      </c>
      <c r="D72" s="115"/>
      <c r="E72" s="116"/>
      <c r="F72" s="117"/>
      <c r="G72" s="109"/>
      <c r="I72" s="86" t="s">
        <v>76</v>
      </c>
      <c r="J72" s="130">
        <f>111890.1+2916.09</f>
        <v>114806.19</v>
      </c>
      <c r="K72" s="86"/>
      <c r="L72" s="130">
        <v>0</v>
      </c>
    </row>
    <row r="73" spans="1:12" ht="15.75" thickBot="1" x14ac:dyDescent="0.3">
      <c r="A73" s="53" t="s">
        <v>108</v>
      </c>
      <c r="B73" s="43"/>
      <c r="C73" s="124">
        <v>69369</v>
      </c>
      <c r="D73" s="115"/>
      <c r="E73" s="116"/>
      <c r="F73" s="117"/>
      <c r="G73" s="109"/>
      <c r="I73" s="87"/>
      <c r="J73" s="88"/>
      <c r="K73" s="88"/>
      <c r="L73" s="131"/>
    </row>
    <row r="74" spans="1:12" ht="15.75" thickBot="1" x14ac:dyDescent="0.3">
      <c r="A74" s="89" t="s">
        <v>5</v>
      </c>
      <c r="B74" s="90">
        <f>B73</f>
        <v>0</v>
      </c>
      <c r="C74" s="91">
        <f>C73</f>
        <v>69369</v>
      </c>
      <c r="D74" s="115"/>
      <c r="E74" s="116"/>
      <c r="F74" s="117"/>
      <c r="G74" s="109"/>
      <c r="I74" s="92" t="s">
        <v>77</v>
      </c>
      <c r="J74" s="93"/>
      <c r="K74" s="93"/>
      <c r="L74" s="132">
        <f>J61+J62+J63+J64+J65+J66+J67+J68+J69+J70+J71+J72+L61+L62+L63+L64+L65+L66+L67+L68+L69+L70+L71+L72+N29</f>
        <v>703571.98000000021</v>
      </c>
    </row>
    <row r="75" spans="1:12" x14ac:dyDescent="0.25">
      <c r="A75" s="94"/>
      <c r="B75" s="95"/>
      <c r="C75" s="96"/>
      <c r="D75" s="118"/>
      <c r="E75" s="116"/>
      <c r="F75" s="117"/>
      <c r="G75" s="109"/>
    </row>
    <row r="76" spans="1:12" ht="15.75" thickBot="1" x14ac:dyDescent="0.3">
      <c r="A76" s="16"/>
      <c r="B76" s="17"/>
      <c r="C76" s="97"/>
      <c r="D76" s="118"/>
      <c r="E76" s="116"/>
      <c r="F76" s="117"/>
      <c r="G76" s="109"/>
    </row>
    <row r="77" spans="1:12" x14ac:dyDescent="0.25">
      <c r="A77" s="31"/>
      <c r="B77" s="33"/>
      <c r="C77" s="98"/>
      <c r="D77" s="118"/>
      <c r="E77" s="116"/>
      <c r="F77" s="117"/>
      <c r="G77" s="109"/>
      <c r="I77" s="1" t="s">
        <v>78</v>
      </c>
      <c r="J77" s="1"/>
      <c r="K77" s="1"/>
      <c r="L77" s="2">
        <f>C27-L74</f>
        <v>75360.849999999744</v>
      </c>
    </row>
    <row r="78" spans="1:12" x14ac:dyDescent="0.25">
      <c r="A78" s="60"/>
      <c r="B78" s="33"/>
      <c r="C78" s="98"/>
      <c r="D78" s="118"/>
      <c r="E78" s="116"/>
      <c r="F78" s="117"/>
      <c r="G78" s="109"/>
    </row>
    <row r="79" spans="1:12" hidden="1" x14ac:dyDescent="0.25">
      <c r="A79" s="60" t="s">
        <v>79</v>
      </c>
      <c r="B79" s="33"/>
      <c r="D79" s="118"/>
      <c r="E79" s="116"/>
      <c r="F79" s="117"/>
      <c r="G79" s="109"/>
    </row>
    <row r="80" spans="1:12" hidden="1" x14ac:dyDescent="0.25">
      <c r="A80" s="60" t="s">
        <v>34</v>
      </c>
      <c r="B80" s="20">
        <f>B43/C8/12</f>
        <v>12.290543449717115</v>
      </c>
      <c r="C80" s="101" t="s">
        <v>80</v>
      </c>
      <c r="D80" s="118"/>
      <c r="E80" s="116"/>
      <c r="F80" s="117"/>
      <c r="G80" s="109"/>
    </row>
    <row r="81" spans="1:7" hidden="1" x14ac:dyDescent="0.25">
      <c r="A81" s="60" t="s">
        <v>81</v>
      </c>
      <c r="B81" s="20">
        <f>B56/C8/12</f>
        <v>2.3887396694214877</v>
      </c>
      <c r="C81" s="101" t="s">
        <v>80</v>
      </c>
      <c r="D81" s="118"/>
      <c r="E81" s="116"/>
      <c r="F81" s="117"/>
      <c r="G81" s="109"/>
    </row>
    <row r="82" spans="1:7" hidden="1" x14ac:dyDescent="0.25">
      <c r="A82" s="60" t="s">
        <v>82</v>
      </c>
      <c r="B82" s="20">
        <f>B57/C8/12</f>
        <v>0</v>
      </c>
      <c r="C82" s="101" t="s">
        <v>80</v>
      </c>
      <c r="D82" s="118"/>
      <c r="E82" s="116"/>
      <c r="F82" s="117"/>
      <c r="G82" s="109"/>
    </row>
    <row r="83" spans="1:7" x14ac:dyDescent="0.25">
      <c r="A83" s="60"/>
      <c r="B83" s="33"/>
      <c r="C83" s="98"/>
      <c r="D83" s="110"/>
      <c r="E83" s="114"/>
      <c r="F83" s="119"/>
      <c r="G83" s="109"/>
    </row>
    <row r="84" spans="1:7" x14ac:dyDescent="0.25">
      <c r="A84" s="60"/>
      <c r="B84" s="33"/>
      <c r="C84" s="101"/>
      <c r="D84" s="118"/>
      <c r="E84" s="116"/>
      <c r="F84" s="109"/>
      <c r="G84" s="109"/>
    </row>
    <row r="85" spans="1:7" x14ac:dyDescent="0.25">
      <c r="A85" s="19"/>
      <c r="B85" s="20"/>
      <c r="C85" s="101"/>
      <c r="E85" s="116"/>
      <c r="F85" s="109"/>
      <c r="G85" s="109"/>
    </row>
    <row r="86" spans="1:7" x14ac:dyDescent="0.25">
      <c r="A86" s="19" t="s">
        <v>83</v>
      </c>
      <c r="B86" s="20"/>
      <c r="C86" s="98"/>
      <c r="D86" s="133" t="s">
        <v>95</v>
      </c>
      <c r="E86" s="116"/>
      <c r="F86" s="109"/>
      <c r="G86" s="109"/>
    </row>
    <row r="87" spans="1:7" x14ac:dyDescent="0.25">
      <c r="A87" s="31"/>
      <c r="B87" s="33"/>
      <c r="C87" s="105"/>
      <c r="D87" s="118"/>
      <c r="E87" s="116"/>
      <c r="F87" s="109"/>
      <c r="G87" s="109"/>
    </row>
    <row r="88" spans="1:7" x14ac:dyDescent="0.25">
      <c r="A88" s="103"/>
      <c r="B88" s="104"/>
      <c r="C88" s="105"/>
      <c r="D88" s="99"/>
      <c r="E88" s="100"/>
    </row>
    <row r="89" spans="1:7" x14ac:dyDescent="0.25">
      <c r="A89" s="103"/>
      <c r="B89" s="104"/>
      <c r="C89" s="105"/>
      <c r="D89" s="99"/>
      <c r="E89" s="100"/>
    </row>
    <row r="90" spans="1:7" x14ac:dyDescent="0.25">
      <c r="A90" s="103"/>
      <c r="B90" s="104"/>
      <c r="C90" s="105"/>
      <c r="D90" s="99"/>
      <c r="E90" s="100"/>
    </row>
    <row r="91" spans="1:7" x14ac:dyDescent="0.25">
      <c r="A91" s="103"/>
      <c r="B91" s="104"/>
      <c r="C91" s="98"/>
      <c r="D91" s="99"/>
      <c r="E91" s="100"/>
    </row>
    <row r="92" spans="1:7" x14ac:dyDescent="0.25">
      <c r="A92" s="31"/>
      <c r="B92" s="33"/>
      <c r="C92" s="98"/>
      <c r="D92" s="99"/>
      <c r="E92" s="100"/>
    </row>
    <row r="93" spans="1:7" x14ac:dyDescent="0.25">
      <c r="A93" s="31"/>
      <c r="B93" s="33"/>
      <c r="C93" s="56"/>
      <c r="D93" s="56"/>
      <c r="E93" s="56"/>
    </row>
    <row r="94" spans="1:7" x14ac:dyDescent="0.25">
      <c r="A94" s="19"/>
      <c r="B94" s="20"/>
      <c r="C94" s="56"/>
      <c r="D94" s="102"/>
      <c r="E94" s="56"/>
    </row>
    <row r="95" spans="1:7" x14ac:dyDescent="0.25">
      <c r="A95" s="19"/>
      <c r="B95" s="20"/>
      <c r="C95" s="56"/>
      <c r="D95" s="99"/>
      <c r="E95" s="100"/>
    </row>
    <row r="96" spans="1:7" x14ac:dyDescent="0.25">
      <c r="A96" s="19"/>
      <c r="B96" s="20"/>
      <c r="C96" s="100"/>
      <c r="D96" s="99"/>
      <c r="E96" s="100"/>
    </row>
    <row r="97" spans="1:6" x14ac:dyDescent="0.25">
      <c r="A97" s="31"/>
      <c r="B97" s="33"/>
      <c r="C97" s="100"/>
      <c r="D97" s="105"/>
      <c r="E97" s="100"/>
    </row>
    <row r="98" spans="1:6" x14ac:dyDescent="0.25">
      <c r="A98" s="31"/>
      <c r="B98" s="33"/>
      <c r="C98" s="100"/>
      <c r="D98" s="105"/>
      <c r="E98" s="100"/>
    </row>
    <row r="99" spans="1:6" x14ac:dyDescent="0.25">
      <c r="A99" s="107"/>
      <c r="B99" s="108"/>
      <c r="C99" s="100"/>
      <c r="D99" s="105"/>
      <c r="E99" s="100"/>
      <c r="F99" s="106"/>
    </row>
    <row r="100" spans="1:6" x14ac:dyDescent="0.25">
      <c r="A100" s="107"/>
      <c r="B100" s="108"/>
      <c r="C100" s="100"/>
      <c r="D100" s="105"/>
      <c r="E100" s="100"/>
    </row>
    <row r="101" spans="1:6" x14ac:dyDescent="0.25">
      <c r="A101" s="31"/>
      <c r="B101" s="33"/>
      <c r="C101" s="100"/>
      <c r="D101" s="98"/>
      <c r="E101" s="100"/>
    </row>
    <row r="102" spans="1:6" x14ac:dyDescent="0.25">
      <c r="A102" s="31"/>
      <c r="B102" s="33"/>
      <c r="C102" s="56"/>
      <c r="D102" s="98"/>
      <c r="E102" s="100"/>
    </row>
    <row r="103" spans="1:6" x14ac:dyDescent="0.25">
      <c r="A103" s="19"/>
      <c r="B103" s="20"/>
      <c r="C103" s="100"/>
      <c r="D103" s="56"/>
      <c r="E103" s="56"/>
      <c r="F103" s="3"/>
    </row>
    <row r="104" spans="1:6" x14ac:dyDescent="0.25">
      <c r="A104" s="31"/>
      <c r="B104" s="33"/>
      <c r="C104" s="100"/>
      <c r="D104" s="56"/>
      <c r="E104" s="100"/>
    </row>
    <row r="105" spans="1:6" x14ac:dyDescent="0.25">
      <c r="A105" s="31"/>
      <c r="B105" s="33"/>
      <c r="C105" s="33"/>
      <c r="D105" s="56"/>
      <c r="E105" s="56"/>
    </row>
    <row r="106" spans="1:6" x14ac:dyDescent="0.25">
      <c r="A106" s="31"/>
      <c r="B106" s="33"/>
      <c r="C106" s="33"/>
      <c r="D106" s="100"/>
      <c r="E106" s="100"/>
    </row>
    <row r="107" spans="1:6" x14ac:dyDescent="0.25">
      <c r="A107" s="31"/>
      <c r="B107" s="33"/>
      <c r="C107" s="33"/>
      <c r="D107" s="100"/>
      <c r="E107" s="100"/>
    </row>
    <row r="108" spans="1:6" x14ac:dyDescent="0.25">
      <c r="A108" s="31"/>
      <c r="B108" s="33"/>
      <c r="D108" s="100"/>
      <c r="E108" s="100"/>
    </row>
    <row r="109" spans="1:6" x14ac:dyDescent="0.25">
      <c r="D109" s="100"/>
      <c r="E109" s="100"/>
    </row>
    <row r="110" spans="1:6" x14ac:dyDescent="0.25">
      <c r="D110" s="100"/>
      <c r="E110" s="100"/>
    </row>
    <row r="111" spans="1:6" x14ac:dyDescent="0.25">
      <c r="D111" s="100"/>
      <c r="E111" s="100"/>
    </row>
    <row r="112" spans="1:6" x14ac:dyDescent="0.25">
      <c r="D112" s="56"/>
      <c r="E112" s="56"/>
      <c r="F112" s="3"/>
    </row>
    <row r="113" spans="2:6" x14ac:dyDescent="0.25">
      <c r="B113"/>
      <c r="C113"/>
      <c r="D113" s="100"/>
      <c r="E113" s="100"/>
      <c r="F113" s="3"/>
    </row>
    <row r="114" spans="2:6" x14ac:dyDescent="0.25">
      <c r="B114"/>
      <c r="C114"/>
      <c r="D114" s="100"/>
      <c r="E114" s="100"/>
    </row>
    <row r="115" spans="2:6" x14ac:dyDescent="0.25">
      <c r="B115"/>
      <c r="C115"/>
      <c r="D115" s="33"/>
      <c r="E115" s="33"/>
    </row>
    <row r="116" spans="2:6" x14ac:dyDescent="0.25">
      <c r="B116"/>
      <c r="C116"/>
      <c r="D116" s="33"/>
      <c r="E116" s="33"/>
    </row>
    <row r="117" spans="2:6" x14ac:dyDescent="0.25">
      <c r="B117"/>
      <c r="C117"/>
      <c r="D117" s="33"/>
      <c r="E117" s="33"/>
    </row>
  </sheetData>
  <pageMargins left="0.7" right="0.7" top="0.75" bottom="0.75" header="0.3" footer="0.3"/>
  <pageSetup paperSize="9" scale="3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8"/>
  <sheetViews>
    <sheetView topLeftCell="A32" workbookViewId="0">
      <selection activeCell="F48" sqref="F48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118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119</v>
      </c>
      <c r="B6" s="11"/>
      <c r="C6" s="11">
        <v>491.8</v>
      </c>
      <c r="D6" s="12">
        <v>44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491.8</v>
      </c>
      <c r="D8" s="18">
        <f>D6</f>
        <v>44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19.059999999999999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/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15134.99</v>
      </c>
      <c r="C20" s="41">
        <v>112484.64</v>
      </c>
      <c r="D20" s="40">
        <f>95433.77+7671.77</f>
        <v>103105.54000000001</v>
      </c>
      <c r="E20" s="42">
        <f t="shared" ref="E20:E37" si="0">C20-D20+B20</f>
        <v>24514.089999999989</v>
      </c>
      <c r="F20" s="137">
        <f>C20+F22</f>
        <v>112484.64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-278.23</v>
      </c>
      <c r="C22" s="44"/>
      <c r="D22" s="43"/>
      <c r="E22" s="45">
        <f t="shared" si="0"/>
        <v>-278.23</v>
      </c>
      <c r="F22" s="137">
        <f>C22</f>
        <v>0</v>
      </c>
      <c r="G22" s="139">
        <f>F22*G20/F20</f>
        <v>0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/>
      <c r="C26" s="46"/>
      <c r="D26" s="46"/>
      <c r="E26" s="47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B28+B29+B30+B32+B31</f>
        <v>43695.21</v>
      </c>
      <c r="C27" s="50">
        <f>C28+C29+C30+C32</f>
        <v>302628.10000000003</v>
      </c>
      <c r="D27" s="50">
        <f>D28+D29+D30+D32</f>
        <v>278231.87</v>
      </c>
      <c r="E27" s="51">
        <f>C27-D27+B27</f>
        <v>68091.440000000031</v>
      </c>
      <c r="F27" s="109"/>
      <c r="G27" s="109"/>
      <c r="H27" s="109"/>
      <c r="I27" s="109"/>
      <c r="J27" s="109"/>
      <c r="K27" s="109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52" t="s">
        <v>22</v>
      </c>
      <c r="B28" s="40">
        <v>20493.16</v>
      </c>
      <c r="C28" s="40">
        <v>140340.12</v>
      </c>
      <c r="D28" s="40">
        <f>119709.05+9477.17</f>
        <v>129186.22</v>
      </c>
      <c r="E28" s="42">
        <f t="shared" si="0"/>
        <v>31647.059999999994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3" t="s">
        <v>23</v>
      </c>
      <c r="B29" s="43">
        <v>15046.73</v>
      </c>
      <c r="C29" s="43">
        <f>108458.32-411.37-3181.39</f>
        <v>104865.56000000001</v>
      </c>
      <c r="D29" s="43">
        <f>90428.32+5946.88</f>
        <v>96375.200000000012</v>
      </c>
      <c r="E29" s="45">
        <f t="shared" si="0"/>
        <v>23537.09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24</v>
      </c>
      <c r="B30" s="43">
        <v>2815.68</v>
      </c>
      <c r="C30" s="43">
        <f>20546.97-77.11-493.21</f>
        <v>19976.650000000001</v>
      </c>
      <c r="D30" s="43">
        <f>17224.94+1104.13</f>
        <v>18329.07</v>
      </c>
      <c r="E30" s="45">
        <f t="shared" si="0"/>
        <v>4463.260000000002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idden="1" x14ac:dyDescent="0.25">
      <c r="A31" s="53" t="s">
        <v>106</v>
      </c>
      <c r="B31" s="43"/>
      <c r="C31" s="43"/>
      <c r="D31" s="43"/>
      <c r="E31" s="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25</v>
      </c>
      <c r="B32" s="43">
        <v>5339.64</v>
      </c>
      <c r="C32" s="43">
        <f>38706.73-145.87-1115.09</f>
        <v>37445.770000000004</v>
      </c>
      <c r="D32" s="43">
        <f>32244.28+2097.1</f>
        <v>34341.379999999997</v>
      </c>
      <c r="E32" s="45">
        <f t="shared" si="0"/>
        <v>8444.0300000000061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53"/>
      <c r="B33" s="43"/>
      <c r="C33" s="44"/>
      <c r="D33" s="44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A34" s="13" t="s">
        <v>109</v>
      </c>
      <c r="B34" s="54">
        <v>2844.69</v>
      </c>
      <c r="C34" s="55">
        <f>35963.59-186.77-93.73</f>
        <v>35683.089999999997</v>
      </c>
      <c r="D34" s="55">
        <f>29724.04+1909.43</f>
        <v>31633.47</v>
      </c>
      <c r="E34" s="45">
        <f t="shared" si="0"/>
        <v>6894.3099999999959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/>
      <c r="B35" s="44"/>
      <c r="C35" s="44"/>
      <c r="D35" s="44"/>
      <c r="E35" s="45">
        <f>C35-D35+B35</f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x14ac:dyDescent="0.25">
      <c r="A36" s="13" t="s">
        <v>27</v>
      </c>
      <c r="B36" s="44">
        <f>654.68+404.25</f>
        <v>1058.9299999999998</v>
      </c>
      <c r="C36" s="44">
        <f>8781+5788.08</f>
        <v>14569.08</v>
      </c>
      <c r="D36" s="44">
        <f>7875.5+4310.98+637.53+460.21</f>
        <v>13284.22</v>
      </c>
      <c r="E36" s="45">
        <f t="shared" si="0"/>
        <v>2343.7900000000004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16" t="s">
        <v>28</v>
      </c>
      <c r="B37" s="46"/>
      <c r="C37" s="46"/>
      <c r="D37" s="46"/>
      <c r="E37" s="47">
        <f t="shared" si="0"/>
        <v>0</v>
      </c>
      <c r="K37" s="3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57" t="s">
        <v>29</v>
      </c>
      <c r="B38" s="58">
        <f>B20+B21+B22+B23+B24+B25+B26+B27+B34+B35+B36+B37</f>
        <v>62455.590000000004</v>
      </c>
      <c r="C38" s="58">
        <f>C20+C21+C22+C23+C24+C25+C26+C27+C34+C35+C36+C37</f>
        <v>465364.91000000009</v>
      </c>
      <c r="D38" s="58">
        <f>D20+D21+D22+D23+D24+D25+D26+D27+D34+D35+D36+D37</f>
        <v>426255.1</v>
      </c>
      <c r="E38" s="59">
        <f>E20+E21+E22+E23+E24+E25+E27+E34+E35+E36+E37+E26</f>
        <v>101565.40000000001</v>
      </c>
      <c r="F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x14ac:dyDescent="0.25">
      <c r="A39" s="60"/>
      <c r="B39" s="61"/>
      <c r="C39" s="56"/>
      <c r="D39" s="149"/>
      <c r="E39" s="149"/>
      <c r="F39" s="150"/>
      <c r="G39" s="151"/>
      <c r="H39" s="151"/>
      <c r="I39" s="109"/>
      <c r="J39" s="109"/>
      <c r="K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60"/>
      <c r="B40" s="61"/>
      <c r="C40" s="56"/>
      <c r="D40" s="114"/>
      <c r="E40" s="114"/>
      <c r="F40" s="152"/>
      <c r="G40" s="109"/>
      <c r="H40" s="109"/>
      <c r="I40" s="109"/>
      <c r="J40" s="109"/>
    </row>
    <row r="41" spans="1:22" ht="15.75" thickBot="1" x14ac:dyDescent="0.3">
      <c r="A41" s="62" t="s">
        <v>30</v>
      </c>
      <c r="B41" s="63">
        <f>B43+B58+B59+B56+B61+B57+B60</f>
        <v>440860.23023705289</v>
      </c>
      <c r="C41" s="64" t="s">
        <v>31</v>
      </c>
      <c r="D41" s="114">
        <f>C38-B41-B61</f>
        <v>23735.516115184724</v>
      </c>
      <c r="E41" s="110" t="s">
        <v>32</v>
      </c>
      <c r="F41" s="158">
        <v>5228898.0599999996</v>
      </c>
      <c r="G41" s="158">
        <f>F41/F47*C8</f>
        <v>23005.298503682134</v>
      </c>
      <c r="H41" s="109"/>
      <c r="I41" s="109"/>
      <c r="J41" s="136"/>
    </row>
    <row r="42" spans="1:22" x14ac:dyDescent="0.25">
      <c r="A42" s="65"/>
      <c r="B42" s="66"/>
      <c r="C42" s="67"/>
      <c r="D42" s="114"/>
      <c r="E42" s="110" t="s">
        <v>33</v>
      </c>
      <c r="F42" s="158">
        <v>1017312.51</v>
      </c>
      <c r="G42" s="158">
        <f>F42/F47*C8</f>
        <v>4475.8145398000197</v>
      </c>
      <c r="H42" s="109"/>
      <c r="I42" s="109"/>
      <c r="J42" s="136"/>
    </row>
    <row r="43" spans="1:22" x14ac:dyDescent="0.25">
      <c r="A43" s="68" t="s">
        <v>34</v>
      </c>
      <c r="B43" s="69">
        <f>B44+B45+B47+B48+B49+B50+B51+B52+B53+B54+B55+B46</f>
        <v>95731.144824584451</v>
      </c>
      <c r="C43" s="70" t="s">
        <v>31</v>
      </c>
      <c r="D43" s="114"/>
      <c r="E43" s="110" t="s">
        <v>35</v>
      </c>
      <c r="F43" s="158">
        <v>174824</v>
      </c>
      <c r="G43" s="158">
        <f>F43/F47*C8</f>
        <v>769.16364776247428</v>
      </c>
      <c r="H43" s="109"/>
      <c r="I43" s="109"/>
      <c r="J43" s="136"/>
    </row>
    <row r="44" spans="1:22" x14ac:dyDescent="0.25">
      <c r="A44" s="71" t="s">
        <v>112</v>
      </c>
      <c r="B44" s="72">
        <v>22389.81</v>
      </c>
      <c r="C44" s="73" t="s">
        <v>31</v>
      </c>
      <c r="D44" s="114"/>
      <c r="E44" s="110" t="s">
        <v>18</v>
      </c>
      <c r="F44" s="158">
        <v>206457.71</v>
      </c>
      <c r="G44" s="158">
        <f>F44/F47*C8</f>
        <v>908.34076175060102</v>
      </c>
      <c r="H44" s="109"/>
      <c r="I44" s="109"/>
      <c r="J44" s="136"/>
    </row>
    <row r="45" spans="1:22" x14ac:dyDescent="0.25">
      <c r="A45" s="74" t="s">
        <v>37</v>
      </c>
      <c r="B45" s="72">
        <f>G41+G42</f>
        <v>27481.113043482153</v>
      </c>
      <c r="C45" s="73" t="s">
        <v>31</v>
      </c>
      <c r="D45" s="114"/>
      <c r="E45" s="159" t="s">
        <v>38</v>
      </c>
      <c r="F45" s="158">
        <f>7706.9+43200</f>
        <v>50906.9</v>
      </c>
      <c r="G45" s="158">
        <f>F45/F47*C8</f>
        <v>223.97232016359024</v>
      </c>
      <c r="H45" s="109"/>
      <c r="I45" s="109">
        <v>35134.480000000003</v>
      </c>
      <c r="J45" s="136"/>
    </row>
    <row r="46" spans="1:22" x14ac:dyDescent="0.25">
      <c r="A46" s="74" t="s">
        <v>39</v>
      </c>
      <c r="B46" s="72">
        <v>2070</v>
      </c>
      <c r="C46" s="73" t="s">
        <v>31</v>
      </c>
      <c r="D46" s="114"/>
      <c r="E46" s="158" t="s">
        <v>12</v>
      </c>
      <c r="F46" s="158">
        <f>7038875.3-F45</f>
        <v>6987968.3999999994</v>
      </c>
      <c r="G46" s="158">
        <f>F46/F47*C8</f>
        <v>30744.584639368168</v>
      </c>
      <c r="H46" s="109"/>
      <c r="I46" s="109"/>
      <c r="J46" s="136"/>
    </row>
    <row r="47" spans="1:22" x14ac:dyDescent="0.25">
      <c r="A47" s="71" t="s">
        <v>40</v>
      </c>
      <c r="B47" s="72">
        <f>G45+3313.65</f>
        <v>3537.6223201635903</v>
      </c>
      <c r="C47" s="73" t="s">
        <v>31</v>
      </c>
      <c r="D47" s="114"/>
      <c r="E47" s="160" t="s">
        <v>41</v>
      </c>
      <c r="F47" s="161">
        <v>111781.73</v>
      </c>
      <c r="G47" s="158"/>
      <c r="H47" s="109"/>
      <c r="I47" s="109"/>
      <c r="J47" s="136"/>
    </row>
    <row r="48" spans="1:22" x14ac:dyDescent="0.25">
      <c r="A48" s="71" t="s">
        <v>42</v>
      </c>
      <c r="B48" s="72">
        <f>G44</f>
        <v>908.34076175060102</v>
      </c>
      <c r="C48" s="73" t="s">
        <v>31</v>
      </c>
      <c r="D48" s="114"/>
      <c r="E48" s="161"/>
      <c r="F48" s="158">
        <f>F45*0.6559</f>
        <v>33389.835709999999</v>
      </c>
      <c r="G48" s="158"/>
      <c r="H48" s="109"/>
      <c r="I48" s="109"/>
      <c r="J48" s="136"/>
    </row>
    <row r="49" spans="1:12" x14ac:dyDescent="0.25">
      <c r="A49" s="71" t="s">
        <v>43</v>
      </c>
      <c r="B49" s="72">
        <f>G46</f>
        <v>30744.584639368168</v>
      </c>
      <c r="C49" s="73" t="s">
        <v>31</v>
      </c>
      <c r="D49" s="114"/>
      <c r="E49" s="117" t="s">
        <v>102</v>
      </c>
      <c r="F49" s="117">
        <f>2946.5</f>
        <v>2946.5</v>
      </c>
      <c r="G49" s="117">
        <f>F49/F47*C8</f>
        <v>12.963555851211106</v>
      </c>
      <c r="H49" s="109"/>
      <c r="I49" s="109"/>
      <c r="J49" s="136"/>
    </row>
    <row r="50" spans="1:12" x14ac:dyDescent="0.25">
      <c r="A50" s="71" t="s">
        <v>44</v>
      </c>
      <c r="B50" s="72">
        <f>F53</f>
        <v>340.04807190716315</v>
      </c>
      <c r="C50" s="73" t="s">
        <v>31</v>
      </c>
      <c r="D50" s="114"/>
      <c r="E50" s="114"/>
      <c r="F50" s="162"/>
      <c r="G50" s="163"/>
      <c r="H50" s="109"/>
      <c r="I50" s="109"/>
      <c r="J50" s="136"/>
    </row>
    <row r="51" spans="1:12" x14ac:dyDescent="0.25">
      <c r="A51" s="71" t="s">
        <v>45</v>
      </c>
      <c r="B51" s="72">
        <f>G49</f>
        <v>12.963555851211106</v>
      </c>
      <c r="C51" s="73" t="s">
        <v>31</v>
      </c>
      <c r="D51" s="114"/>
      <c r="E51" s="114" t="s">
        <v>100</v>
      </c>
      <c r="F51" s="162">
        <v>20905.240000000002</v>
      </c>
      <c r="G51" s="163"/>
      <c r="H51" s="109"/>
      <c r="I51" s="109"/>
      <c r="J51" s="136"/>
    </row>
    <row r="52" spans="1:12" x14ac:dyDescent="0.25">
      <c r="A52" s="71" t="s">
        <v>46</v>
      </c>
      <c r="B52" s="72"/>
      <c r="C52" s="73" t="s">
        <v>31</v>
      </c>
      <c r="D52" s="114"/>
      <c r="E52" s="114" t="s">
        <v>93</v>
      </c>
      <c r="F52" s="162">
        <v>30234.54</v>
      </c>
      <c r="G52" s="163"/>
      <c r="H52" s="109"/>
      <c r="I52" s="109"/>
      <c r="J52" s="136"/>
    </row>
    <row r="53" spans="1:12" x14ac:dyDescent="0.25">
      <c r="A53" s="71" t="s">
        <v>47</v>
      </c>
      <c r="B53" s="72"/>
      <c r="C53" s="73" t="s">
        <v>31</v>
      </c>
      <c r="D53" s="114"/>
      <c r="E53" s="114" t="s">
        <v>120</v>
      </c>
      <c r="F53" s="162">
        <f>F51/F52*C8</f>
        <v>340.04807190716315</v>
      </c>
      <c r="G53" s="163"/>
      <c r="H53" s="109"/>
      <c r="I53" s="109"/>
      <c r="J53" s="136"/>
    </row>
    <row r="54" spans="1:12" x14ac:dyDescent="0.25">
      <c r="A54" s="71" t="s">
        <v>48</v>
      </c>
      <c r="B54" s="72">
        <v>1771.2</v>
      </c>
      <c r="C54" s="73" t="s">
        <v>31</v>
      </c>
      <c r="D54" s="114"/>
      <c r="E54" s="114"/>
      <c r="F54" s="152"/>
      <c r="G54" s="109"/>
      <c r="H54" s="109"/>
      <c r="I54" s="109"/>
      <c r="J54" s="109"/>
    </row>
    <row r="55" spans="1:12" x14ac:dyDescent="0.25">
      <c r="A55" s="71" t="s">
        <v>49</v>
      </c>
      <c r="B55" s="72">
        <f>(B45+B46+B47+B48+B49+B51+B52+B53)*0.1</f>
        <v>6475.4624320615731</v>
      </c>
      <c r="C55" s="73" t="s">
        <v>31</v>
      </c>
      <c r="D55" s="114"/>
      <c r="E55" s="114"/>
      <c r="F55" s="152"/>
      <c r="G55" s="109"/>
      <c r="H55" s="109"/>
      <c r="I55" s="109"/>
      <c r="J55" s="109"/>
    </row>
    <row r="56" spans="1:12" x14ac:dyDescent="0.25">
      <c r="A56" s="68" t="s">
        <v>50</v>
      </c>
      <c r="B56" s="69">
        <f>C76</f>
        <v>0</v>
      </c>
      <c r="C56" s="70" t="s">
        <v>31</v>
      </c>
      <c r="D56" s="149"/>
      <c r="E56" s="149"/>
      <c r="F56" s="150"/>
      <c r="G56" s="151"/>
      <c r="H56" s="151"/>
      <c r="I56" s="109"/>
      <c r="J56" s="109"/>
    </row>
    <row r="57" spans="1:12" x14ac:dyDescent="0.25">
      <c r="A57" s="68" t="s">
        <v>51</v>
      </c>
      <c r="B57" s="69"/>
      <c r="C57" s="70" t="s">
        <v>31</v>
      </c>
      <c r="D57" s="149"/>
      <c r="E57" s="149"/>
      <c r="F57" s="150"/>
      <c r="G57" s="151"/>
      <c r="H57" s="151"/>
    </row>
    <row r="58" spans="1:12" x14ac:dyDescent="0.25">
      <c r="A58" s="68" t="s">
        <v>52</v>
      </c>
      <c r="B58" s="69">
        <f>L75</f>
        <v>293488.37000000005</v>
      </c>
      <c r="C58" s="70" t="s">
        <v>31</v>
      </c>
      <c r="D58" s="56"/>
      <c r="E58" s="56"/>
      <c r="F58" s="3"/>
    </row>
    <row r="59" spans="1:12" x14ac:dyDescent="0.25">
      <c r="A59" s="68" t="s">
        <v>53</v>
      </c>
      <c r="B59" s="69">
        <v>36588.14</v>
      </c>
      <c r="C59" s="70" t="s">
        <v>54</v>
      </c>
      <c r="D59" s="56"/>
      <c r="E59" s="56"/>
      <c r="F59" s="3"/>
    </row>
    <row r="60" spans="1:12" x14ac:dyDescent="0.25">
      <c r="A60" s="164" t="s">
        <v>113</v>
      </c>
      <c r="B60" s="165">
        <f>C36/1.02</f>
        <v>14283.411764705883</v>
      </c>
      <c r="C60" s="166"/>
      <c r="D60" s="56"/>
      <c r="E60" s="56"/>
      <c r="F60" s="3"/>
    </row>
    <row r="61" spans="1:12" ht="15.75" thickBot="1" x14ac:dyDescent="0.3">
      <c r="A61" s="75" t="s">
        <v>114</v>
      </c>
      <c r="B61" s="76">
        <f>G43</f>
        <v>769.16364776247428</v>
      </c>
      <c r="C61" s="77" t="s">
        <v>31</v>
      </c>
      <c r="D61" s="56"/>
      <c r="E61" s="56"/>
      <c r="F61" s="3"/>
      <c r="I61" s="79"/>
      <c r="J61" s="79" t="s">
        <v>56</v>
      </c>
      <c r="K61" s="79"/>
      <c r="L61" s="79" t="s">
        <v>57</v>
      </c>
    </row>
    <row r="62" spans="1:12" x14ac:dyDescent="0.25">
      <c r="A62" s="60"/>
      <c r="B62" s="61"/>
      <c r="C62" s="56"/>
      <c r="D62" s="56"/>
      <c r="E62" s="56"/>
      <c r="F62" s="3"/>
      <c r="I62" s="78" t="s">
        <v>64</v>
      </c>
      <c r="J62" s="129">
        <f>40179.53+424.93</f>
        <v>40604.46</v>
      </c>
      <c r="K62" s="78"/>
      <c r="L62" s="129">
        <f t="shared" ref="L62:L67" si="1">2212.5+4430.19</f>
        <v>6642.69</v>
      </c>
    </row>
    <row r="63" spans="1:12" x14ac:dyDescent="0.25">
      <c r="A63" s="60" t="s">
        <v>98</v>
      </c>
      <c r="B63" s="3">
        <f>C38+B42-B41</f>
        <v>24504.679762947198</v>
      </c>
      <c r="C63" s="56" t="s">
        <v>31</v>
      </c>
      <c r="D63" s="56"/>
      <c r="E63" s="56"/>
      <c r="F63" s="3"/>
      <c r="I63" s="78" t="s">
        <v>66</v>
      </c>
      <c r="J63" s="129">
        <f>25365.17+610.37</f>
        <v>25975.539999999997</v>
      </c>
      <c r="K63" s="78"/>
      <c r="L63" s="129">
        <f t="shared" si="1"/>
        <v>6642.69</v>
      </c>
    </row>
    <row r="64" spans="1:12" x14ac:dyDescent="0.25">
      <c r="A64" s="60" t="s">
        <v>99</v>
      </c>
      <c r="B64" s="2">
        <f>B65+B66+B67+B68+B69+B70</f>
        <v>24504.679762947169</v>
      </c>
      <c r="C64" s="56" t="s">
        <v>31</v>
      </c>
      <c r="D64" s="56"/>
      <c r="E64" s="56"/>
      <c r="F64" s="3"/>
      <c r="I64" s="78" t="s">
        <v>67</v>
      </c>
      <c r="J64" s="129">
        <f>23072.29+706.88</f>
        <v>23779.170000000002</v>
      </c>
      <c r="K64" s="78"/>
      <c r="L64" s="129">
        <f t="shared" si="1"/>
        <v>6642.69</v>
      </c>
    </row>
    <row r="65" spans="1:12" x14ac:dyDescent="0.25">
      <c r="A65" s="80" t="s">
        <v>58</v>
      </c>
      <c r="B65" s="81">
        <f>C20-B43-B61</f>
        <v>15984.331527653074</v>
      </c>
      <c r="C65" s="56" t="s">
        <v>31</v>
      </c>
      <c r="D65" s="56"/>
      <c r="E65" s="56"/>
      <c r="F65" s="3"/>
      <c r="I65" s="78" t="s">
        <v>68</v>
      </c>
      <c r="J65" s="129">
        <f>17605.8+569.18</f>
        <v>18174.98</v>
      </c>
      <c r="K65" s="78"/>
      <c r="L65" s="129">
        <f t="shared" si="1"/>
        <v>6642.69</v>
      </c>
    </row>
    <row r="66" spans="1:12" x14ac:dyDescent="0.25">
      <c r="A66" s="80" t="s">
        <v>59</v>
      </c>
      <c r="B66" s="81">
        <f>C22-B56</f>
        <v>0</v>
      </c>
      <c r="C66" s="56" t="s">
        <v>31</v>
      </c>
      <c r="D66" s="56"/>
      <c r="E66" s="56"/>
      <c r="F66" s="3"/>
      <c r="I66" s="78" t="s">
        <v>69</v>
      </c>
      <c r="J66" s="129">
        <f>4973.83+575.6</f>
        <v>5549.43</v>
      </c>
      <c r="K66" s="78"/>
      <c r="L66" s="129">
        <f t="shared" si="1"/>
        <v>6642.69</v>
      </c>
    </row>
    <row r="67" spans="1:12" x14ac:dyDescent="0.25">
      <c r="A67" s="80" t="s">
        <v>60</v>
      </c>
      <c r="B67" s="81">
        <f>C26-B57</f>
        <v>0</v>
      </c>
      <c r="C67" s="56" t="s">
        <v>31</v>
      </c>
      <c r="D67" s="56"/>
      <c r="E67" s="56"/>
      <c r="F67" s="3"/>
      <c r="I67" s="78" t="s">
        <v>70</v>
      </c>
      <c r="J67" s="129">
        <f>1265.4+648.65</f>
        <v>1914.0500000000002</v>
      </c>
      <c r="K67" s="78"/>
      <c r="L67" s="129">
        <f t="shared" si="1"/>
        <v>6642.69</v>
      </c>
    </row>
    <row r="68" spans="1:12" x14ac:dyDescent="0.25">
      <c r="A68" s="80" t="s">
        <v>61</v>
      </c>
      <c r="B68" s="81">
        <f>C27-B58</f>
        <v>9139.7299999999814</v>
      </c>
      <c r="C68" s="56" t="s">
        <v>31</v>
      </c>
      <c r="D68" s="56"/>
      <c r="E68" s="56"/>
      <c r="F68" s="3"/>
      <c r="I68" s="78" t="s">
        <v>71</v>
      </c>
      <c r="J68" s="129">
        <f>1341.2+1829.46</f>
        <v>3170.66</v>
      </c>
      <c r="K68" s="78"/>
      <c r="L68" s="129">
        <f>2343.48+4687.9</f>
        <v>7031.3799999999992</v>
      </c>
    </row>
    <row r="69" spans="1:12" x14ac:dyDescent="0.25">
      <c r="A69" s="80" t="s">
        <v>62</v>
      </c>
      <c r="B69" s="81">
        <f>C34-B59</f>
        <v>-905.05000000000291</v>
      </c>
      <c r="C69" s="56" t="s">
        <v>31</v>
      </c>
      <c r="D69" s="56"/>
      <c r="E69" s="56"/>
      <c r="F69" s="3"/>
      <c r="I69" s="78" t="s">
        <v>72</v>
      </c>
      <c r="J69" s="129">
        <f>1341.2+673.18</f>
        <v>2014.38</v>
      </c>
      <c r="K69" s="78"/>
      <c r="L69" s="129">
        <f>2343.48+4687.9</f>
        <v>7031.3799999999992</v>
      </c>
    </row>
    <row r="70" spans="1:12" x14ac:dyDescent="0.25">
      <c r="A70" s="80" t="s">
        <v>115</v>
      </c>
      <c r="B70" s="81">
        <f>C36-B60</f>
        <v>285.66823529411704</v>
      </c>
      <c r="C70" s="56" t="s">
        <v>31</v>
      </c>
      <c r="I70" s="78" t="s">
        <v>73</v>
      </c>
      <c r="J70" s="129">
        <f>5614.03+765.41</f>
        <v>6379.44</v>
      </c>
      <c r="K70" s="78"/>
      <c r="L70" s="129">
        <f>2474.46+4951.75</f>
        <v>7426.21</v>
      </c>
    </row>
    <row r="71" spans="1:12" ht="15.75" thickBot="1" x14ac:dyDescent="0.3">
      <c r="A71" s="80"/>
      <c r="B71" s="81"/>
      <c r="C71" s="56"/>
      <c r="D71" s="111"/>
      <c r="E71" s="112"/>
      <c r="F71" s="113"/>
      <c r="G71" s="109"/>
      <c r="I71" s="78" t="s">
        <v>74</v>
      </c>
      <c r="J71" s="129">
        <f>16422.87+530.27</f>
        <v>16953.14</v>
      </c>
      <c r="K71" s="78"/>
      <c r="L71" s="129">
        <v>7426.21</v>
      </c>
    </row>
    <row r="72" spans="1:12" ht="15.75" thickBot="1" x14ac:dyDescent="0.3">
      <c r="A72" s="155" t="s">
        <v>121</v>
      </c>
      <c r="B72" s="156"/>
      <c r="C72" s="157"/>
      <c r="D72" s="114"/>
      <c r="E72" s="114"/>
      <c r="F72" s="114"/>
      <c r="G72" s="109"/>
      <c r="I72" s="78" t="s">
        <v>75</v>
      </c>
      <c r="J72" s="129">
        <f>28511.62+581.55</f>
        <v>29093.17</v>
      </c>
      <c r="K72" s="78"/>
      <c r="L72" s="129">
        <f>2474.46+4951.75</f>
        <v>7426.21</v>
      </c>
    </row>
    <row r="73" spans="1:12" ht="51.75" thickBot="1" x14ac:dyDescent="0.3">
      <c r="A73" s="82" t="s">
        <v>116</v>
      </c>
      <c r="B73" s="83" t="s">
        <v>63</v>
      </c>
      <c r="C73" s="84" t="s">
        <v>96</v>
      </c>
      <c r="D73" s="115"/>
      <c r="E73" s="116"/>
      <c r="F73" s="117"/>
      <c r="G73" s="109"/>
      <c r="I73" s="86" t="s">
        <v>76</v>
      </c>
      <c r="J73" s="130">
        <f>43062.54+619.88</f>
        <v>43682.42</v>
      </c>
      <c r="K73" s="86"/>
      <c r="L73" s="130">
        <v>0</v>
      </c>
    </row>
    <row r="74" spans="1:12" x14ac:dyDescent="0.25">
      <c r="A74" s="85" t="s">
        <v>65</v>
      </c>
      <c r="B74" s="134" t="s">
        <v>31</v>
      </c>
      <c r="C74" s="135" t="s">
        <v>31</v>
      </c>
      <c r="D74" s="115"/>
      <c r="E74" s="116"/>
      <c r="F74" s="117"/>
      <c r="G74" s="109"/>
      <c r="I74" s="87"/>
      <c r="J74" s="88"/>
      <c r="K74" s="88"/>
      <c r="L74" s="131"/>
    </row>
    <row r="75" spans="1:12" ht="15.75" thickBot="1" x14ac:dyDescent="0.3">
      <c r="A75" s="53"/>
      <c r="B75" s="43"/>
      <c r="C75" s="124"/>
      <c r="D75" s="115"/>
      <c r="E75" s="116"/>
      <c r="F75" s="117"/>
      <c r="G75" s="109"/>
      <c r="I75" s="92" t="s">
        <v>77</v>
      </c>
      <c r="J75" s="93"/>
      <c r="K75" s="93"/>
      <c r="L75" s="132">
        <f>J62+J63+J64+J65+J66+J67+J68+J69+J70+J71+J72+J73+L62+L63+L64+L65+L66+L67+L68+L69+L70+L71+L72+L73+N29</f>
        <v>293488.37000000005</v>
      </c>
    </row>
    <row r="76" spans="1:12" ht="15.75" thickBot="1" x14ac:dyDescent="0.3">
      <c r="A76" s="89" t="s">
        <v>5</v>
      </c>
      <c r="B76" s="90">
        <f>B75</f>
        <v>0</v>
      </c>
      <c r="C76" s="91">
        <f>C75</f>
        <v>0</v>
      </c>
      <c r="D76" s="118"/>
      <c r="E76" s="116"/>
      <c r="F76" s="117"/>
      <c r="G76" s="109"/>
    </row>
    <row r="77" spans="1:12" x14ac:dyDescent="0.25">
      <c r="A77" s="31"/>
      <c r="B77" s="33"/>
      <c r="C77" s="98"/>
      <c r="D77" s="118"/>
      <c r="E77" s="116"/>
      <c r="F77" s="117"/>
      <c r="G77" s="109"/>
    </row>
    <row r="78" spans="1:12" x14ac:dyDescent="0.25">
      <c r="A78" s="60"/>
      <c r="B78" s="33"/>
      <c r="C78" s="98"/>
      <c r="D78" s="118"/>
      <c r="E78" s="116"/>
      <c r="F78" s="117"/>
      <c r="G78" s="109"/>
      <c r="I78" s="1" t="s">
        <v>78</v>
      </c>
      <c r="J78" s="1"/>
      <c r="K78" s="1"/>
      <c r="L78" s="2">
        <f>C27-L75</f>
        <v>9139.7299999999814</v>
      </c>
    </row>
    <row r="79" spans="1:12" x14ac:dyDescent="0.25">
      <c r="A79" s="60" t="s">
        <v>79</v>
      </c>
      <c r="B79" s="33"/>
      <c r="D79" s="118"/>
      <c r="E79" s="116"/>
      <c r="F79" s="117"/>
      <c r="G79" s="109"/>
    </row>
    <row r="80" spans="1:12" x14ac:dyDescent="0.25">
      <c r="A80" s="60" t="s">
        <v>34</v>
      </c>
      <c r="B80" s="20">
        <f>B43/C8/12</f>
        <v>16.22121879229098</v>
      </c>
      <c r="C80" s="101" t="s">
        <v>80</v>
      </c>
      <c r="D80" s="118"/>
      <c r="E80" s="116"/>
      <c r="F80" s="117"/>
      <c r="G80" s="109"/>
    </row>
    <row r="81" spans="1:7" x14ac:dyDescent="0.25">
      <c r="A81" s="60" t="s">
        <v>81</v>
      </c>
      <c r="B81" s="20">
        <f>B56/C8/12</f>
        <v>0</v>
      </c>
      <c r="C81" s="101" t="s">
        <v>80</v>
      </c>
      <c r="D81" s="118"/>
      <c r="E81" s="116"/>
      <c r="F81" s="117"/>
      <c r="G81" s="109"/>
    </row>
    <row r="82" spans="1:7" x14ac:dyDescent="0.25">
      <c r="A82" s="60" t="s">
        <v>82</v>
      </c>
      <c r="B82" s="20">
        <f>B57/C8/12</f>
        <v>0</v>
      </c>
      <c r="C82" s="101" t="s">
        <v>80</v>
      </c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x14ac:dyDescent="0.25">
      <c r="A84" s="60"/>
      <c r="B84" s="33"/>
      <c r="C84" s="101"/>
      <c r="D84" s="110"/>
      <c r="E84" s="114"/>
      <c r="F84" s="119"/>
      <c r="G84" s="109"/>
    </row>
    <row r="85" spans="1:7" x14ac:dyDescent="0.25">
      <c r="A85" s="19"/>
      <c r="B85" s="20"/>
      <c r="C85" s="101"/>
      <c r="D85" s="118"/>
      <c r="E85" s="116"/>
      <c r="F85" s="109"/>
      <c r="G85" s="109"/>
    </row>
    <row r="86" spans="1:7" x14ac:dyDescent="0.25">
      <c r="A86" s="19" t="s">
        <v>83</v>
      </c>
      <c r="B86" s="20"/>
      <c r="C86" s="98"/>
      <c r="E86" s="116"/>
      <c r="F86" s="109"/>
      <c r="G86" s="109"/>
    </row>
    <row r="87" spans="1:7" x14ac:dyDescent="0.25">
      <c r="A87" s="31"/>
      <c r="B87" s="33"/>
      <c r="C87" s="105"/>
      <c r="D87" s="133" t="s">
        <v>95</v>
      </c>
      <c r="E87" s="116"/>
      <c r="F87" s="109"/>
      <c r="G87" s="109"/>
    </row>
    <row r="88" spans="1:7" x14ac:dyDescent="0.25">
      <c r="A88" s="103"/>
      <c r="B88" s="104"/>
      <c r="C88" s="105"/>
      <c r="D88" s="118"/>
      <c r="E88" s="116"/>
      <c r="F88" s="109"/>
      <c r="G88" s="109"/>
    </row>
    <row r="89" spans="1:7" x14ac:dyDescent="0.25">
      <c r="A89" s="103"/>
      <c r="B89" s="104"/>
      <c r="C89" s="105"/>
      <c r="D89" s="99"/>
      <c r="E89" s="100"/>
    </row>
    <row r="90" spans="1:7" x14ac:dyDescent="0.25">
      <c r="A90" s="103"/>
      <c r="B90" s="104"/>
      <c r="C90" s="105"/>
      <c r="D90" s="99"/>
      <c r="E90" s="100"/>
    </row>
    <row r="91" spans="1:7" x14ac:dyDescent="0.25">
      <c r="A91" s="103"/>
      <c r="B91" s="104"/>
      <c r="C91" s="98"/>
      <c r="D91" s="99"/>
      <c r="E91" s="100"/>
    </row>
    <row r="92" spans="1:7" x14ac:dyDescent="0.25">
      <c r="A92" s="31"/>
      <c r="B92" s="33"/>
      <c r="C92" s="98"/>
      <c r="D92" s="99"/>
      <c r="E92" s="100"/>
    </row>
    <row r="93" spans="1:7" x14ac:dyDescent="0.25">
      <c r="A93" s="31"/>
      <c r="B93" s="33"/>
      <c r="C93" s="56"/>
      <c r="D93" s="99"/>
      <c r="E93" s="100"/>
    </row>
    <row r="94" spans="1:7" x14ac:dyDescent="0.25">
      <c r="A94" s="19"/>
      <c r="B94" s="20"/>
      <c r="C94" s="56"/>
      <c r="D94" s="56"/>
      <c r="E94" s="56"/>
    </row>
    <row r="95" spans="1:7" x14ac:dyDescent="0.25">
      <c r="A95" s="19"/>
      <c r="B95" s="20"/>
      <c r="C95" s="56"/>
      <c r="D95" s="102"/>
      <c r="E95" s="56"/>
    </row>
    <row r="96" spans="1:7" x14ac:dyDescent="0.25">
      <c r="A96" s="19"/>
      <c r="B96" s="20"/>
      <c r="C96" s="100"/>
      <c r="D96" s="99"/>
      <c r="E96" s="100"/>
    </row>
    <row r="97" spans="1:6" x14ac:dyDescent="0.25">
      <c r="A97" s="31"/>
      <c r="B97" s="33"/>
      <c r="C97" s="100"/>
      <c r="D97" s="99"/>
      <c r="E97" s="100"/>
    </row>
    <row r="98" spans="1:6" x14ac:dyDescent="0.25">
      <c r="A98" s="31"/>
      <c r="B98" s="33"/>
      <c r="C98" s="100"/>
      <c r="D98" s="105"/>
      <c r="E98" s="100"/>
    </row>
    <row r="99" spans="1:6" x14ac:dyDescent="0.25">
      <c r="A99" s="107"/>
      <c r="B99" s="108"/>
      <c r="C99" s="100"/>
      <c r="D99" s="105"/>
      <c r="E99" s="100"/>
    </row>
    <row r="100" spans="1:6" x14ac:dyDescent="0.25">
      <c r="A100" s="107"/>
      <c r="B100" s="108"/>
      <c r="C100" s="100"/>
      <c r="D100" s="105"/>
      <c r="E100" s="100"/>
      <c r="F100" s="106"/>
    </row>
    <row r="101" spans="1:6" x14ac:dyDescent="0.25">
      <c r="A101" s="31"/>
      <c r="B101" s="33"/>
      <c r="C101" s="100"/>
      <c r="D101" s="105"/>
      <c r="E101" s="100"/>
    </row>
    <row r="102" spans="1:6" x14ac:dyDescent="0.25">
      <c r="A102" s="31"/>
      <c r="B102" s="33"/>
      <c r="C102" s="56"/>
      <c r="D102" s="98"/>
      <c r="E102" s="100"/>
    </row>
    <row r="103" spans="1:6" x14ac:dyDescent="0.25">
      <c r="A103" s="19"/>
      <c r="B103" s="20"/>
      <c r="C103" s="100"/>
      <c r="D103" s="98"/>
      <c r="E103" s="100"/>
    </row>
    <row r="104" spans="1:6" x14ac:dyDescent="0.25">
      <c r="A104" s="31"/>
      <c r="B104" s="33"/>
      <c r="C104" s="100"/>
      <c r="D104" s="56"/>
      <c r="E104" s="56"/>
      <c r="F104" s="3"/>
    </row>
    <row r="105" spans="1:6" x14ac:dyDescent="0.25">
      <c r="A105" s="31"/>
      <c r="B105" s="33"/>
      <c r="C105" s="33"/>
      <c r="D105" s="56"/>
      <c r="E105" s="100"/>
    </row>
    <row r="106" spans="1:6" x14ac:dyDescent="0.25">
      <c r="A106" s="31"/>
      <c r="B106" s="33"/>
      <c r="C106" s="33"/>
      <c r="D106" s="56"/>
      <c r="E106" s="56"/>
    </row>
    <row r="107" spans="1:6" x14ac:dyDescent="0.25">
      <c r="A107" s="31"/>
      <c r="B107" s="33"/>
      <c r="C107" s="33"/>
      <c r="D107" s="100"/>
      <c r="E107" s="100"/>
    </row>
    <row r="108" spans="1:6" x14ac:dyDescent="0.25">
      <c r="A108" s="31"/>
      <c r="B108" s="33"/>
      <c r="D108" s="100"/>
      <c r="E108" s="100"/>
    </row>
    <row r="109" spans="1:6" x14ac:dyDescent="0.25">
      <c r="D109" s="100"/>
      <c r="E109" s="100"/>
    </row>
    <row r="110" spans="1:6" x14ac:dyDescent="0.25">
      <c r="D110" s="100"/>
      <c r="E110" s="100"/>
    </row>
    <row r="111" spans="1:6" x14ac:dyDescent="0.25">
      <c r="D111" s="100"/>
      <c r="E111" s="100"/>
    </row>
    <row r="112" spans="1:6" x14ac:dyDescent="0.25">
      <c r="D112" s="100"/>
      <c r="E112" s="100"/>
    </row>
    <row r="113" spans="2:6" x14ac:dyDescent="0.25">
      <c r="B113"/>
      <c r="C113"/>
      <c r="D113" s="56"/>
      <c r="E113" s="56"/>
      <c r="F113" s="3"/>
    </row>
    <row r="114" spans="2:6" x14ac:dyDescent="0.25">
      <c r="B114"/>
      <c r="C114"/>
      <c r="D114" s="100"/>
      <c r="E114" s="100"/>
      <c r="F114" s="3"/>
    </row>
    <row r="115" spans="2:6" x14ac:dyDescent="0.25">
      <c r="B115"/>
      <c r="C115"/>
      <c r="D115" s="100"/>
      <c r="E115" s="100"/>
    </row>
    <row r="116" spans="2:6" x14ac:dyDescent="0.25">
      <c r="B116"/>
      <c r="C116"/>
      <c r="D116" s="33"/>
      <c r="E116" s="33"/>
    </row>
    <row r="117" spans="2:6" x14ac:dyDescent="0.25">
      <c r="B117"/>
      <c r="C117"/>
      <c r="D117" s="33"/>
      <c r="E117" s="33"/>
    </row>
    <row r="118" spans="2:6" x14ac:dyDescent="0.25">
      <c r="D118" s="33"/>
      <c r="E118" s="33"/>
    </row>
  </sheetData>
  <pageMargins left="0.7" right="0.7" top="0.75" bottom="0.75" header="0.3" footer="0.3"/>
  <pageSetup paperSize="9"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19"/>
  <sheetViews>
    <sheetView topLeftCell="A30" workbookViewId="0">
      <selection activeCell="A77" sqref="A77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122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123</v>
      </c>
      <c r="B6" s="11"/>
      <c r="C6" s="11">
        <v>668.8</v>
      </c>
      <c r="D6" s="12">
        <v>45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668.8</v>
      </c>
      <c r="D8" s="18">
        <f>D6</f>
        <v>45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17.059999999999999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6.01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48336.67</v>
      </c>
      <c r="C20" s="41">
        <v>136916.64000000001</v>
      </c>
      <c r="D20" s="40">
        <f>126392.15+3644.79</f>
        <v>130036.93999999999</v>
      </c>
      <c r="E20" s="42">
        <f t="shared" ref="E20:E38" si="0">C20-D20+B20</f>
        <v>55216.370000000024</v>
      </c>
      <c r="F20" s="137">
        <f>C20+F22</f>
        <v>156915.48000000001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3283.65</v>
      </c>
      <c r="C22" s="44">
        <v>19998.84</v>
      </c>
      <c r="D22" s="43">
        <f>14581.38+1032.03</f>
        <v>15613.41</v>
      </c>
      <c r="E22" s="45">
        <f t="shared" si="0"/>
        <v>7669.08</v>
      </c>
      <c r="F22" s="137">
        <f>C22</f>
        <v>19998.84</v>
      </c>
      <c r="G22" s="139">
        <f>F22*G20/F20</f>
        <v>12.74497583030049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>
        <f>716.7-302.09</f>
        <v>414.61000000000007</v>
      </c>
      <c r="C27" s="44">
        <v>1800</v>
      </c>
      <c r="D27" s="44">
        <f>1538.81+89.77+181.77</f>
        <v>1810.35</v>
      </c>
      <c r="E27" s="45">
        <f t="shared" si="0"/>
        <v>404.26000000000016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143399.62999999998</v>
      </c>
      <c r="C28" s="50">
        <f>C29+C30+C31+C33</f>
        <v>392235.73</v>
      </c>
      <c r="D28" s="50">
        <f>D29+D30+D31+D33</f>
        <v>370689.24</v>
      </c>
      <c r="E28" s="51">
        <f>C28-D28+B28</f>
        <v>164946.11999999997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65603.12</v>
      </c>
      <c r="C29" s="40">
        <v>190848.76</v>
      </c>
      <c r="D29" s="40">
        <f>173093.46+5014.34</f>
        <v>178107.8</v>
      </c>
      <c r="E29" s="42">
        <f t="shared" si="0"/>
        <v>78344.080000000016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v>49369.74</v>
      </c>
      <c r="C30" s="43">
        <f>131030.52-784.04-2364.62</f>
        <v>127881.86000000002</v>
      </c>
      <c r="D30" s="43">
        <f>118194.13+3504.09</f>
        <v>121698.22</v>
      </c>
      <c r="E30" s="45">
        <f t="shared" si="0"/>
        <v>55553.380000000012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9747.34</v>
      </c>
      <c r="C31" s="43">
        <f>26613.56-174.03-518.17</f>
        <v>25921.360000000004</v>
      </c>
      <c r="D31" s="43">
        <f>24160.57+676.47</f>
        <v>24837.040000000001</v>
      </c>
      <c r="E31" s="45">
        <f t="shared" si="0"/>
        <v>10831.660000000003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106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18679.43</v>
      </c>
      <c r="C33" s="43">
        <f>48815.96-309.96-922.25</f>
        <v>47583.75</v>
      </c>
      <c r="D33" s="43">
        <f>44784.58+1261.6</f>
        <v>46046.18</v>
      </c>
      <c r="E33" s="45">
        <f t="shared" si="0"/>
        <v>20217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f>16613.44-625.99</f>
        <v>15987.449999999999</v>
      </c>
      <c r="C35" s="55">
        <f>41616.41+91.47</f>
        <v>41707.880000000005</v>
      </c>
      <c r="D35" s="55">
        <f>35628.09+986.13+4045.11</f>
        <v>40659.329999999994</v>
      </c>
      <c r="E35" s="45">
        <f t="shared" si="0"/>
        <v>17036.000000000007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>
        <f>4643.49+2592.29</f>
        <v>7235.78</v>
      </c>
      <c r="C37" s="44">
        <f>12567.76-1461.78+9745.92</f>
        <v>20851.900000000001</v>
      </c>
      <c r="D37" s="44">
        <f>11298.98+284.62+8866.51+392.66</f>
        <v>20842.77</v>
      </c>
      <c r="E37" s="45">
        <f t="shared" si="0"/>
        <v>7244.9100000000008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218657.78999999998</v>
      </c>
      <c r="C39" s="58">
        <f>C20+C21+C22+C23+C24+C25+C26+C28+C35+C36+C37+C38</f>
        <v>611710.99</v>
      </c>
      <c r="D39" s="58">
        <f>D20+D21+D22+D23+D24+D25+D26+D28+D35+D36+D37+D38+D27</f>
        <v>579652.03999999992</v>
      </c>
      <c r="E39" s="58">
        <f>E20+E21+E22+E23+E24+E25+E26+E28+E35+E36+E37+E38+E27</f>
        <v>252516.74000000002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56"/>
      <c r="E40" s="56"/>
      <c r="F40" s="167"/>
      <c r="G40" s="168"/>
      <c r="H40" s="168"/>
      <c r="I40" s="168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574400.93736799527</v>
      </c>
      <c r="C42" s="64" t="s">
        <v>31</v>
      </c>
      <c r="D42" s="114">
        <f>C39-B42-B62</f>
        <v>36264.065141920248</v>
      </c>
      <c r="E42" s="110" t="s">
        <v>32</v>
      </c>
      <c r="F42" s="158">
        <v>5228898.0599999996</v>
      </c>
      <c r="G42" s="158">
        <f>F42/F48*C8</f>
        <v>31284.960632904858</v>
      </c>
      <c r="H42" s="109"/>
      <c r="I42" s="109"/>
      <c r="J42" s="168"/>
    </row>
    <row r="43" spans="1:22" x14ac:dyDescent="0.25">
      <c r="A43" s="65"/>
      <c r="B43" s="66"/>
      <c r="C43" s="67"/>
      <c r="D43" s="114"/>
      <c r="E43" s="110" t="s">
        <v>33</v>
      </c>
      <c r="F43" s="158">
        <v>1017312.51</v>
      </c>
      <c r="G43" s="158">
        <f>F43/F48*C8</f>
        <v>6086.6709317166587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141895.01066222461</v>
      </c>
      <c r="C44" s="70" t="s">
        <v>31</v>
      </c>
      <c r="D44" s="114"/>
      <c r="E44" s="110" t="s">
        <v>35</v>
      </c>
      <c r="F44" s="158">
        <v>174824</v>
      </c>
      <c r="G44" s="158">
        <f>F44/F48*C8</f>
        <v>1045.9874900844709</v>
      </c>
      <c r="H44" s="109"/>
      <c r="I44" s="109"/>
      <c r="J44" s="168"/>
    </row>
    <row r="45" spans="1:22" x14ac:dyDescent="0.25">
      <c r="A45" s="71" t="s">
        <v>112</v>
      </c>
      <c r="B45" s="72">
        <v>18364.27</v>
      </c>
      <c r="C45" s="73" t="s">
        <v>31</v>
      </c>
      <c r="D45" s="114"/>
      <c r="E45" s="110" t="s">
        <v>18</v>
      </c>
      <c r="F45" s="158">
        <v>206457.71</v>
      </c>
      <c r="G45" s="158">
        <f>F45/F48*C8</f>
        <v>1235.2547813314393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37371.631564621515</v>
      </c>
      <c r="C46" s="73" t="s">
        <v>31</v>
      </c>
      <c r="D46" s="114"/>
      <c r="E46" s="159" t="s">
        <v>38</v>
      </c>
      <c r="F46" s="158">
        <f>7706.9+43200</f>
        <v>50906.9</v>
      </c>
      <c r="G46" s="158">
        <f>F46/F48*C8</f>
        <v>304.58049557830248</v>
      </c>
      <c r="H46" s="109"/>
      <c r="I46" s="109"/>
      <c r="J46" s="168"/>
    </row>
    <row r="47" spans="1:22" x14ac:dyDescent="0.25">
      <c r="A47" s="74" t="s">
        <v>39</v>
      </c>
      <c r="B47" s="72">
        <v>11225</v>
      </c>
      <c r="C47" s="73" t="s">
        <v>31</v>
      </c>
      <c r="D47" s="114"/>
      <c r="E47" s="158" t="s">
        <v>12</v>
      </c>
      <c r="F47" s="158">
        <f>7038875.3-F46</f>
        <v>6987968.3999999994</v>
      </c>
      <c r="G47" s="158">
        <f>F47/F48*C8</f>
        <v>41809.634418075293</v>
      </c>
      <c r="H47" s="109"/>
      <c r="I47" s="109"/>
      <c r="J47" s="168"/>
    </row>
    <row r="48" spans="1:22" x14ac:dyDescent="0.25">
      <c r="A48" s="71" t="s">
        <v>40</v>
      </c>
      <c r="B48" s="72">
        <f>G46+17657.9</f>
        <v>17962.480495578304</v>
      </c>
      <c r="C48" s="73" t="s">
        <v>31</v>
      </c>
      <c r="D48" s="114"/>
      <c r="E48" s="160" t="s">
        <v>41</v>
      </c>
      <c r="F48" s="161">
        <v>111781.73</v>
      </c>
      <c r="G48" s="158"/>
      <c r="H48" s="109"/>
      <c r="I48" s="109"/>
      <c r="J48" s="168"/>
    </row>
    <row r="49" spans="1:12" x14ac:dyDescent="0.25">
      <c r="A49" s="71" t="s">
        <v>42</v>
      </c>
      <c r="B49" s="72">
        <f>G45+69.85</f>
        <v>1305.1047813314392</v>
      </c>
      <c r="C49" s="73" t="s">
        <v>31</v>
      </c>
      <c r="D49" s="114"/>
      <c r="E49" s="161"/>
      <c r="F49" s="158">
        <f>F46*0.6559</f>
        <v>33389.835709999999</v>
      </c>
      <c r="G49" s="158"/>
      <c r="H49" s="109"/>
      <c r="I49" s="109"/>
      <c r="J49" s="168"/>
    </row>
    <row r="50" spans="1:12" x14ac:dyDescent="0.25">
      <c r="A50" s="71" t="s">
        <v>43</v>
      </c>
      <c r="B50" s="72">
        <f>G47</f>
        <v>41809.634418075293</v>
      </c>
      <c r="C50" s="73" t="s">
        <v>31</v>
      </c>
      <c r="D50" s="114"/>
      <c r="E50" s="117" t="s">
        <v>102</v>
      </c>
      <c r="F50" s="117">
        <f>2946.5</f>
        <v>2946.5</v>
      </c>
      <c r="G50" s="117">
        <f>F50/F48*C8</f>
        <v>17.629170706161016</v>
      </c>
      <c r="H50" s="109"/>
      <c r="I50" s="109"/>
      <c r="J50" s="168"/>
    </row>
    <row r="51" spans="1:12" x14ac:dyDescent="0.25">
      <c r="A51" s="71" t="s">
        <v>44</v>
      </c>
      <c r="B51" s="72">
        <f>F54</f>
        <v>462.43218888066428</v>
      </c>
      <c r="C51" s="73" t="s">
        <v>31</v>
      </c>
      <c r="D51" s="114"/>
      <c r="E51" s="114"/>
      <c r="F51" s="162"/>
      <c r="G51" s="163"/>
      <c r="H51" s="109"/>
      <c r="I51" s="109"/>
      <c r="J51" s="168"/>
    </row>
    <row r="52" spans="1:12" x14ac:dyDescent="0.25">
      <c r="A52" s="71" t="s">
        <v>45</v>
      </c>
      <c r="B52" s="72">
        <f>G50</f>
        <v>17.629170706161016</v>
      </c>
      <c r="C52" s="73" t="s">
        <v>31</v>
      </c>
      <c r="D52" s="114"/>
      <c r="E52" s="114" t="s">
        <v>100</v>
      </c>
      <c r="F52" s="162">
        <v>20905.240000000002</v>
      </c>
      <c r="G52" s="163"/>
      <c r="H52" s="109"/>
      <c r="I52" s="109"/>
      <c r="J52" s="168"/>
    </row>
    <row r="53" spans="1:12" x14ac:dyDescent="0.25">
      <c r="A53" s="71" t="s">
        <v>46</v>
      </c>
      <c r="B53" s="72"/>
      <c r="C53" s="73" t="s">
        <v>31</v>
      </c>
      <c r="D53" s="114"/>
      <c r="E53" s="114" t="s">
        <v>93</v>
      </c>
      <c r="F53" s="162">
        <v>30234.54</v>
      </c>
      <c r="G53" s="163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14"/>
      <c r="E54" s="114" t="s">
        <v>124</v>
      </c>
      <c r="F54" s="162">
        <f>F52/F53*C8</f>
        <v>462.43218888066428</v>
      </c>
      <c r="G54" s="163"/>
      <c r="H54" s="109"/>
      <c r="I54" s="109"/>
      <c r="J54" s="168"/>
    </row>
    <row r="55" spans="1:12" x14ac:dyDescent="0.25">
      <c r="A55" s="71" t="s">
        <v>48</v>
      </c>
      <c r="B55" s="72">
        <v>2407.6799999999998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10969.148043031271</v>
      </c>
      <c r="C56" s="73" t="s">
        <v>31</v>
      </c>
      <c r="D56" s="114"/>
      <c r="E56" s="114"/>
      <c r="F56" s="152"/>
      <c r="G56" s="109"/>
      <c r="H56" s="109"/>
      <c r="I56" s="109"/>
      <c r="J56" s="168"/>
    </row>
    <row r="57" spans="1:12" x14ac:dyDescent="0.25">
      <c r="A57" s="68" t="s">
        <v>50</v>
      </c>
      <c r="B57" s="69">
        <f>C78</f>
        <v>21764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/>
      <c r="C58" s="70" t="s">
        <v>31</v>
      </c>
      <c r="D58" s="149"/>
      <c r="E58" s="149"/>
      <c r="F58" s="150"/>
      <c r="G58" s="151"/>
      <c r="H58" s="151"/>
    </row>
    <row r="59" spans="1:12" x14ac:dyDescent="0.25">
      <c r="A59" s="68" t="s">
        <v>52</v>
      </c>
      <c r="B59" s="69">
        <f>L76</f>
        <v>353969.62999999995</v>
      </c>
      <c r="C59" s="70" t="s">
        <v>31</v>
      </c>
      <c r="D59" s="56"/>
      <c r="E59" s="56"/>
      <c r="F59" s="3"/>
    </row>
    <row r="60" spans="1:12" x14ac:dyDescent="0.25">
      <c r="A60" s="68" t="s">
        <v>53</v>
      </c>
      <c r="B60" s="69">
        <v>35283.269999999997</v>
      </c>
      <c r="C60" s="70" t="s">
        <v>54</v>
      </c>
      <c r="D60" s="56"/>
      <c r="E60" s="56"/>
      <c r="F60" s="3"/>
    </row>
    <row r="61" spans="1:12" x14ac:dyDescent="0.25">
      <c r="A61" s="164" t="s">
        <v>113</v>
      </c>
      <c r="B61" s="165">
        <f>C37/1.02</f>
        <v>20443.039215686276</v>
      </c>
      <c r="C61" s="166"/>
      <c r="D61" s="56"/>
      <c r="E61" s="56"/>
      <c r="F61" s="3"/>
    </row>
    <row r="62" spans="1:12" ht="15.75" thickBot="1" x14ac:dyDescent="0.3">
      <c r="A62" s="75" t="s">
        <v>114</v>
      </c>
      <c r="B62" s="76">
        <f>G44</f>
        <v>1045.9874900844709</v>
      </c>
      <c r="C62" s="77" t="s">
        <v>31</v>
      </c>
      <c r="D62" s="56"/>
      <c r="E62" s="56"/>
      <c r="F62" s="3"/>
      <c r="I62" s="79"/>
      <c r="J62" s="79" t="s">
        <v>56</v>
      </c>
      <c r="K62" s="79"/>
      <c r="L62" s="79" t="s">
        <v>57</v>
      </c>
    </row>
    <row r="63" spans="1:12" x14ac:dyDescent="0.25">
      <c r="A63" s="60"/>
      <c r="B63" s="61"/>
      <c r="C63" s="56"/>
      <c r="D63" s="56"/>
      <c r="E63" s="56"/>
      <c r="F63" s="3"/>
      <c r="I63" s="78" t="s">
        <v>64</v>
      </c>
      <c r="J63" s="129">
        <f>43957.24+861.34</f>
        <v>44818.579999999994</v>
      </c>
      <c r="K63" s="78"/>
      <c r="L63" s="129">
        <f t="shared" ref="L63:L68" si="1">3429.38+4609.1</f>
        <v>8038.4800000000005</v>
      </c>
    </row>
    <row r="64" spans="1:12" x14ac:dyDescent="0.25">
      <c r="A64" s="60" t="s">
        <v>98</v>
      </c>
      <c r="B64" s="3">
        <f>C39+B43-B42</f>
        <v>37310.052632004721</v>
      </c>
      <c r="C64" s="56" t="s">
        <v>31</v>
      </c>
      <c r="D64" s="56"/>
      <c r="E64" s="56"/>
      <c r="F64" s="3"/>
      <c r="I64" s="78" t="s">
        <v>66</v>
      </c>
      <c r="J64" s="129">
        <f>30006.63+1032.62</f>
        <v>31039.25</v>
      </c>
      <c r="K64" s="78"/>
      <c r="L64" s="129">
        <f t="shared" si="1"/>
        <v>8038.4800000000005</v>
      </c>
    </row>
    <row r="65" spans="1:12" x14ac:dyDescent="0.25">
      <c r="A65" s="60" t="s">
        <v>99</v>
      </c>
      <c r="B65" s="2">
        <f>B66+B67+B68+B69+B70+B71</f>
        <v>37310.052632004707</v>
      </c>
      <c r="C65" s="56" t="s">
        <v>31</v>
      </c>
      <c r="D65" s="56"/>
      <c r="E65" s="56"/>
      <c r="F65" s="3"/>
      <c r="I65" s="78" t="s">
        <v>67</v>
      </c>
      <c r="J65" s="129">
        <f>25375.3+1142.18</f>
        <v>26517.48</v>
      </c>
      <c r="K65" s="78"/>
      <c r="L65" s="129">
        <f t="shared" si="1"/>
        <v>8038.4800000000005</v>
      </c>
    </row>
    <row r="66" spans="1:12" x14ac:dyDescent="0.25">
      <c r="A66" s="80" t="s">
        <v>58</v>
      </c>
      <c r="B66" s="81">
        <f>C20-B44-B62</f>
        <v>-6024.3581523090661</v>
      </c>
      <c r="C66" s="56" t="s">
        <v>31</v>
      </c>
      <c r="D66" s="56"/>
      <c r="E66" s="56"/>
      <c r="F66" s="3"/>
      <c r="I66" s="78" t="s">
        <v>68</v>
      </c>
      <c r="J66" s="129">
        <f>20077.53+972.97</f>
        <v>21050.5</v>
      </c>
      <c r="K66" s="78"/>
      <c r="L66" s="129">
        <f t="shared" si="1"/>
        <v>8038.4800000000005</v>
      </c>
    </row>
    <row r="67" spans="1:12" x14ac:dyDescent="0.25">
      <c r="A67" s="80" t="s">
        <v>59</v>
      </c>
      <c r="B67" s="81">
        <f>C22-B57</f>
        <v>-1765.1599999999999</v>
      </c>
      <c r="C67" s="56" t="s">
        <v>31</v>
      </c>
      <c r="D67" s="56"/>
      <c r="E67" s="56"/>
      <c r="F67" s="3"/>
      <c r="I67" s="78" t="s">
        <v>69</v>
      </c>
      <c r="J67" s="129">
        <f>5674.86+1122.16</f>
        <v>6797.0199999999995</v>
      </c>
      <c r="K67" s="78"/>
      <c r="L67" s="129">
        <f t="shared" si="1"/>
        <v>8038.4800000000005</v>
      </c>
    </row>
    <row r="68" spans="1:12" x14ac:dyDescent="0.25">
      <c r="A68" s="80" t="s">
        <v>60</v>
      </c>
      <c r="B68" s="81">
        <f>C26-B58</f>
        <v>0</v>
      </c>
      <c r="C68" s="56" t="s">
        <v>31</v>
      </c>
      <c r="D68" s="56"/>
      <c r="E68" s="56"/>
      <c r="F68" s="3"/>
      <c r="I68" s="78" t="s">
        <v>70</v>
      </c>
      <c r="J68" s="129">
        <f>2615.14+972.97</f>
        <v>3588.1099999999997</v>
      </c>
      <c r="K68" s="78"/>
      <c r="L68" s="129">
        <f t="shared" si="1"/>
        <v>8038.4800000000005</v>
      </c>
    </row>
    <row r="69" spans="1:12" x14ac:dyDescent="0.25">
      <c r="A69" s="80" t="s">
        <v>61</v>
      </c>
      <c r="B69" s="81">
        <f>C28-B59</f>
        <v>38266.100000000035</v>
      </c>
      <c r="C69" s="56" t="s">
        <v>31</v>
      </c>
      <c r="D69" s="56"/>
      <c r="E69" s="56"/>
      <c r="F69" s="3"/>
      <c r="I69" s="78" t="s">
        <v>71</v>
      </c>
      <c r="J69" s="129">
        <f>3852.82+2539.28</f>
        <v>6392.1</v>
      </c>
      <c r="K69" s="78"/>
      <c r="L69" s="129">
        <f>3632.4+4877.22</f>
        <v>8509.6200000000008</v>
      </c>
    </row>
    <row r="70" spans="1:12" x14ac:dyDescent="0.25">
      <c r="A70" s="80" t="s">
        <v>62</v>
      </c>
      <c r="B70" s="81">
        <f>C35-B60</f>
        <v>6424.6100000000079</v>
      </c>
      <c r="C70" s="56" t="s">
        <v>31</v>
      </c>
      <c r="D70" s="56"/>
      <c r="E70" s="56"/>
      <c r="F70" s="3"/>
      <c r="I70" s="78" t="s">
        <v>72</v>
      </c>
      <c r="J70" s="129">
        <f>3888.29+1104.94</f>
        <v>4993.2299999999996</v>
      </c>
      <c r="K70" s="78"/>
      <c r="L70" s="129">
        <f>3632.4+4877.22</f>
        <v>8509.6200000000008</v>
      </c>
    </row>
    <row r="71" spans="1:12" x14ac:dyDescent="0.25">
      <c r="A71" s="80" t="s">
        <v>115</v>
      </c>
      <c r="B71" s="81">
        <f>C37-B61</f>
        <v>408.86078431372516</v>
      </c>
      <c r="C71" s="56" t="s">
        <v>31</v>
      </c>
      <c r="I71" s="78" t="s">
        <v>73</v>
      </c>
      <c r="J71" s="129">
        <f>6413.37+815.6</f>
        <v>7228.97</v>
      </c>
      <c r="K71" s="78"/>
      <c r="L71" s="129">
        <f>3835.41+5151.73</f>
        <v>8987.14</v>
      </c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78" t="s">
        <v>74</v>
      </c>
      <c r="J72" s="129">
        <f>20712.4+857.53</f>
        <v>21569.93</v>
      </c>
      <c r="K72" s="78"/>
      <c r="L72" s="129">
        <f>3835.41+5151.73</f>
        <v>8987.14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  <c r="I73" s="78" t="s">
        <v>75</v>
      </c>
      <c r="J73" s="129">
        <f>33537.29+940.41</f>
        <v>34477.700000000004</v>
      </c>
      <c r="K73" s="78"/>
      <c r="L73" s="129">
        <f>3835.41+5151.73</f>
        <v>8987.14</v>
      </c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86" t="s">
        <v>76</v>
      </c>
      <c r="J74" s="130">
        <f>52282.92+1002.3</f>
        <v>53285.22</v>
      </c>
      <c r="K74" s="86"/>
      <c r="L74" s="130">
        <v>0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  <c r="I75" s="87"/>
      <c r="J75" s="88"/>
      <c r="K75" s="88"/>
      <c r="L75" s="131"/>
    </row>
    <row r="76" spans="1:12" ht="15.75" thickBot="1" x14ac:dyDescent="0.3">
      <c r="A76" s="53" t="s">
        <v>178</v>
      </c>
      <c r="B76" s="43"/>
      <c r="C76" s="124">
        <v>9212</v>
      </c>
      <c r="D76" s="115"/>
      <c r="E76" s="116"/>
      <c r="F76" s="117"/>
      <c r="G76" s="109"/>
      <c r="I76" s="92" t="s">
        <v>77</v>
      </c>
      <c r="J76" s="93"/>
      <c r="K76" s="93"/>
      <c r="L76" s="132">
        <f>J63+J64+J65+J66+J67+J68+J69+J70+J71+J72+J73+J74+L63+L64+L65+L66+L67+L68+L69+L70+L71+L72+L73+L74+N30</f>
        <v>353969.62999999995</v>
      </c>
    </row>
    <row r="77" spans="1:12" ht="15.75" thickBot="1" x14ac:dyDescent="0.3">
      <c r="A77" s="171" t="s">
        <v>179</v>
      </c>
      <c r="B77" s="172"/>
      <c r="C77" s="173">
        <v>12552</v>
      </c>
      <c r="D77" s="118"/>
      <c r="E77" s="116"/>
      <c r="F77" s="117"/>
      <c r="G77" s="109"/>
    </row>
    <row r="78" spans="1:12" ht="15.75" thickBot="1" x14ac:dyDescent="0.3">
      <c r="A78" s="89" t="s">
        <v>5</v>
      </c>
      <c r="B78" s="90">
        <f>B76</f>
        <v>0</v>
      </c>
      <c r="C78" s="91">
        <f>C76+C77</f>
        <v>21764</v>
      </c>
      <c r="D78" s="118"/>
      <c r="E78" s="116"/>
      <c r="F78" s="117"/>
      <c r="G78" s="109"/>
    </row>
    <row r="79" spans="1:12" x14ac:dyDescent="0.25">
      <c r="A79" s="31"/>
      <c r="B79" s="33"/>
      <c r="C79" s="98"/>
      <c r="D79" s="118"/>
      <c r="E79" s="116"/>
      <c r="F79" s="117"/>
      <c r="G79" s="109"/>
      <c r="I79" s="1" t="s">
        <v>78</v>
      </c>
      <c r="J79" s="1"/>
      <c r="K79" s="1"/>
      <c r="L79" s="2">
        <f>C28-L76</f>
        <v>38266.100000000035</v>
      </c>
    </row>
    <row r="80" spans="1:12" x14ac:dyDescent="0.25">
      <c r="A80" s="60"/>
      <c r="B80" s="33"/>
      <c r="C80" s="98"/>
      <c r="D80" s="118"/>
      <c r="E80" s="116"/>
      <c r="F80" s="117"/>
      <c r="G80" s="109"/>
    </row>
    <row r="81" spans="1:7" x14ac:dyDescent="0.25">
      <c r="A81" s="60" t="s">
        <v>79</v>
      </c>
      <c r="B81" s="33"/>
      <c r="D81" s="118"/>
      <c r="E81" s="116"/>
      <c r="F81" s="117"/>
      <c r="G81" s="109"/>
    </row>
    <row r="82" spans="1:7" x14ac:dyDescent="0.25">
      <c r="A82" s="60" t="s">
        <v>34</v>
      </c>
      <c r="B82" s="20">
        <f>B44/C8/12</f>
        <v>17.680299374778787</v>
      </c>
      <c r="C82" s="101" t="s">
        <v>80</v>
      </c>
      <c r="D82" s="118"/>
      <c r="E82" s="116"/>
      <c r="F82" s="117"/>
      <c r="G82" s="109"/>
    </row>
    <row r="83" spans="1:7" x14ac:dyDescent="0.25">
      <c r="A83" s="60" t="s">
        <v>81</v>
      </c>
      <c r="B83" s="20">
        <f>B57/C8/12</f>
        <v>2.7118221690590114</v>
      </c>
      <c r="C83" s="101" t="s">
        <v>80</v>
      </c>
      <c r="D83" s="118"/>
      <c r="E83" s="116"/>
      <c r="F83" s="117"/>
      <c r="G83" s="109"/>
    </row>
    <row r="84" spans="1:7" x14ac:dyDescent="0.25">
      <c r="A84" s="60" t="s">
        <v>82</v>
      </c>
      <c r="B84" s="20">
        <f>B58/C8/12</f>
        <v>0</v>
      </c>
      <c r="C84" s="101" t="s">
        <v>80</v>
      </c>
      <c r="D84" s="118"/>
      <c r="E84" s="116"/>
      <c r="F84" s="117"/>
      <c r="G84" s="109"/>
    </row>
    <row r="85" spans="1:7" x14ac:dyDescent="0.25">
      <c r="A85" s="60"/>
      <c r="B85" s="33"/>
      <c r="C85" s="98"/>
      <c r="D85" s="110"/>
      <c r="E85" s="114"/>
      <c r="F85" s="119"/>
      <c r="G85" s="109"/>
    </row>
    <row r="86" spans="1:7" x14ac:dyDescent="0.25">
      <c r="A86" s="60"/>
      <c r="B86" s="33"/>
      <c r="C86" s="101"/>
      <c r="D86" s="118"/>
      <c r="E86" s="116"/>
      <c r="F86" s="109"/>
      <c r="G86" s="109"/>
    </row>
    <row r="87" spans="1:7" x14ac:dyDescent="0.25">
      <c r="A87" s="19"/>
      <c r="B87" s="20"/>
      <c r="C87" s="101"/>
      <c r="E87" s="116"/>
      <c r="F87" s="109"/>
      <c r="G87" s="109"/>
    </row>
    <row r="88" spans="1:7" x14ac:dyDescent="0.25">
      <c r="A88" s="19" t="s">
        <v>83</v>
      </c>
      <c r="B88" s="20"/>
      <c r="C88" s="98"/>
      <c r="D88" s="133" t="s">
        <v>95</v>
      </c>
      <c r="E88" s="116"/>
      <c r="F88" s="109"/>
      <c r="G88" s="109"/>
    </row>
    <row r="89" spans="1:7" x14ac:dyDescent="0.25">
      <c r="A89" s="31"/>
      <c r="B89" s="33"/>
      <c r="C89" s="105"/>
      <c r="D89" s="118"/>
      <c r="E89" s="116"/>
      <c r="F89" s="109"/>
      <c r="G89" s="109"/>
    </row>
    <row r="90" spans="1:7" x14ac:dyDescent="0.25">
      <c r="A90" s="103"/>
      <c r="B90" s="104"/>
      <c r="C90" s="105"/>
      <c r="D90" s="99"/>
      <c r="E90" s="100"/>
    </row>
    <row r="91" spans="1:7" x14ac:dyDescent="0.25">
      <c r="A91" s="103"/>
      <c r="B91" s="104"/>
      <c r="C91" s="105"/>
      <c r="D91" s="99"/>
      <c r="E91" s="100"/>
    </row>
    <row r="92" spans="1:7" x14ac:dyDescent="0.25">
      <c r="A92" s="103"/>
      <c r="B92" s="104"/>
      <c r="C92" s="105"/>
      <c r="D92" s="99"/>
      <c r="E92" s="100"/>
    </row>
    <row r="93" spans="1:7" x14ac:dyDescent="0.25">
      <c r="A93" s="103"/>
      <c r="B93" s="104"/>
      <c r="C93" s="98"/>
      <c r="D93" s="99"/>
      <c r="E93" s="100"/>
    </row>
    <row r="94" spans="1:7" x14ac:dyDescent="0.25">
      <c r="A94" s="31"/>
      <c r="B94" s="33"/>
      <c r="C94" s="98"/>
      <c r="D94" s="99"/>
      <c r="E94" s="100"/>
    </row>
    <row r="95" spans="1:7" x14ac:dyDescent="0.25">
      <c r="A95" s="31"/>
      <c r="B95" s="33"/>
      <c r="C95" s="56"/>
      <c r="D95" s="56"/>
      <c r="E95" s="56"/>
    </row>
    <row r="96" spans="1:7" x14ac:dyDescent="0.25">
      <c r="A96" s="19"/>
      <c r="B96" s="20"/>
      <c r="C96" s="56"/>
      <c r="D96" s="102"/>
      <c r="E96" s="56"/>
    </row>
    <row r="97" spans="1:6" x14ac:dyDescent="0.25">
      <c r="A97" s="19"/>
      <c r="B97" s="20"/>
      <c r="C97" s="56"/>
      <c r="D97" s="99"/>
      <c r="E97" s="100"/>
    </row>
    <row r="98" spans="1:6" x14ac:dyDescent="0.25">
      <c r="A98" s="19"/>
      <c r="B98" s="20"/>
      <c r="C98" s="100"/>
      <c r="D98" s="99"/>
      <c r="E98" s="100"/>
    </row>
    <row r="99" spans="1:6" x14ac:dyDescent="0.25">
      <c r="A99" s="31"/>
      <c r="B99" s="33"/>
      <c r="C99" s="100"/>
      <c r="D99" s="105"/>
      <c r="E99" s="100"/>
    </row>
    <row r="100" spans="1:6" x14ac:dyDescent="0.25">
      <c r="A100" s="31"/>
      <c r="B100" s="33"/>
      <c r="C100" s="100"/>
      <c r="D100" s="105"/>
      <c r="E100" s="100"/>
    </row>
    <row r="101" spans="1:6" x14ac:dyDescent="0.25">
      <c r="A101" s="107"/>
      <c r="B101" s="108"/>
      <c r="C101" s="100"/>
      <c r="D101" s="105"/>
      <c r="E101" s="100"/>
      <c r="F101" s="106"/>
    </row>
    <row r="102" spans="1:6" x14ac:dyDescent="0.25">
      <c r="A102" s="107"/>
      <c r="B102" s="108"/>
      <c r="C102" s="100"/>
      <c r="D102" s="105"/>
      <c r="E102" s="100"/>
    </row>
    <row r="103" spans="1:6" x14ac:dyDescent="0.25">
      <c r="A103" s="31"/>
      <c r="B103" s="33"/>
      <c r="C103" s="100"/>
      <c r="D103" s="98"/>
      <c r="E103" s="100"/>
    </row>
    <row r="104" spans="1:6" x14ac:dyDescent="0.25">
      <c r="A104" s="31"/>
      <c r="B104" s="33"/>
      <c r="C104" s="56"/>
      <c r="D104" s="98"/>
      <c r="E104" s="100"/>
    </row>
    <row r="105" spans="1:6" x14ac:dyDescent="0.25">
      <c r="A105" s="19"/>
      <c r="B105" s="20"/>
      <c r="C105" s="100"/>
      <c r="D105" s="56"/>
      <c r="E105" s="56"/>
      <c r="F105" s="3"/>
    </row>
    <row r="106" spans="1:6" x14ac:dyDescent="0.25">
      <c r="A106" s="31"/>
      <c r="B106" s="33"/>
      <c r="C106" s="100"/>
      <c r="D106" s="56"/>
      <c r="E106" s="100"/>
    </row>
    <row r="107" spans="1:6" x14ac:dyDescent="0.25">
      <c r="A107" s="31"/>
      <c r="B107" s="33"/>
      <c r="C107" s="33"/>
      <c r="D107" s="56"/>
      <c r="E107" s="56"/>
    </row>
    <row r="108" spans="1:6" x14ac:dyDescent="0.25">
      <c r="A108" s="31"/>
      <c r="B108" s="33"/>
      <c r="C108" s="33"/>
      <c r="D108" s="100"/>
      <c r="E108" s="100"/>
    </row>
    <row r="109" spans="1:6" x14ac:dyDescent="0.25">
      <c r="A109" s="31"/>
      <c r="B109" s="33"/>
      <c r="C109" s="33"/>
      <c r="D109" s="100"/>
      <c r="E109" s="100"/>
    </row>
    <row r="110" spans="1:6" x14ac:dyDescent="0.25">
      <c r="A110" s="31"/>
      <c r="B110" s="33"/>
      <c r="D110" s="100"/>
      <c r="E110" s="100"/>
    </row>
    <row r="111" spans="1:6" x14ac:dyDescent="0.25">
      <c r="D111" s="100"/>
      <c r="E111" s="100"/>
    </row>
    <row r="112" spans="1:6" x14ac:dyDescent="0.25">
      <c r="D112" s="100"/>
      <c r="E112" s="100"/>
    </row>
    <row r="113" spans="2:6" x14ac:dyDescent="0.25">
      <c r="D113" s="100"/>
      <c r="E113" s="100"/>
    </row>
    <row r="114" spans="2:6" x14ac:dyDescent="0.25">
      <c r="D114" s="56"/>
      <c r="E114" s="56"/>
      <c r="F114" s="3"/>
    </row>
    <row r="115" spans="2:6" x14ac:dyDescent="0.25">
      <c r="B115"/>
      <c r="C115"/>
      <c r="D115" s="100"/>
      <c r="E115" s="100"/>
      <c r="F115" s="3"/>
    </row>
    <row r="116" spans="2:6" x14ac:dyDescent="0.25">
      <c r="B116"/>
      <c r="C116"/>
      <c r="D116" s="100"/>
      <c r="E116" s="100"/>
    </row>
    <row r="117" spans="2:6" x14ac:dyDescent="0.25">
      <c r="B117"/>
      <c r="C117"/>
      <c r="D117" s="33"/>
      <c r="E117" s="33"/>
    </row>
    <row r="118" spans="2:6" x14ac:dyDescent="0.25">
      <c r="B118"/>
      <c r="C118"/>
      <c r="D118" s="33"/>
      <c r="E118" s="33"/>
    </row>
    <row r="119" spans="2:6" x14ac:dyDescent="0.25">
      <c r="B119"/>
      <c r="C119"/>
      <c r="D119" s="33"/>
      <c r="E119" s="33"/>
    </row>
  </sheetData>
  <pageMargins left="0.7" right="0.7" top="0.75" bottom="0.75" header="0.3" footer="0.3"/>
  <pageSetup paperSize="9" scale="3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69" workbookViewId="0">
      <selection activeCell="A100" sqref="A100:XFD10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126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127</v>
      </c>
      <c r="B6" s="11"/>
      <c r="C6" s="11">
        <v>2918.25</v>
      </c>
      <c r="D6" s="12">
        <v>312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2918.25</v>
      </c>
      <c r="D8" s="18">
        <f>D6</f>
        <v>312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18.93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/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188950.7</v>
      </c>
      <c r="C20" s="41">
        <f>661655.16-182.66-2207.67</f>
        <v>659264.82999999996</v>
      </c>
      <c r="D20" s="40">
        <f>568542.99+32437.36</f>
        <v>600980.35</v>
      </c>
      <c r="E20" s="42">
        <f t="shared" ref="E20:E38" si="0">C20-D20+B20</f>
        <v>247235.18</v>
      </c>
      <c r="F20" s="137">
        <f>C20+F22</f>
        <v>659264.82999999996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-983.7</v>
      </c>
      <c r="C22" s="44"/>
      <c r="D22" s="43">
        <v>18.309999999999999</v>
      </c>
      <c r="E22" s="45">
        <f t="shared" si="0"/>
        <v>-1002.01</v>
      </c>
      <c r="F22" s="137">
        <f>C22</f>
        <v>0</v>
      </c>
      <c r="G22" s="139">
        <f>F22*G20/F20</f>
        <v>0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597939.26</v>
      </c>
      <c r="C28" s="50">
        <f>C29+C30+C31+C33</f>
        <v>2012489.0599999998</v>
      </c>
      <c r="D28" s="50">
        <f>D29+D30+D31+D33</f>
        <v>1858564.65</v>
      </c>
      <c r="E28" s="51">
        <f>C28-D28+B28</f>
        <v>751863.66999999993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228496.82</v>
      </c>
      <c r="C29" s="40">
        <f>831687.6-154.05-2791.78</f>
        <v>828741.7699999999</v>
      </c>
      <c r="D29" s="40">
        <f>701205.6+40451.43</f>
        <v>741657.03</v>
      </c>
      <c r="E29" s="42">
        <f t="shared" si="0"/>
        <v>315581.55999999988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240774.44</f>
        <v>240774.44</v>
      </c>
      <c r="C30" s="43">
        <f>1995.09+833750.85-19298.51-53951.55</f>
        <v>762495.87999999989</v>
      </c>
      <c r="D30" s="43">
        <f>1136.69+677820.82+43270.74</f>
        <v>722228.24999999988</v>
      </c>
      <c r="E30" s="45">
        <f t="shared" si="0"/>
        <v>281042.07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45002.62</v>
      </c>
      <c r="C31" s="43">
        <f>160921.54-3683.6-10261.56</f>
        <v>146976.38</v>
      </c>
      <c r="D31" s="43">
        <f>129220.76+8244.76</f>
        <v>137465.51999999999</v>
      </c>
      <c r="E31" s="45">
        <f t="shared" si="0"/>
        <v>54513.480000000018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106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83665.38</v>
      </c>
      <c r="C33" s="43">
        <f>301160.95-6861.63-20024.29</f>
        <v>274275.03000000003</v>
      </c>
      <c r="D33" s="43">
        <f>241890.91+15322.94</f>
        <v>257213.85</v>
      </c>
      <c r="E33" s="45">
        <f t="shared" si="0"/>
        <v>100726.56000000003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f>99070.51</f>
        <v>99070.51</v>
      </c>
      <c r="C35" s="55">
        <f>370403.12-3301.03-13871.03-2311.45</f>
        <v>350919.60999999993</v>
      </c>
      <c r="D35" s="55">
        <f>317683.03+16692.34+0.01</f>
        <v>334375.38000000006</v>
      </c>
      <c r="E35" s="45">
        <f t="shared" si="0"/>
        <v>115614.73999999986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>
        <f>-2442.22+17215.69</f>
        <v>14773.47</v>
      </c>
      <c r="C37" s="44">
        <f>68730.07-10007.72-1105.28+4913.57-873.97</f>
        <v>61656.670000000006</v>
      </c>
      <c r="D37" s="44">
        <f>57326.06+4138.11+6331.13+53.74</f>
        <v>67849.040000000008</v>
      </c>
      <c r="E37" s="45">
        <f t="shared" si="0"/>
        <v>8581.0999999999967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899750.24</v>
      </c>
      <c r="C39" s="58">
        <f>C20+C21+C22+C23+C24+C25+C26+C28+C35+C36+C37+C38</f>
        <v>3084330.1699999995</v>
      </c>
      <c r="D39" s="58">
        <f>D20+D21+D22+D23+D24+D25+D26+D28+D35+D36+D37+D38+D27</f>
        <v>2861787.73</v>
      </c>
      <c r="E39" s="58">
        <f>E20+E21+E22+E23+E24+E25+E26+E28+E35+E36+E37+E38+E27</f>
        <v>1122292.6799999997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3322755.8163080248</v>
      </c>
      <c r="C42" s="64" t="s">
        <v>31</v>
      </c>
      <c r="D42" s="140">
        <f>C39-B42-B62</f>
        <v>-242989.72075919012</v>
      </c>
      <c r="E42" s="141" t="s">
        <v>32</v>
      </c>
      <c r="F42" s="142">
        <v>5228898.0599999996</v>
      </c>
      <c r="G42" s="142">
        <f>F42/F48*C8</f>
        <v>136509.17518985437</v>
      </c>
      <c r="H42" s="109"/>
      <c r="I42" s="109"/>
      <c r="J42" s="168"/>
    </row>
    <row r="43" spans="1:22" x14ac:dyDescent="0.25">
      <c r="A43" s="65"/>
      <c r="B43" s="66"/>
      <c r="C43" s="67"/>
      <c r="D43" s="140"/>
      <c r="E43" s="141" t="s">
        <v>33</v>
      </c>
      <c r="F43" s="142">
        <v>1017312.51</v>
      </c>
      <c r="G43" s="142">
        <f>F43/F48*C8</f>
        <v>26558.653478591717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608568.63617058471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4564.0744511647836</v>
      </c>
      <c r="H44" s="109"/>
      <c r="I44" s="109"/>
      <c r="J44" s="168"/>
    </row>
    <row r="45" spans="1:22" x14ac:dyDescent="0.25">
      <c r="A45" s="71" t="s">
        <v>112</v>
      </c>
      <c r="B45" s="72">
        <v>140389.54999999999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5389.9256363942477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163067.82866844611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1329.0102141468019</v>
      </c>
      <c r="H46" s="109"/>
      <c r="I46" s="109"/>
      <c r="J46" s="168"/>
    </row>
    <row r="47" spans="1:22" x14ac:dyDescent="0.25">
      <c r="A47" s="74" t="s">
        <v>39</v>
      </c>
      <c r="B47" s="72">
        <v>32560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182432.66393622642</v>
      </c>
      <c r="H47" s="109"/>
      <c r="I47" s="109"/>
      <c r="J47" s="168"/>
    </row>
    <row r="48" spans="1:22" x14ac:dyDescent="0.25">
      <c r="A48" s="71" t="s">
        <v>40</v>
      </c>
      <c r="B48" s="72">
        <f>G46+29129.41</f>
        <v>30458.420214146801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G45+380.96</f>
        <v>5770.8856363942477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</f>
        <v>182432.66393622642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76.923336443263139</v>
      </c>
      <c r="H50" s="109"/>
      <c r="I50" s="109"/>
      <c r="J50" s="168"/>
    </row>
    <row r="51" spans="1:12" x14ac:dyDescent="0.25">
      <c r="A51" s="71" t="s">
        <v>44</v>
      </c>
      <c r="B51" s="72">
        <f>F54</f>
        <v>2017.7821997622589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</f>
        <v>76.923336443263139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/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128</v>
      </c>
      <c r="F54" s="147">
        <f>F52/F53*C8</f>
        <v>2017.7821997622589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10357.91</v>
      </c>
      <c r="C55" s="73" t="s">
        <v>31</v>
      </c>
      <c r="D55" s="140"/>
      <c r="E55" s="140"/>
      <c r="F55" s="169"/>
      <c r="G55" s="136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41436.672179165689</v>
      </c>
      <c r="C56" s="73" t="s">
        <v>31</v>
      </c>
      <c r="D56" s="56"/>
      <c r="E56" s="56"/>
      <c r="F56" s="167"/>
      <c r="G56" s="168"/>
      <c r="H56" s="168"/>
      <c r="I56" s="168"/>
      <c r="J56" s="168"/>
    </row>
    <row r="57" spans="1:12" x14ac:dyDescent="0.25">
      <c r="A57" s="68" t="s">
        <v>50</v>
      </c>
      <c r="B57" s="69">
        <f>C81</f>
        <v>30425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/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2232713.9700000007</v>
      </c>
      <c r="C59" s="70" t="s">
        <v>31</v>
      </c>
      <c r="D59" s="56"/>
      <c r="E59" s="56"/>
      <c r="F59" s="3"/>
      <c r="I59" s="78" t="s">
        <v>64</v>
      </c>
      <c r="J59" s="129">
        <f>252711.96+11105.79</f>
        <v>263817.75</v>
      </c>
      <c r="K59" s="78"/>
      <c r="L59" s="129">
        <f t="shared" ref="L59:L64" si="1">15878.38+27697.22</f>
        <v>43575.6</v>
      </c>
    </row>
    <row r="60" spans="1:12" x14ac:dyDescent="0.25">
      <c r="A60" s="68" t="s">
        <v>53</v>
      </c>
      <c r="B60" s="69">
        <v>386036.42</v>
      </c>
      <c r="C60" s="70" t="s">
        <v>54</v>
      </c>
      <c r="D60" s="56"/>
      <c r="E60" s="56"/>
      <c r="F60" s="3"/>
      <c r="I60" s="78" t="s">
        <v>66</v>
      </c>
      <c r="J60" s="129">
        <f>169662.76+11002.35</f>
        <v>180665.11000000002</v>
      </c>
      <c r="K60" s="78"/>
      <c r="L60" s="129">
        <f t="shared" si="1"/>
        <v>43575.6</v>
      </c>
    </row>
    <row r="61" spans="1:12" x14ac:dyDescent="0.25">
      <c r="A61" s="164" t="s">
        <v>113</v>
      </c>
      <c r="B61" s="165">
        <f>C37/1.02</f>
        <v>60447.715686274518</v>
      </c>
      <c r="C61" s="166"/>
      <c r="D61" s="56"/>
      <c r="E61" s="56"/>
      <c r="F61" s="3"/>
      <c r="I61" s="78" t="s">
        <v>67</v>
      </c>
      <c r="J61" s="129">
        <f>143933.97+12556.1</f>
        <v>156490.07</v>
      </c>
      <c r="K61" s="78"/>
      <c r="L61" s="129">
        <f t="shared" si="1"/>
        <v>43575.6</v>
      </c>
    </row>
    <row r="62" spans="1:12" ht="15.75" thickBot="1" x14ac:dyDescent="0.3">
      <c r="A62" s="75" t="s">
        <v>114</v>
      </c>
      <c r="B62" s="76">
        <f>G44</f>
        <v>4564.0744511647836</v>
      </c>
      <c r="C62" s="77" t="s">
        <v>31</v>
      </c>
      <c r="D62" s="56"/>
      <c r="E62" s="56"/>
      <c r="F62" s="3"/>
      <c r="I62" s="78" t="s">
        <v>68</v>
      </c>
      <c r="J62" s="129">
        <f>117850.51+12009.83</f>
        <v>129860.34</v>
      </c>
      <c r="K62" s="78"/>
      <c r="L62" s="129">
        <f t="shared" si="1"/>
        <v>43575.6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29643.89+12449.73</f>
        <v>42093.619999999995</v>
      </c>
      <c r="K63" s="78"/>
      <c r="L63" s="129">
        <f t="shared" si="1"/>
        <v>43575.6</v>
      </c>
    </row>
    <row r="64" spans="1:12" x14ac:dyDescent="0.25">
      <c r="A64" s="60" t="s">
        <v>98</v>
      </c>
      <c r="B64" s="3">
        <f>C39+B43-B42</f>
        <v>-238425.64630802535</v>
      </c>
      <c r="C64" s="56" t="s">
        <v>31</v>
      </c>
      <c r="D64" s="56"/>
      <c r="E64" s="56"/>
      <c r="F64" s="3"/>
      <c r="I64" s="78" t="s">
        <v>70</v>
      </c>
      <c r="J64" s="129">
        <f>18499.96+11111.59</f>
        <v>29611.55</v>
      </c>
      <c r="K64" s="78"/>
      <c r="L64" s="129">
        <f t="shared" si="1"/>
        <v>43575.6</v>
      </c>
    </row>
    <row r="65" spans="1:12" x14ac:dyDescent="0.25">
      <c r="A65" s="60" t="s">
        <v>99</v>
      </c>
      <c r="B65" s="2">
        <f>B66+B67+B68+B69+B70+B71</f>
        <v>-238425.64630802494</v>
      </c>
      <c r="C65" s="56" t="s">
        <v>31</v>
      </c>
      <c r="D65" s="56"/>
      <c r="E65" s="56"/>
      <c r="F65" s="3"/>
      <c r="I65" s="78" t="s">
        <v>71</v>
      </c>
      <c r="J65" s="129">
        <f>15793.97+13518.35</f>
        <v>29312.32</v>
      </c>
      <c r="K65" s="78"/>
      <c r="L65" s="129">
        <f>16818.37+29308.42</f>
        <v>46126.789999999994</v>
      </c>
    </row>
    <row r="66" spans="1:12" x14ac:dyDescent="0.25">
      <c r="A66" s="80" t="s">
        <v>58</v>
      </c>
      <c r="B66" s="81">
        <f>C20-B44-B62</f>
        <v>46132.119378250463</v>
      </c>
      <c r="C66" s="56" t="s">
        <v>31</v>
      </c>
      <c r="D66" s="56"/>
      <c r="E66" s="56"/>
      <c r="F66" s="3"/>
      <c r="I66" s="78" t="s">
        <v>72</v>
      </c>
      <c r="J66" s="129">
        <f>15798.44+8349.1</f>
        <v>24147.54</v>
      </c>
      <c r="K66" s="78"/>
      <c r="L66" s="129">
        <f>16818.37+29308.41</f>
        <v>46126.78</v>
      </c>
    </row>
    <row r="67" spans="1:12" x14ac:dyDescent="0.25">
      <c r="A67" s="80" t="s">
        <v>59</v>
      </c>
      <c r="B67" s="81">
        <f>C22-B57</f>
        <v>-30425</v>
      </c>
      <c r="C67" s="56" t="s">
        <v>31</v>
      </c>
      <c r="D67" s="56"/>
      <c r="E67" s="56"/>
      <c r="F67" s="3"/>
      <c r="I67" s="78" t="s">
        <v>73</v>
      </c>
      <c r="J67" s="129">
        <f>43982.72+5647.17</f>
        <v>49629.89</v>
      </c>
      <c r="K67" s="78"/>
      <c r="L67" s="129">
        <f>17758.37+30957.96</f>
        <v>48716.33</v>
      </c>
    </row>
    <row r="68" spans="1:12" x14ac:dyDescent="0.25">
      <c r="A68" s="80" t="s">
        <v>60</v>
      </c>
      <c r="B68" s="81">
        <f>C26-B58</f>
        <v>0</v>
      </c>
      <c r="C68" s="56" t="s">
        <v>31</v>
      </c>
      <c r="D68" s="56"/>
      <c r="E68" s="56"/>
      <c r="F68" s="3"/>
      <c r="I68" s="78" t="s">
        <v>74</v>
      </c>
      <c r="J68" s="129">
        <f>121714.65+9417.07+128214.53+33159.06-18500.02-11111.59+18081.51+11111.59</f>
        <v>292086.8</v>
      </c>
      <c r="K68" s="78"/>
      <c r="L68" s="129">
        <f>17758.37+30957.96</f>
        <v>48716.33</v>
      </c>
    </row>
    <row r="69" spans="1:12" x14ac:dyDescent="0.25">
      <c r="A69" s="80" t="s">
        <v>61</v>
      </c>
      <c r="B69" s="81">
        <f>C28-B59</f>
        <v>-220224.91000000085</v>
      </c>
      <c r="C69" s="56" t="s">
        <v>31</v>
      </c>
      <c r="D69" s="56"/>
      <c r="E69" s="56"/>
      <c r="F69" s="3"/>
      <c r="I69" s="78" t="s">
        <v>75</v>
      </c>
      <c r="J69" s="129">
        <f>193929.21+11941.24+35227.07+2363.33</f>
        <v>243460.84999999998</v>
      </c>
      <c r="K69" s="78"/>
      <c r="L69" s="129">
        <f>17758.37+30957.98</f>
        <v>48716.35</v>
      </c>
    </row>
    <row r="70" spans="1:12" ht="15.75" thickBot="1" x14ac:dyDescent="0.3">
      <c r="A70" s="80" t="s">
        <v>62</v>
      </c>
      <c r="B70" s="81">
        <f>C35-B60</f>
        <v>-35116.810000000056</v>
      </c>
      <c r="C70" s="56" t="s">
        <v>31</v>
      </c>
      <c r="D70" s="56"/>
      <c r="E70" s="56"/>
      <c r="F70" s="3"/>
      <c r="I70" s="86" t="s">
        <v>76</v>
      </c>
      <c r="J70" s="130">
        <f>279125.76+12556.19</f>
        <v>291681.95</v>
      </c>
      <c r="K70" s="86"/>
      <c r="L70" s="130"/>
    </row>
    <row r="71" spans="1:12" x14ac:dyDescent="0.25">
      <c r="A71" s="80" t="s">
        <v>115</v>
      </c>
      <c r="B71" s="81">
        <f>C37-B61</f>
        <v>1208.9543137254877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2232713.9700000007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4" customHeight="1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-220224.91000000085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 t="s">
        <v>203</v>
      </c>
      <c r="B76" s="43"/>
      <c r="C76" s="124">
        <v>7616</v>
      </c>
      <c r="D76" s="115"/>
      <c r="E76" s="116"/>
      <c r="F76" s="117"/>
      <c r="G76" s="109"/>
    </row>
    <row r="77" spans="1:12" x14ac:dyDescent="0.25">
      <c r="A77" s="78" t="s">
        <v>180</v>
      </c>
      <c r="B77" s="43"/>
      <c r="C77" s="175">
        <v>3611</v>
      </c>
      <c r="D77" s="115"/>
      <c r="E77" s="116"/>
      <c r="F77" s="117"/>
      <c r="G77" s="109"/>
    </row>
    <row r="78" spans="1:12" x14ac:dyDescent="0.25">
      <c r="A78" s="78" t="s">
        <v>176</v>
      </c>
      <c r="B78" s="43"/>
      <c r="C78" s="175">
        <v>2723</v>
      </c>
      <c r="D78" s="118"/>
      <c r="E78" s="116"/>
      <c r="F78" s="117"/>
      <c r="G78" s="109"/>
    </row>
    <row r="79" spans="1:12" x14ac:dyDescent="0.25">
      <c r="A79" s="78" t="s">
        <v>184</v>
      </c>
      <c r="B79" s="43"/>
      <c r="C79" s="175">
        <v>13026</v>
      </c>
      <c r="D79" s="118"/>
      <c r="E79" s="116"/>
      <c r="F79" s="117"/>
      <c r="G79" s="109"/>
    </row>
    <row r="80" spans="1:12" x14ac:dyDescent="0.25">
      <c r="A80" s="78" t="s">
        <v>185</v>
      </c>
      <c r="B80" s="43"/>
      <c r="C80" s="175">
        <v>3449</v>
      </c>
      <c r="D80" s="118"/>
      <c r="E80" s="116"/>
      <c r="F80" s="117"/>
      <c r="G80" s="109"/>
    </row>
    <row r="81" spans="1:7" ht="15.75" thickBot="1" x14ac:dyDescent="0.3">
      <c r="A81" s="176" t="s">
        <v>5</v>
      </c>
      <c r="B81" s="177">
        <f>B76</f>
        <v>0</v>
      </c>
      <c r="C81" s="178">
        <f>SUM(C76:C80)</f>
        <v>30425</v>
      </c>
      <c r="D81" s="118"/>
      <c r="E81" s="116"/>
      <c r="F81" s="117"/>
      <c r="G81" s="109"/>
    </row>
    <row r="82" spans="1:7" x14ac:dyDescent="0.25">
      <c r="A82" s="31"/>
      <c r="B82" s="33"/>
      <c r="C82" s="98"/>
      <c r="D82" s="118"/>
      <c r="E82" s="116"/>
      <c r="F82" s="117"/>
      <c r="G82" s="109"/>
    </row>
    <row r="83" spans="1:7" x14ac:dyDescent="0.25">
      <c r="A83" s="60"/>
      <c r="B83" s="33"/>
      <c r="C83" s="98"/>
      <c r="D83" s="118"/>
      <c r="E83" s="116"/>
      <c r="F83" s="117"/>
      <c r="G83" s="109"/>
    </row>
    <row r="84" spans="1:7" hidden="1" x14ac:dyDescent="0.25">
      <c r="A84" s="60" t="s">
        <v>79</v>
      </c>
      <c r="B84" s="33"/>
      <c r="D84" s="118"/>
      <c r="E84" s="116"/>
      <c r="F84" s="117"/>
      <c r="G84" s="109"/>
    </row>
    <row r="85" spans="1:7" hidden="1" x14ac:dyDescent="0.25">
      <c r="A85" s="60" t="s">
        <v>34</v>
      </c>
      <c r="B85" s="20">
        <f>B44/C8/12</f>
        <v>17.378241416676225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81</v>
      </c>
      <c r="B86" s="20">
        <f>B57/C8/12</f>
        <v>0.86881407236071839</v>
      </c>
      <c r="C86" s="101" t="s">
        <v>80</v>
      </c>
      <c r="D86" s="110"/>
      <c r="E86" s="114"/>
      <c r="F86" s="119"/>
      <c r="G86" s="109"/>
    </row>
    <row r="87" spans="1:7" hidden="1" x14ac:dyDescent="0.25">
      <c r="A87" s="60" t="s">
        <v>82</v>
      </c>
      <c r="B87" s="20">
        <f>B58/C8/12</f>
        <v>0</v>
      </c>
      <c r="C87" s="101" t="s">
        <v>80</v>
      </c>
      <c r="D87" s="118"/>
      <c r="E87" s="116"/>
      <c r="F87" s="109"/>
      <c r="G87" s="109"/>
    </row>
    <row r="88" spans="1:7" x14ac:dyDescent="0.25">
      <c r="A88" s="60"/>
      <c r="B88" s="33"/>
      <c r="C88" s="98"/>
      <c r="E88" s="116"/>
      <c r="F88" s="109"/>
      <c r="G88" s="109"/>
    </row>
    <row r="89" spans="1:7" x14ac:dyDescent="0.25">
      <c r="A89" s="60"/>
      <c r="B89" s="33"/>
      <c r="C89" s="101"/>
      <c r="E89" s="116"/>
      <c r="F89" s="109"/>
      <c r="G89" s="109"/>
    </row>
    <row r="90" spans="1:7" x14ac:dyDescent="0.25">
      <c r="A90" s="19"/>
      <c r="B90" s="20"/>
      <c r="C90" s="101"/>
      <c r="D90" s="118"/>
      <c r="E90" s="116"/>
      <c r="F90" s="109"/>
      <c r="G90" s="109"/>
    </row>
    <row r="91" spans="1:7" x14ac:dyDescent="0.25">
      <c r="A91" s="19" t="s">
        <v>83</v>
      </c>
      <c r="B91" s="20"/>
      <c r="C91" s="98"/>
      <c r="D91" s="133" t="s">
        <v>95</v>
      </c>
      <c r="E91" s="100"/>
    </row>
    <row r="92" spans="1:7" x14ac:dyDescent="0.25">
      <c r="A92" s="31"/>
      <c r="B92" s="33"/>
      <c r="C92" s="105"/>
      <c r="D92" s="99"/>
      <c r="E92" s="100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105"/>
      <c r="D95" s="99"/>
      <c r="E95" s="100"/>
    </row>
    <row r="96" spans="1:7" x14ac:dyDescent="0.25">
      <c r="A96" s="103"/>
      <c r="B96" s="104"/>
      <c r="C96" s="98"/>
      <c r="D96" s="56"/>
      <c r="E96" s="56"/>
    </row>
    <row r="97" spans="1:6" x14ac:dyDescent="0.25">
      <c r="A97" s="31"/>
      <c r="B97" s="33"/>
      <c r="C97" s="98"/>
      <c r="D97" s="102"/>
      <c r="E97" s="56"/>
    </row>
    <row r="98" spans="1:6" x14ac:dyDescent="0.25">
      <c r="A98" s="31"/>
      <c r="B98" s="33"/>
      <c r="C98" s="56"/>
      <c r="D98" s="99"/>
      <c r="E98" s="100"/>
    </row>
    <row r="99" spans="1:6" x14ac:dyDescent="0.25">
      <c r="A99" s="19"/>
      <c r="B99" s="20"/>
      <c r="C99" s="56"/>
      <c r="D99" s="99"/>
      <c r="E99" s="100"/>
    </row>
    <row r="100" spans="1:6" x14ac:dyDescent="0.25">
      <c r="A100" s="19"/>
      <c r="B100" s="20"/>
      <c r="C100" s="56"/>
      <c r="D100" s="105"/>
      <c r="E100" s="100"/>
    </row>
    <row r="101" spans="1:6" x14ac:dyDescent="0.25">
      <c r="A101" s="19"/>
      <c r="B101" s="20"/>
      <c r="C101" s="100"/>
      <c r="D101" s="105"/>
      <c r="E101" s="100"/>
    </row>
    <row r="102" spans="1:6" x14ac:dyDescent="0.25">
      <c r="A102" s="31"/>
      <c r="B102" s="33"/>
      <c r="C102" s="100"/>
      <c r="D102" s="105"/>
      <c r="E102" s="100"/>
      <c r="F102" s="106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107"/>
      <c r="B104" s="108"/>
      <c r="C104" s="100"/>
      <c r="D104" s="98"/>
      <c r="E104" s="100"/>
    </row>
    <row r="105" spans="1:6" x14ac:dyDescent="0.25">
      <c r="A105" s="107"/>
      <c r="B105" s="108"/>
      <c r="C105" s="100"/>
      <c r="D105" s="98"/>
      <c r="E105" s="100"/>
    </row>
    <row r="106" spans="1:6" x14ac:dyDescent="0.25">
      <c r="A106" s="31"/>
      <c r="B106" s="33"/>
      <c r="C106" s="100"/>
      <c r="D106" s="56"/>
      <c r="E106" s="56"/>
      <c r="F106" s="3"/>
    </row>
    <row r="107" spans="1:6" x14ac:dyDescent="0.25">
      <c r="A107" s="31"/>
      <c r="B107" s="33"/>
      <c r="C107" s="56"/>
      <c r="D107" s="56"/>
      <c r="E107" s="100"/>
    </row>
    <row r="108" spans="1:6" x14ac:dyDescent="0.25">
      <c r="A108" s="19"/>
      <c r="B108" s="20"/>
      <c r="C108" s="100"/>
      <c r="D108" s="56"/>
      <c r="E108" s="56"/>
    </row>
    <row r="109" spans="1:6" x14ac:dyDescent="0.25">
      <c r="A109" s="31"/>
      <c r="B109" s="33"/>
      <c r="C109" s="100"/>
      <c r="D109" s="100"/>
      <c r="E109" s="100"/>
    </row>
    <row r="110" spans="1:6" x14ac:dyDescent="0.25">
      <c r="A110" s="31"/>
      <c r="B110" s="33"/>
      <c r="C110" s="33"/>
      <c r="D110" s="100"/>
      <c r="E110" s="100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C112" s="33"/>
      <c r="D112" s="100"/>
      <c r="E112" s="100"/>
    </row>
    <row r="113" spans="1:6" x14ac:dyDescent="0.25">
      <c r="A113" s="31"/>
      <c r="B113" s="33"/>
      <c r="D113" s="100"/>
      <c r="E113" s="100"/>
    </row>
    <row r="114" spans="1:6" x14ac:dyDescent="0.25">
      <c r="D114" s="100"/>
      <c r="E114" s="100"/>
    </row>
    <row r="115" spans="1:6" x14ac:dyDescent="0.25">
      <c r="D115" s="56"/>
      <c r="E115" s="56"/>
      <c r="F115" s="3"/>
    </row>
    <row r="116" spans="1:6" x14ac:dyDescent="0.25">
      <c r="D116" s="100"/>
      <c r="E116" s="100"/>
      <c r="F116" s="3"/>
    </row>
    <row r="117" spans="1:6" x14ac:dyDescent="0.25">
      <c r="D117" s="100"/>
      <c r="E117" s="100"/>
    </row>
    <row r="118" spans="1:6" x14ac:dyDescent="0.25">
      <c r="B118"/>
      <c r="C118"/>
      <c r="D118" s="33"/>
      <c r="E118" s="33"/>
    </row>
    <row r="119" spans="1:6" x14ac:dyDescent="0.25">
      <c r="B119"/>
      <c r="C119"/>
      <c r="D119" s="33"/>
      <c r="E119" s="33"/>
    </row>
    <row r="120" spans="1:6" x14ac:dyDescent="0.25">
      <c r="B120"/>
      <c r="C120"/>
      <c r="D120" s="33"/>
      <c r="E120" s="33"/>
    </row>
    <row r="121" spans="1:6" x14ac:dyDescent="0.25">
      <c r="B121"/>
      <c r="C121"/>
    </row>
    <row r="122" spans="1:6" x14ac:dyDescent="0.25">
      <c r="B122"/>
      <c r="C122"/>
    </row>
  </sheetData>
  <pageMargins left="0.7" right="0.7" top="0.75" bottom="0.75" header="0.3" footer="0.3"/>
  <pageSetup paperSize="9" scale="3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0"/>
  <sheetViews>
    <sheetView topLeftCell="A66" workbookViewId="0">
      <selection sqref="A1:E88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130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131</v>
      </c>
      <c r="B6" s="11"/>
      <c r="C6" s="11">
        <v>1068.5</v>
      </c>
      <c r="D6" s="12">
        <v>64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1068.5</v>
      </c>
      <c r="D8" s="18">
        <f>D6</f>
        <v>64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6">
        <v>16.52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6.4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23457.27</f>
        <v>23457.27</v>
      </c>
      <c r="C20" s="41">
        <f>196444.68+2564.64</f>
        <v>199009.32</v>
      </c>
      <c r="D20" s="40">
        <f>182070.31+5967.5</f>
        <v>188037.81</v>
      </c>
      <c r="E20" s="42">
        <f t="shared" ref="E20:E38" si="0">C20-D20+B20</f>
        <v>34428.780000000013</v>
      </c>
      <c r="F20" s="137">
        <f>C20+F22</f>
        <v>246880.04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-328.66</v>
      </c>
      <c r="C22" s="44">
        <f>41031.68+6839.04</f>
        <v>47870.720000000001</v>
      </c>
      <c r="D22" s="43">
        <f>33261.12+1207.56</f>
        <v>34468.68</v>
      </c>
      <c r="E22" s="45">
        <f t="shared" si="0"/>
        <v>13073.380000000001</v>
      </c>
      <c r="F22" s="137">
        <f>C22</f>
        <v>47870.720000000001</v>
      </c>
      <c r="G22" s="139">
        <f>F22*G20/F20</f>
        <v>19.390275536248293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76959.930000000008</v>
      </c>
      <c r="C28" s="50">
        <f>C29+C30+C31+C33</f>
        <v>597732.81999999995</v>
      </c>
      <c r="D28" s="50">
        <f>D29+D30+D31+D33</f>
        <v>591124.12</v>
      </c>
      <c r="E28" s="51">
        <f>C28-D28+B28</f>
        <v>83568.629999999961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38182.44</v>
      </c>
      <c r="C29" s="40">
        <f>304925.74</f>
        <v>304925.74</v>
      </c>
      <c r="D29" s="40">
        <f>282008.64+9117.83</f>
        <v>291126.47000000003</v>
      </c>
      <c r="E29" s="42">
        <f t="shared" si="0"/>
        <v>51981.709999999963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24868.53-184.86</f>
        <v>24683.67</v>
      </c>
      <c r="C30" s="43">
        <f>187351.13-2253.9-11969.99+10259.37-2007.92</f>
        <v>181378.69</v>
      </c>
      <c r="D30" s="43">
        <f>5798.1+176374.33+4596.58</f>
        <v>186769.00999999998</v>
      </c>
      <c r="E30" s="45">
        <f t="shared" si="0"/>
        <v>19293.35000000002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4544.0200000000004</v>
      </c>
      <c r="C31" s="43">
        <f>43056.06-498.86-2698.17</f>
        <v>39859.03</v>
      </c>
      <c r="D31" s="43">
        <f>39221.67+889.85</f>
        <v>40111.519999999997</v>
      </c>
      <c r="E31" s="45">
        <f t="shared" si="0"/>
        <v>4291.5300000000025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106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9549.7999999999993</v>
      </c>
      <c r="C33" s="43">
        <f>77490.67-887.62-5033.69</f>
        <v>71569.36</v>
      </c>
      <c r="D33" s="43">
        <f>71326.58+1790.54</f>
        <v>73117.119999999995</v>
      </c>
      <c r="E33" s="45">
        <f t="shared" si="0"/>
        <v>8002.0400000000045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>
        <v>-697.44</v>
      </c>
      <c r="C35" s="55">
        <f>63845.38-2388.76-595.65</f>
        <v>60860.969999999994</v>
      </c>
      <c r="D35" s="55">
        <f>60640.96+2433.28-0.04</f>
        <v>63074.2</v>
      </c>
      <c r="E35" s="45">
        <f t="shared" si="0"/>
        <v>-2910.6700000000033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>
        <f>-2662.13-193.97</f>
        <v>-2856.1</v>
      </c>
      <c r="C37" s="44">
        <f>12176.74+1913.56-1206.41-973.72</f>
        <v>11910.17</v>
      </c>
      <c r="D37" s="44">
        <f>11130.49+473.82+1830.06+25.8</f>
        <v>13460.169999999998</v>
      </c>
      <c r="E37" s="45">
        <f t="shared" si="0"/>
        <v>-4406.0999999999985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96535</v>
      </c>
      <c r="C39" s="58">
        <f>C20+C21+C22+C23+C24+C25+C26+C28+C35+C36+C37+C38</f>
        <v>917384</v>
      </c>
      <c r="D39" s="58">
        <f>D20+D21+D22+D23+D24+D25+D26+D28+D35+D36+D37+D38+D27</f>
        <v>890164.98</v>
      </c>
      <c r="E39" s="58">
        <f>E20+E21+E22+E23+E24+E25+E26+E28+E35+E36+E37+E38+E27</f>
        <v>123754.01999999999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56"/>
      <c r="E41" s="56"/>
      <c r="F41" s="167"/>
      <c r="G41" s="168"/>
      <c r="H41" s="168"/>
      <c r="I41" s="151"/>
      <c r="J41" s="168"/>
    </row>
    <row r="42" spans="1:22" ht="15.75" thickBot="1" x14ac:dyDescent="0.3">
      <c r="A42" s="62" t="s">
        <v>30</v>
      </c>
      <c r="B42" s="63">
        <f>B44+B59+B60+B57+B62+B58+B61</f>
        <v>817064.43428337423</v>
      </c>
      <c r="C42" s="64" t="s">
        <v>31</v>
      </c>
      <c r="D42" s="140">
        <f>C39-B42-B62</f>
        <v>98648.456815376878</v>
      </c>
      <c r="E42" s="141" t="s">
        <v>32</v>
      </c>
      <c r="F42" s="142">
        <v>5228898.0599999996</v>
      </c>
      <c r="G42" s="142">
        <f>F42/F48*C8</f>
        <v>49982.028164262621</v>
      </c>
      <c r="H42" s="168"/>
      <c r="I42" s="151"/>
      <c r="J42" s="168"/>
    </row>
    <row r="43" spans="1:22" x14ac:dyDescent="0.25">
      <c r="A43" s="65"/>
      <c r="B43" s="66"/>
      <c r="C43" s="67"/>
      <c r="D43" s="140"/>
      <c r="E43" s="141" t="s">
        <v>33</v>
      </c>
      <c r="F43" s="142">
        <v>1017312.51</v>
      </c>
      <c r="G43" s="142">
        <f>F43/F48*C8</f>
        <v>9724.2940947058178</v>
      </c>
      <c r="H43" s="168"/>
      <c r="I43" s="151"/>
      <c r="J43" s="168"/>
    </row>
    <row r="44" spans="1:22" x14ac:dyDescent="0.25">
      <c r="A44" s="68" t="s">
        <v>34</v>
      </c>
      <c r="B44" s="69">
        <f>B45+B46+B48+B49+B50+B51+B52+B53+B54+B55+B56+B47</f>
        <v>168177.43812722346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1671.1089012488894</v>
      </c>
      <c r="H44" s="168"/>
      <c r="I44" s="151"/>
      <c r="J44" s="168"/>
    </row>
    <row r="45" spans="1:22" x14ac:dyDescent="0.25">
      <c r="A45" s="71" t="s">
        <v>112</v>
      </c>
      <c r="B45" s="72"/>
      <c r="C45" s="73" t="s">
        <v>31</v>
      </c>
      <c r="D45" s="140"/>
      <c r="E45" s="141" t="s">
        <v>18</v>
      </c>
      <c r="F45" s="142">
        <v>206457.71</v>
      </c>
      <c r="G45" s="142">
        <f>F45/F48*C8</f>
        <v>1973.4894345882819</v>
      </c>
      <c r="H45" s="168"/>
      <c r="I45" s="151"/>
      <c r="J45" s="168"/>
    </row>
    <row r="46" spans="1:22" x14ac:dyDescent="0.25">
      <c r="A46" s="74" t="s">
        <v>37</v>
      </c>
      <c r="B46" s="72">
        <f>G42+G43</f>
        <v>59706.322258968437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486.60923972101705</v>
      </c>
      <c r="H46" s="168"/>
      <c r="I46" s="151"/>
      <c r="J46" s="168"/>
    </row>
    <row r="47" spans="1:22" x14ac:dyDescent="0.25">
      <c r="A47" s="74" t="s">
        <v>39</v>
      </c>
      <c r="B47" s="72">
        <v>6300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66796.642308183989</v>
      </c>
      <c r="H47" s="168"/>
      <c r="I47" s="151"/>
      <c r="J47" s="168"/>
    </row>
    <row r="48" spans="1:22" x14ac:dyDescent="0.25">
      <c r="A48" s="71" t="s">
        <v>40</v>
      </c>
      <c r="B48" s="72">
        <f>G46+13367.7</f>
        <v>13854.309239721018</v>
      </c>
      <c r="C48" s="73" t="s">
        <v>31</v>
      </c>
      <c r="D48" s="140"/>
      <c r="E48" s="144" t="s">
        <v>41</v>
      </c>
      <c r="F48" s="145">
        <v>111781.73</v>
      </c>
      <c r="G48" s="142"/>
      <c r="H48" s="168"/>
      <c r="I48" s="151"/>
      <c r="J48" s="168"/>
    </row>
    <row r="49" spans="1:12" x14ac:dyDescent="0.25">
      <c r="A49" s="71" t="s">
        <v>42</v>
      </c>
      <c r="B49" s="72">
        <f>G45+60.78</f>
        <v>2034.2694345882819</v>
      </c>
      <c r="C49" s="73" t="s">
        <v>31</v>
      </c>
      <c r="D49" s="140"/>
      <c r="E49" s="145"/>
      <c r="F49" s="142">
        <f>F46*0.6559</f>
        <v>33389.835709999999</v>
      </c>
      <c r="G49" s="142"/>
      <c r="H49" s="168"/>
      <c r="I49" s="151"/>
      <c r="J49" s="168"/>
    </row>
    <row r="50" spans="1:12" x14ac:dyDescent="0.25">
      <c r="A50" s="71" t="s">
        <v>43</v>
      </c>
      <c r="B50" s="72">
        <f>G47</f>
        <v>66796.642308183989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28.165025268440559</v>
      </c>
      <c r="H50" s="168"/>
      <c r="I50" s="151"/>
      <c r="J50" s="168"/>
    </row>
    <row r="51" spans="1:12" x14ac:dyDescent="0.25">
      <c r="A51" s="71" t="s">
        <v>44</v>
      </c>
      <c r="B51" s="72">
        <f>F54</f>
        <v>738.79903382025998</v>
      </c>
      <c r="C51" s="73" t="s">
        <v>31</v>
      </c>
      <c r="D51" s="140"/>
      <c r="E51" s="140"/>
      <c r="F51" s="147"/>
      <c r="G51" s="148"/>
      <c r="H51" s="168"/>
      <c r="I51" s="151"/>
      <c r="J51" s="168"/>
    </row>
    <row r="52" spans="1:12" x14ac:dyDescent="0.25">
      <c r="A52" s="71" t="s">
        <v>45</v>
      </c>
      <c r="B52" s="72">
        <f>G50</f>
        <v>28.165025268440559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68"/>
      <c r="I52" s="151"/>
      <c r="J52" s="168"/>
    </row>
    <row r="53" spans="1:12" x14ac:dyDescent="0.25">
      <c r="A53" s="71" t="s">
        <v>46</v>
      </c>
      <c r="B53" s="72"/>
      <c r="C53" s="73" t="s">
        <v>31</v>
      </c>
      <c r="D53" s="140"/>
      <c r="E53" s="140" t="s">
        <v>93</v>
      </c>
      <c r="F53" s="147">
        <v>30234.54</v>
      </c>
      <c r="G53" s="148"/>
      <c r="H53" s="168"/>
      <c r="I53" s="151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132</v>
      </c>
      <c r="F54" s="147">
        <f>F52/F53*C8</f>
        <v>738.79903382025998</v>
      </c>
      <c r="G54" s="148"/>
      <c r="H54" s="168"/>
      <c r="I54" s="151"/>
      <c r="J54" s="168"/>
    </row>
    <row r="55" spans="1:12" x14ac:dyDescent="0.25">
      <c r="A55" s="71" t="s">
        <v>48</v>
      </c>
      <c r="B55" s="72">
        <v>3846.96</v>
      </c>
      <c r="C55" s="73" t="s">
        <v>31</v>
      </c>
      <c r="D55" s="140"/>
      <c r="E55" s="140"/>
      <c r="F55" s="169"/>
      <c r="G55" s="136"/>
      <c r="H55" s="168"/>
      <c r="I55" s="168"/>
      <c r="J55" s="168"/>
    </row>
    <row r="56" spans="1:12" x14ac:dyDescent="0.25">
      <c r="A56" s="71" t="s">
        <v>49</v>
      </c>
      <c r="B56" s="72">
        <f>(B46+B47+B48+B49+B50+B52+B53+B54)*0.1</f>
        <v>14871.970826673016</v>
      </c>
      <c r="C56" s="73" t="s">
        <v>31</v>
      </c>
      <c r="D56" s="56"/>
      <c r="E56" s="56"/>
      <c r="F56" s="167"/>
      <c r="G56" s="168"/>
      <c r="H56" s="168"/>
      <c r="I56" s="168"/>
      <c r="J56" s="168"/>
    </row>
    <row r="57" spans="1:12" x14ac:dyDescent="0.25">
      <c r="A57" s="68" t="s">
        <v>50</v>
      </c>
      <c r="B57" s="69">
        <f>C78</f>
        <v>2723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/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565192.24</v>
      </c>
      <c r="C59" s="70" t="s">
        <v>31</v>
      </c>
      <c r="D59" s="56"/>
      <c r="E59" s="56"/>
      <c r="F59" s="3"/>
      <c r="I59" s="78" t="s">
        <v>64</v>
      </c>
      <c r="J59" s="129">
        <f>73042.57+822.51</f>
        <v>73865.08</v>
      </c>
      <c r="K59" s="78"/>
      <c r="L59" s="129">
        <f t="shared" ref="L59:L64" si="1">5051.88+7965.81</f>
        <v>13017.69</v>
      </c>
    </row>
    <row r="60" spans="1:12" x14ac:dyDescent="0.25">
      <c r="A60" s="68" t="s">
        <v>53</v>
      </c>
      <c r="B60" s="69">
        <v>67624.009999999995</v>
      </c>
      <c r="C60" s="70" t="s">
        <v>54</v>
      </c>
      <c r="D60" s="56"/>
      <c r="E60" s="56"/>
      <c r="F60" s="3"/>
      <c r="I60" s="78" t="s">
        <v>66</v>
      </c>
      <c r="J60" s="129">
        <f>54889.27+993.42</f>
        <v>55882.689999999995</v>
      </c>
      <c r="K60" s="78"/>
      <c r="L60" s="129">
        <f t="shared" si="1"/>
        <v>13017.69</v>
      </c>
    </row>
    <row r="61" spans="1:12" x14ac:dyDescent="0.25">
      <c r="A61" s="164" t="s">
        <v>113</v>
      </c>
      <c r="B61" s="165">
        <f>C37/1.02</f>
        <v>11676.63725490196</v>
      </c>
      <c r="C61" s="166"/>
      <c r="D61" s="56"/>
      <c r="E61" s="56"/>
      <c r="F61" s="3"/>
      <c r="I61" s="78" t="s">
        <v>67</v>
      </c>
      <c r="J61" s="129">
        <f>47469.03+1099.88</f>
        <v>48568.909999999996</v>
      </c>
      <c r="K61" s="78"/>
      <c r="L61" s="129">
        <f t="shared" si="1"/>
        <v>13017.69</v>
      </c>
    </row>
    <row r="62" spans="1:12" ht="15.75" thickBot="1" x14ac:dyDescent="0.3">
      <c r="A62" s="75" t="s">
        <v>114</v>
      </c>
      <c r="B62" s="76">
        <f>G44</f>
        <v>1671.1089012488894</v>
      </c>
      <c r="C62" s="77" t="s">
        <v>31</v>
      </c>
      <c r="D62" s="56"/>
      <c r="E62" s="56"/>
      <c r="F62" s="3"/>
      <c r="I62" s="78" t="s">
        <v>68</v>
      </c>
      <c r="J62" s="129">
        <f>33321.96+916.57</f>
        <v>34238.53</v>
      </c>
      <c r="K62" s="78"/>
      <c r="L62" s="129">
        <f t="shared" si="1"/>
        <v>13017.69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9429.69+1069.28</f>
        <v>10498.970000000001</v>
      </c>
      <c r="K63" s="78"/>
      <c r="L63" s="129">
        <f t="shared" si="1"/>
        <v>13017.69</v>
      </c>
    </row>
    <row r="64" spans="1:12" x14ac:dyDescent="0.25">
      <c r="A64" s="60" t="s">
        <v>98</v>
      </c>
      <c r="B64" s="3">
        <f>C39+B43-B42</f>
        <v>100319.56571662577</v>
      </c>
      <c r="C64" s="56" t="s">
        <v>31</v>
      </c>
      <c r="D64" s="56"/>
      <c r="E64" s="56"/>
      <c r="F64" s="3"/>
      <c r="I64" s="78" t="s">
        <v>70</v>
      </c>
      <c r="J64" s="129">
        <f>2463.3+923.5</f>
        <v>3386.8</v>
      </c>
      <c r="K64" s="78"/>
      <c r="L64" s="129">
        <f t="shared" si="1"/>
        <v>13017.69</v>
      </c>
    </row>
    <row r="65" spans="1:12" x14ac:dyDescent="0.25">
      <c r="A65" s="60" t="s">
        <v>99</v>
      </c>
      <c r="B65" s="2">
        <f>B66+B67+B68+B69+B70+B71</f>
        <v>100319.56571662564</v>
      </c>
      <c r="C65" s="56" t="s">
        <v>31</v>
      </c>
      <c r="D65" s="56"/>
      <c r="E65" s="56"/>
      <c r="F65" s="3"/>
      <c r="I65" s="78" t="s">
        <v>71</v>
      </c>
      <c r="J65" s="129">
        <f>2610.87+2357.97</f>
        <v>4968.84</v>
      </c>
      <c r="K65" s="78"/>
      <c r="L65" s="129">
        <f>5350.95+8429.21</f>
        <v>13780.16</v>
      </c>
    </row>
    <row r="66" spans="1:12" x14ac:dyDescent="0.25">
      <c r="A66" s="80" t="s">
        <v>58</v>
      </c>
      <c r="B66" s="81">
        <f>C20-B44-B62</f>
        <v>29160.772971527658</v>
      </c>
      <c r="C66" s="56" t="s">
        <v>31</v>
      </c>
      <c r="D66" s="56"/>
      <c r="E66" s="56"/>
      <c r="F66" s="3"/>
      <c r="I66" s="78" t="s">
        <v>72</v>
      </c>
      <c r="J66" s="129">
        <f>2610.88+923.5</f>
        <v>3534.38</v>
      </c>
      <c r="K66" s="78"/>
      <c r="L66" s="129">
        <f>5350.95+8429.21</f>
        <v>13780.16</v>
      </c>
    </row>
    <row r="67" spans="1:12" x14ac:dyDescent="0.25">
      <c r="A67" s="80" t="s">
        <v>59</v>
      </c>
      <c r="B67" s="81">
        <f>C22-B57</f>
        <v>45147.72</v>
      </c>
      <c r="C67" s="56" t="s">
        <v>31</v>
      </c>
      <c r="D67" s="56"/>
      <c r="E67" s="56"/>
      <c r="F67" s="3"/>
      <c r="I67" s="78" t="s">
        <v>73</v>
      </c>
      <c r="J67" s="129">
        <f>10651.78+1065.19</f>
        <v>11716.970000000001</v>
      </c>
      <c r="K67" s="78"/>
      <c r="L67" s="129">
        <f>5650.02+8903.63</f>
        <v>14553.65</v>
      </c>
    </row>
    <row r="68" spans="1:12" x14ac:dyDescent="0.25">
      <c r="A68" s="80" t="s">
        <v>60</v>
      </c>
      <c r="B68" s="81">
        <f>C26-B58</f>
        <v>0</v>
      </c>
      <c r="C68" s="56" t="s">
        <v>31</v>
      </c>
      <c r="D68" s="56"/>
      <c r="E68" s="56"/>
      <c r="F68" s="3"/>
      <c r="I68" s="78" t="s">
        <v>74</v>
      </c>
      <c r="J68" s="129">
        <f>31321.42+828.4-2463.3-923.5+2463.3+923.5</f>
        <v>32149.82</v>
      </c>
      <c r="K68" s="78"/>
      <c r="L68" s="129">
        <f>5650.02+8903.63</f>
        <v>14553.65</v>
      </c>
    </row>
    <row r="69" spans="1:12" x14ac:dyDescent="0.25">
      <c r="A69" s="80" t="s">
        <v>61</v>
      </c>
      <c r="B69" s="81">
        <f>C28-B59</f>
        <v>32540.579999999958</v>
      </c>
      <c r="C69" s="56" t="s">
        <v>31</v>
      </c>
      <c r="D69" s="56"/>
      <c r="E69" s="56"/>
      <c r="F69" s="3"/>
      <c r="I69" s="78" t="s">
        <v>75</v>
      </c>
      <c r="J69" s="129">
        <f>54283.15+908.53</f>
        <v>55191.68</v>
      </c>
      <c r="K69" s="78"/>
      <c r="L69" s="129">
        <f>5650.02+8903.63</f>
        <v>14553.65</v>
      </c>
    </row>
    <row r="70" spans="1:12" ht="15.75" thickBot="1" x14ac:dyDescent="0.3">
      <c r="A70" s="80" t="s">
        <v>62</v>
      </c>
      <c r="B70" s="81">
        <f>C35-B60</f>
        <v>-6763.0400000000009</v>
      </c>
      <c r="C70" s="56" t="s">
        <v>31</v>
      </c>
      <c r="D70" s="56"/>
      <c r="E70" s="56"/>
      <c r="F70" s="3"/>
      <c r="I70" s="86" t="s">
        <v>76</v>
      </c>
      <c r="J70" s="130">
        <f>80898.64+963.52</f>
        <v>81862.16</v>
      </c>
      <c r="K70" s="86"/>
      <c r="L70" s="130"/>
    </row>
    <row r="71" spans="1:12" x14ac:dyDescent="0.25">
      <c r="A71" s="80" t="s">
        <v>115</v>
      </c>
      <c r="B71" s="81">
        <f>C37-B61</f>
        <v>233.53274509804032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565192.24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32540.579999999958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/>
      <c r="B76" s="43"/>
      <c r="C76" s="124"/>
      <c r="D76" s="115"/>
      <c r="E76" s="116"/>
      <c r="F76" s="117"/>
      <c r="G76" s="109"/>
    </row>
    <row r="77" spans="1:12" ht="15.75" thickBot="1" x14ac:dyDescent="0.3">
      <c r="A77" s="171" t="s">
        <v>176</v>
      </c>
      <c r="B77" s="172"/>
      <c r="C77" s="173">
        <v>2723</v>
      </c>
      <c r="D77" s="115"/>
      <c r="E77" s="116"/>
      <c r="F77" s="117"/>
      <c r="G77" s="109"/>
    </row>
    <row r="78" spans="1:12" ht="15.75" thickBot="1" x14ac:dyDescent="0.3">
      <c r="A78" s="89" t="s">
        <v>5</v>
      </c>
      <c r="B78" s="90">
        <f>B76</f>
        <v>0</v>
      </c>
      <c r="C78" s="91">
        <f>C76+C77</f>
        <v>2723</v>
      </c>
      <c r="D78" s="118"/>
      <c r="E78" s="116"/>
      <c r="F78" s="117"/>
      <c r="G78" s="109"/>
    </row>
    <row r="79" spans="1:12" x14ac:dyDescent="0.25">
      <c r="A79" s="31"/>
      <c r="B79" s="33"/>
      <c r="C79" s="98"/>
      <c r="D79" s="118"/>
      <c r="E79" s="116"/>
      <c r="F79" s="117"/>
      <c r="G79" s="109"/>
    </row>
    <row r="80" spans="1:12" x14ac:dyDescent="0.25">
      <c r="A80" s="60"/>
      <c r="B80" s="33"/>
      <c r="C80" s="98"/>
      <c r="D80" s="118"/>
      <c r="E80" s="116"/>
      <c r="F80" s="117"/>
      <c r="G80" s="109"/>
    </row>
    <row r="81" spans="1:7" hidden="1" x14ac:dyDescent="0.25">
      <c r="A81" s="60" t="s">
        <v>79</v>
      </c>
      <c r="B81" s="33"/>
      <c r="D81" s="118"/>
      <c r="E81" s="116"/>
      <c r="F81" s="117"/>
      <c r="G81" s="109"/>
    </row>
    <row r="82" spans="1:7" hidden="1" x14ac:dyDescent="0.25">
      <c r="A82" s="60" t="s">
        <v>34</v>
      </c>
      <c r="B82" s="20">
        <f>B44/C8/12</f>
        <v>13.116318680956439</v>
      </c>
      <c r="C82" s="101" t="s">
        <v>80</v>
      </c>
      <c r="D82" s="118"/>
      <c r="E82" s="116"/>
      <c r="F82" s="117"/>
      <c r="G82" s="109"/>
    </row>
    <row r="83" spans="1:7" hidden="1" x14ac:dyDescent="0.25">
      <c r="A83" s="60" t="s">
        <v>81</v>
      </c>
      <c r="B83" s="20">
        <f>B57/C8/12</f>
        <v>0.21236936515364216</v>
      </c>
      <c r="C83" s="101" t="s">
        <v>80</v>
      </c>
      <c r="D83" s="118"/>
      <c r="E83" s="116"/>
      <c r="F83" s="117"/>
      <c r="G83" s="109"/>
    </row>
    <row r="84" spans="1:7" hidden="1" x14ac:dyDescent="0.25">
      <c r="A84" s="60" t="s">
        <v>82</v>
      </c>
      <c r="B84" s="20">
        <f>B58/C8/12</f>
        <v>0</v>
      </c>
      <c r="C84" s="101" t="s">
        <v>80</v>
      </c>
      <c r="D84" s="118"/>
      <c r="E84" s="116"/>
      <c r="F84" s="117"/>
      <c r="G84" s="109"/>
    </row>
    <row r="85" spans="1:7" x14ac:dyDescent="0.25">
      <c r="A85" s="60"/>
      <c r="B85" s="33"/>
      <c r="C85" s="98"/>
      <c r="D85" s="118"/>
      <c r="E85" s="116"/>
      <c r="F85" s="117"/>
      <c r="G85" s="109"/>
    </row>
    <row r="86" spans="1:7" x14ac:dyDescent="0.25">
      <c r="A86" s="60"/>
      <c r="B86" s="33"/>
      <c r="C86" s="101"/>
      <c r="D86" s="110"/>
      <c r="E86" s="114"/>
      <c r="F86" s="119"/>
      <c r="G86" s="109"/>
    </row>
    <row r="87" spans="1:7" x14ac:dyDescent="0.25">
      <c r="A87" s="19"/>
      <c r="B87" s="20"/>
      <c r="C87" s="101"/>
      <c r="D87" s="118"/>
      <c r="E87" s="116"/>
      <c r="F87" s="109"/>
      <c r="G87" s="109"/>
    </row>
    <row r="88" spans="1:7" x14ac:dyDescent="0.25">
      <c r="A88" s="19" t="s">
        <v>83</v>
      </c>
      <c r="B88" s="20"/>
      <c r="C88" s="98"/>
      <c r="D88" s="133" t="s">
        <v>95</v>
      </c>
      <c r="E88" s="116"/>
      <c r="F88" s="109"/>
      <c r="G88" s="109"/>
    </row>
    <row r="89" spans="1:7" x14ac:dyDescent="0.25">
      <c r="A89" s="31"/>
      <c r="B89" s="33"/>
      <c r="C89" s="105"/>
      <c r="E89" s="116"/>
      <c r="F89" s="109"/>
      <c r="G89" s="109"/>
    </row>
    <row r="90" spans="1:7" x14ac:dyDescent="0.25">
      <c r="A90" s="103"/>
      <c r="B90" s="104"/>
      <c r="C90" s="105"/>
      <c r="D90" s="118"/>
      <c r="E90" s="116"/>
      <c r="F90" s="109"/>
      <c r="G90" s="109"/>
    </row>
    <row r="91" spans="1:7" x14ac:dyDescent="0.25">
      <c r="A91" s="103"/>
      <c r="B91" s="104"/>
      <c r="C91" s="105"/>
      <c r="D91" s="99"/>
      <c r="E91" s="100"/>
    </row>
    <row r="92" spans="1:7" x14ac:dyDescent="0.25">
      <c r="A92" s="103"/>
      <c r="B92" s="104"/>
      <c r="C92" s="105"/>
      <c r="D92" s="99"/>
      <c r="E92" s="100"/>
    </row>
    <row r="93" spans="1:7" x14ac:dyDescent="0.25">
      <c r="A93" s="103"/>
      <c r="B93" s="104"/>
      <c r="C93" s="98"/>
      <c r="D93" s="99"/>
      <c r="E93" s="100"/>
    </row>
    <row r="94" spans="1:7" x14ac:dyDescent="0.25">
      <c r="A94" s="31"/>
      <c r="B94" s="33"/>
      <c r="C94" s="98"/>
      <c r="D94" s="99"/>
      <c r="E94" s="100"/>
    </row>
    <row r="95" spans="1:7" x14ac:dyDescent="0.25">
      <c r="A95" s="31"/>
      <c r="B95" s="33"/>
      <c r="C95" s="56"/>
      <c r="D95" s="99"/>
      <c r="E95" s="100"/>
    </row>
    <row r="96" spans="1:7" x14ac:dyDescent="0.25">
      <c r="A96" s="19"/>
      <c r="B96" s="20"/>
      <c r="C96" s="56"/>
      <c r="D96" s="56"/>
      <c r="E96" s="56"/>
    </row>
    <row r="97" spans="1:6" x14ac:dyDescent="0.25">
      <c r="A97" s="19"/>
      <c r="B97" s="20"/>
      <c r="C97" s="56"/>
      <c r="D97" s="102"/>
      <c r="E97" s="56"/>
    </row>
    <row r="98" spans="1:6" x14ac:dyDescent="0.25">
      <c r="A98" s="19"/>
      <c r="B98" s="20"/>
      <c r="C98" s="100"/>
      <c r="D98" s="99"/>
      <c r="E98" s="100"/>
    </row>
    <row r="99" spans="1:6" x14ac:dyDescent="0.25">
      <c r="A99" s="31"/>
      <c r="B99" s="33"/>
      <c r="C99" s="100"/>
      <c r="D99" s="99"/>
      <c r="E99" s="100"/>
    </row>
    <row r="100" spans="1:6" x14ac:dyDescent="0.25">
      <c r="A100" s="31"/>
      <c r="B100" s="33"/>
      <c r="C100" s="100"/>
      <c r="D100" s="105"/>
      <c r="E100" s="100"/>
    </row>
    <row r="101" spans="1:6" x14ac:dyDescent="0.25">
      <c r="A101" s="107"/>
      <c r="B101" s="108"/>
      <c r="C101" s="100"/>
      <c r="D101" s="105"/>
      <c r="E101" s="100"/>
    </row>
    <row r="102" spans="1:6" x14ac:dyDescent="0.25">
      <c r="A102" s="107"/>
      <c r="B102" s="108"/>
      <c r="C102" s="100"/>
      <c r="D102" s="105"/>
      <c r="E102" s="100"/>
      <c r="F102" s="106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31"/>
      <c r="B104" s="33"/>
      <c r="C104" s="56"/>
      <c r="D104" s="98"/>
      <c r="E104" s="100"/>
    </row>
    <row r="105" spans="1:6" x14ac:dyDescent="0.25">
      <c r="A105" s="19"/>
      <c r="B105" s="20"/>
      <c r="C105" s="100"/>
      <c r="D105" s="98"/>
      <c r="E105" s="100"/>
    </row>
    <row r="106" spans="1:6" x14ac:dyDescent="0.25">
      <c r="A106" s="31"/>
      <c r="B106" s="33"/>
      <c r="C106" s="100"/>
      <c r="D106" s="56"/>
      <c r="E106" s="56"/>
      <c r="F106" s="3"/>
    </row>
    <row r="107" spans="1:6" x14ac:dyDescent="0.25">
      <c r="A107" s="31"/>
      <c r="B107" s="33"/>
      <c r="C107" s="33"/>
      <c r="D107" s="56"/>
      <c r="E107" s="100"/>
    </row>
    <row r="108" spans="1:6" x14ac:dyDescent="0.25">
      <c r="A108" s="31"/>
      <c r="B108" s="33"/>
      <c r="C108" s="33"/>
      <c r="D108" s="56"/>
      <c r="E108" s="56"/>
    </row>
    <row r="109" spans="1:6" x14ac:dyDescent="0.25">
      <c r="A109" s="31"/>
      <c r="B109" s="33"/>
      <c r="C109" s="33"/>
      <c r="D109" s="100"/>
      <c r="E109" s="100"/>
    </row>
    <row r="110" spans="1:6" x14ac:dyDescent="0.25">
      <c r="A110" s="31"/>
      <c r="B110" s="33"/>
      <c r="D110" s="100"/>
      <c r="E110" s="100"/>
    </row>
    <row r="111" spans="1:6" x14ac:dyDescent="0.25">
      <c r="D111" s="100"/>
      <c r="E111" s="100"/>
    </row>
    <row r="112" spans="1:6" x14ac:dyDescent="0.25"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B115"/>
      <c r="C115"/>
      <c r="D115" s="56"/>
      <c r="E115" s="56"/>
      <c r="F115" s="3"/>
    </row>
    <row r="116" spans="2:6" x14ac:dyDescent="0.25">
      <c r="B116"/>
      <c r="C116"/>
      <c r="D116" s="100"/>
      <c r="E116" s="100"/>
      <c r="F116" s="3"/>
    </row>
    <row r="117" spans="2:6" x14ac:dyDescent="0.25">
      <c r="B117"/>
      <c r="C117"/>
      <c r="D117" s="100"/>
      <c r="E117" s="100"/>
    </row>
    <row r="118" spans="2:6" x14ac:dyDescent="0.25">
      <c r="B118"/>
      <c r="C118"/>
      <c r="D118" s="33"/>
      <c r="E118" s="33"/>
    </row>
    <row r="119" spans="2:6" x14ac:dyDescent="0.25">
      <c r="B119"/>
      <c r="C119"/>
      <c r="D119" s="33"/>
      <c r="E119" s="33"/>
    </row>
    <row r="120" spans="2:6" x14ac:dyDescent="0.25">
      <c r="D120" s="33"/>
      <c r="E120" s="33"/>
    </row>
  </sheetData>
  <pageMargins left="0.7" right="0.7" top="0.75" bottom="0.75" header="0.3" footer="0.3"/>
  <pageSetup paperSize="9" scale="3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0"/>
  <sheetViews>
    <sheetView topLeftCell="A64" workbookViewId="0">
      <selection sqref="A1:E8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133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134</v>
      </c>
      <c r="B6" s="11"/>
      <c r="C6" s="11">
        <v>1311.4</v>
      </c>
      <c r="D6" s="12">
        <v>37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1311.4</v>
      </c>
      <c r="D8" s="18">
        <f>D6</f>
        <v>37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 t="s">
        <v>135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3.66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/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33194.04</v>
      </c>
      <c r="C20" s="41">
        <f>159176.88+1108.68</f>
        <v>160285.56</v>
      </c>
      <c r="D20" s="40">
        <f>135299.11+8769.47</f>
        <v>144068.57999999999</v>
      </c>
      <c r="E20" s="42">
        <f t="shared" ref="E20:E38" si="0">C20-D20+B20</f>
        <v>49411.020000000011</v>
      </c>
      <c r="F20" s="137">
        <f>C20+F22</f>
        <v>217882.56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13251.9</v>
      </c>
      <c r="C22" s="44">
        <v>57597</v>
      </c>
      <c r="D22" s="43">
        <f>49212.99+2980.47</f>
        <v>52193.46</v>
      </c>
      <c r="E22" s="45">
        <f t="shared" si="0"/>
        <v>18655.440000000002</v>
      </c>
      <c r="F22" s="137">
        <f>C22</f>
        <v>57597</v>
      </c>
      <c r="G22" s="139">
        <f>F22*G20/F20</f>
        <v>26.434883085640266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>
        <v>9231.24</v>
      </c>
      <c r="C24" s="44">
        <f>360267.97-116793.31</f>
        <v>243474.65999999997</v>
      </c>
      <c r="D24" s="44">
        <f>181142.91+25399.69</f>
        <v>206542.6</v>
      </c>
      <c r="E24" s="45">
        <f t="shared" si="0"/>
        <v>46163.299999999967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7755.6399999999985</v>
      </c>
      <c r="C28" s="50">
        <f>C29+C30+C31+C33</f>
        <v>475454.58000000007</v>
      </c>
      <c r="D28" s="50">
        <f>D29+D30+D31+D33</f>
        <v>309585.44999999995</v>
      </c>
      <c r="E28" s="51">
        <f>C28-D28+B28</f>
        <v>173624.77000000011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-23710.73</v>
      </c>
      <c r="C29" s="40">
        <f>344054.77-46930.62</f>
        <v>297124.15000000002</v>
      </c>
      <c r="D29" s="40">
        <f>131523.88+9890.9</f>
        <v>141414.78</v>
      </c>
      <c r="E29" s="42">
        <f t="shared" si="0"/>
        <v>131998.64000000001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12853.22+5713.38</f>
        <v>18566.599999999999</v>
      </c>
      <c r="C30" s="43">
        <f>90538.33-1689.36+32619.24-698.68-145.12</f>
        <v>120624.41000000002</v>
      </c>
      <c r="D30" s="43">
        <f>75981.89+4904.19+26816.49+1802.39</f>
        <v>109504.96000000001</v>
      </c>
      <c r="E30" s="45">
        <f t="shared" si="0"/>
        <v>29686.05000000001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4000.45</v>
      </c>
      <c r="C31" s="43">
        <f>18256.56-321.41-49.12</f>
        <v>17886.030000000002</v>
      </c>
      <c r="D31" s="43">
        <f>17951.25+878.55</f>
        <v>18829.8</v>
      </c>
      <c r="E31" s="45">
        <f t="shared" si="0"/>
        <v>3056.680000000003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106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8899.32</v>
      </c>
      <c r="C33" s="43">
        <f>40728.53-801.77-106.77</f>
        <v>39819.990000000005</v>
      </c>
      <c r="D33" s="43">
        <f>37757.89+2078.02</f>
        <v>39835.909999999996</v>
      </c>
      <c r="E33" s="45">
        <f t="shared" si="0"/>
        <v>8883.4000000000087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63432.82</v>
      </c>
      <c r="C39" s="58">
        <f>C20+C21+C22+C23+C24+C25+C26+C28+C35+C36+C37+C38</f>
        <v>936811.8</v>
      </c>
      <c r="D39" s="58">
        <f>D20+D21+D22+D23+D24+D25+D26+D28+D35+D36+D37+D38+D27</f>
        <v>712390.09</v>
      </c>
      <c r="E39" s="58">
        <f>E20+E21+E22+E23+E24+E25+E26+E28+E35+E36+E37+E38+E27</f>
        <v>287854.53000000009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686561.59163447702</v>
      </c>
      <c r="C42" s="64" t="s">
        <v>31</v>
      </c>
      <c r="D42" s="140">
        <f>C39-B42-B62</f>
        <v>248199.20956992378</v>
      </c>
      <c r="E42" s="141" t="s">
        <v>32</v>
      </c>
      <c r="F42" s="142">
        <v>5228898.0599999996</v>
      </c>
      <c r="G42" s="142">
        <f>F42/F48*C8</f>
        <v>61344.344159676191</v>
      </c>
      <c r="H42" s="109"/>
      <c r="I42" s="109"/>
      <c r="J42" s="168"/>
    </row>
    <row r="43" spans="1:22" x14ac:dyDescent="0.25">
      <c r="A43" s="65" t="s">
        <v>92</v>
      </c>
      <c r="B43" s="66">
        <v>-54051.37</v>
      </c>
      <c r="C43" s="70" t="s">
        <v>31</v>
      </c>
      <c r="D43" s="140"/>
      <c r="E43" s="141" t="s">
        <v>33</v>
      </c>
      <c r="F43" s="142">
        <v>1017312.51</v>
      </c>
      <c r="G43" s="142">
        <f>F43/F48*C8</f>
        <v>11934.898713895376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230985.88283887773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2050.9987955992456</v>
      </c>
      <c r="H44" s="109"/>
      <c r="I44" s="109"/>
      <c r="J44" s="168"/>
    </row>
    <row r="45" spans="1:22" x14ac:dyDescent="0.25">
      <c r="A45" s="71" t="s">
        <v>112</v>
      </c>
      <c r="B45" s="72">
        <v>16037.95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2422.1188998774669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73279.242873571566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597.22915954154587</v>
      </c>
      <c r="H46" s="109"/>
      <c r="I46" s="109"/>
      <c r="J46" s="168"/>
    </row>
    <row r="47" spans="1:22" x14ac:dyDescent="0.25">
      <c r="A47" s="74" t="s">
        <v>39</v>
      </c>
      <c r="B47" s="72">
        <v>25190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81981.391411279823</v>
      </c>
      <c r="H47" s="109"/>
      <c r="I47" s="109"/>
      <c r="J47" s="168"/>
    </row>
    <row r="48" spans="1:22" x14ac:dyDescent="0.25">
      <c r="A48" s="71" t="s">
        <v>40</v>
      </c>
      <c r="B48" s="72">
        <f>G46+3463.5</f>
        <v>4060.7291595415459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G45+100</f>
        <v>2522.1188998774669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</f>
        <v>81981.391411279823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34.567724976165607</v>
      </c>
      <c r="H50" s="109"/>
      <c r="I50" s="109"/>
      <c r="J50" s="168"/>
    </row>
    <row r="51" spans="1:12" x14ac:dyDescent="0.25">
      <c r="A51" s="71" t="s">
        <v>44</v>
      </c>
      <c r="B51" s="72">
        <f>F54</f>
        <v>906.74876270649406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</f>
        <v>34.567724976165607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>
        <f>1772.9+1457.29</f>
        <v>3230.19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136</v>
      </c>
      <c r="F54" s="147">
        <f>F52/F53*C8</f>
        <v>906.74876270649406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4713.12</v>
      </c>
      <c r="C55" s="73" t="s">
        <v>31</v>
      </c>
      <c r="D55" s="140"/>
      <c r="E55" s="140"/>
      <c r="F55" s="169"/>
      <c r="G55" s="136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19029.824006924657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C78</f>
        <v>0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1254.76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452269.95</v>
      </c>
      <c r="C59" s="70" t="s">
        <v>31</v>
      </c>
      <c r="D59" s="56"/>
      <c r="E59" s="56"/>
      <c r="F59" s="3"/>
      <c r="I59" s="78" t="s">
        <v>64</v>
      </c>
      <c r="J59" s="129">
        <f>52059.02+1933.76</f>
        <v>53992.78</v>
      </c>
      <c r="K59" s="78"/>
      <c r="L59" s="129">
        <f>2131.37+3671.95</f>
        <v>5803.32</v>
      </c>
    </row>
    <row r="60" spans="1:12" x14ac:dyDescent="0.25">
      <c r="A60" s="68" t="s">
        <v>53</v>
      </c>
      <c r="B60" s="69">
        <v>0</v>
      </c>
      <c r="C60" s="70" t="s">
        <v>54</v>
      </c>
      <c r="D60" s="56"/>
      <c r="E60" s="56"/>
      <c r="F60" s="3"/>
      <c r="I60" s="78" t="s">
        <v>66</v>
      </c>
      <c r="J60" s="129">
        <f>54355.28+1690.17</f>
        <v>56045.45</v>
      </c>
      <c r="K60" s="78"/>
      <c r="L60" s="129">
        <f>1342.25+2641.07</f>
        <v>3983.32</v>
      </c>
    </row>
    <row r="61" spans="1:12" x14ac:dyDescent="0.25">
      <c r="A61" s="164" t="s">
        <v>113</v>
      </c>
      <c r="B61" s="165">
        <f>C37/1.02</f>
        <v>0</v>
      </c>
      <c r="C61" s="166"/>
      <c r="D61" s="56"/>
      <c r="E61" s="56"/>
      <c r="F61" s="3"/>
      <c r="I61" s="78" t="s">
        <v>67</v>
      </c>
      <c r="J61" s="129">
        <f>38760.6+2051.43</f>
        <v>40812.03</v>
      </c>
      <c r="K61" s="78"/>
      <c r="L61" s="129">
        <f>1740.5+3288.54</f>
        <v>5029.04</v>
      </c>
    </row>
    <row r="62" spans="1:12" ht="15.75" thickBot="1" x14ac:dyDescent="0.3">
      <c r="A62" s="75" t="s">
        <v>114</v>
      </c>
      <c r="B62" s="76">
        <f>G44</f>
        <v>2050.9987955992456</v>
      </c>
      <c r="C62" s="77" t="s">
        <v>31</v>
      </c>
      <c r="D62" s="56"/>
      <c r="E62" s="56"/>
      <c r="F62" s="3"/>
      <c r="I62" s="78" t="s">
        <v>68</v>
      </c>
      <c r="J62" s="129">
        <f>21089.85+2265.27</f>
        <v>23355.119999999999</v>
      </c>
      <c r="K62" s="78"/>
      <c r="L62" s="129">
        <f>1357+2930.73</f>
        <v>4287.7299999999996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14172.38+2427.48</f>
        <v>16599.86</v>
      </c>
      <c r="K63" s="78"/>
      <c r="L63" s="129">
        <f>1312.75+2981.85</f>
        <v>4294.6000000000004</v>
      </c>
    </row>
    <row r="64" spans="1:12" x14ac:dyDescent="0.25">
      <c r="A64" s="60" t="s">
        <v>98</v>
      </c>
      <c r="B64" s="174">
        <f>C39-C24+B43-B42</f>
        <v>-47275.821634476888</v>
      </c>
      <c r="C64" s="56" t="s">
        <v>31</v>
      </c>
      <c r="D64" s="56"/>
      <c r="E64" s="56"/>
      <c r="F64" s="3"/>
      <c r="I64" s="78" t="s">
        <v>70</v>
      </c>
      <c r="J64" s="129">
        <f>5533.98+1695.93</f>
        <v>7229.91</v>
      </c>
      <c r="K64" s="78"/>
      <c r="L64" s="129">
        <f>1320.13+2990.37</f>
        <v>4310.5</v>
      </c>
    </row>
    <row r="65" spans="1:12" x14ac:dyDescent="0.25">
      <c r="A65" s="60" t="s">
        <v>99</v>
      </c>
      <c r="B65" s="2">
        <f>B66+B67+B68+B69+B70+B71</f>
        <v>6775.5483655230892</v>
      </c>
      <c r="C65" s="56" t="s">
        <v>31</v>
      </c>
      <c r="D65" s="56"/>
      <c r="E65" s="56"/>
      <c r="F65" s="3"/>
      <c r="I65" s="78" t="s">
        <v>71</v>
      </c>
      <c r="J65" s="129">
        <f>8145.55+5422.82</f>
        <v>13568.369999999999</v>
      </c>
      <c r="K65" s="78"/>
      <c r="L65" s="129">
        <f>1515.45+5210.79</f>
        <v>6726.24</v>
      </c>
    </row>
    <row r="66" spans="1:12" x14ac:dyDescent="0.25">
      <c r="A66" s="80" t="s">
        <v>58</v>
      </c>
      <c r="B66" s="81">
        <f>C20-B44-B62</f>
        <v>-72751.321634476975</v>
      </c>
      <c r="C66" s="56" t="s">
        <v>31</v>
      </c>
      <c r="D66" s="56"/>
      <c r="E66" s="56"/>
      <c r="F66" s="3"/>
      <c r="I66" s="78" t="s">
        <v>72</v>
      </c>
      <c r="J66" s="129">
        <f>8145.55+5422.82</f>
        <v>13568.369999999999</v>
      </c>
      <c r="K66" s="78"/>
      <c r="L66" s="129">
        <f>1452.96+3209.41</f>
        <v>4662.37</v>
      </c>
    </row>
    <row r="67" spans="1:12" x14ac:dyDescent="0.25">
      <c r="A67" s="80" t="s">
        <v>59</v>
      </c>
      <c r="B67" s="81">
        <f>C22-B57</f>
        <v>57597</v>
      </c>
      <c r="C67" s="56" t="s">
        <v>31</v>
      </c>
      <c r="D67" s="56"/>
      <c r="E67" s="56"/>
      <c r="F67" s="3"/>
      <c r="I67" s="78" t="s">
        <v>73</v>
      </c>
      <c r="J67" s="129">
        <f>8830.01+615.65</f>
        <v>9445.66</v>
      </c>
      <c r="K67" s="78"/>
      <c r="L67" s="129">
        <f>1484.68+3542.41</f>
        <v>5027.09</v>
      </c>
    </row>
    <row r="68" spans="1:12" x14ac:dyDescent="0.25">
      <c r="A68" s="80" t="s">
        <v>60</v>
      </c>
      <c r="B68" s="81">
        <f>C26-B58</f>
        <v>-1254.76</v>
      </c>
      <c r="C68" s="56" t="s">
        <v>31</v>
      </c>
      <c r="D68" s="56"/>
      <c r="E68" s="56"/>
      <c r="F68" s="3"/>
      <c r="I68" s="78" t="s">
        <v>74</v>
      </c>
      <c r="J68" s="129">
        <f>30929.18+1956.51-1695.93-5533.98+5533.98+1695.93</f>
        <v>32885.69</v>
      </c>
      <c r="K68" s="78"/>
      <c r="L68" s="129"/>
    </row>
    <row r="69" spans="1:12" x14ac:dyDescent="0.25">
      <c r="A69" s="80" t="s">
        <v>61</v>
      </c>
      <c r="B69" s="81">
        <f>C28-B59</f>
        <v>23184.630000000063</v>
      </c>
      <c r="C69" s="56" t="s">
        <v>31</v>
      </c>
      <c r="D69" s="56"/>
      <c r="E69" s="56"/>
      <c r="F69" s="3"/>
      <c r="I69" s="78" t="s">
        <v>75</v>
      </c>
      <c r="J69" s="129">
        <f>53444.77+2211.5</f>
        <v>55656.27</v>
      </c>
      <c r="K69" s="78"/>
      <c r="L69" s="129">
        <f>1484.68+2856.78</f>
        <v>4341.46</v>
      </c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78097.21+2547.56</f>
        <v>80644.77</v>
      </c>
      <c r="K70" s="86"/>
      <c r="L70" s="130"/>
    </row>
    <row r="71" spans="1:12" x14ac:dyDescent="0.25">
      <c r="A71" s="80" t="s">
        <v>115</v>
      </c>
      <c r="B71" s="81">
        <f>C37-B61</f>
        <v>0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452269.95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23184.630000000063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/>
      <c r="B76" s="43"/>
      <c r="C76" s="124"/>
      <c r="D76" s="115"/>
      <c r="E76" s="116"/>
      <c r="F76" s="117"/>
      <c r="G76" s="109"/>
    </row>
    <row r="77" spans="1:12" ht="15.75" thickBot="1" x14ac:dyDescent="0.3">
      <c r="A77" s="171"/>
      <c r="B77" s="172"/>
      <c r="C77" s="173"/>
      <c r="D77" s="115"/>
      <c r="E77" s="116"/>
      <c r="F77" s="117"/>
      <c r="G77" s="109"/>
    </row>
    <row r="78" spans="1:12" ht="15.75" thickBot="1" x14ac:dyDescent="0.3">
      <c r="A78" s="89" t="s">
        <v>5</v>
      </c>
      <c r="B78" s="90">
        <f>B76</f>
        <v>0</v>
      </c>
      <c r="C78" s="91">
        <f>C76+C77</f>
        <v>0</v>
      </c>
      <c r="D78" s="118"/>
      <c r="E78" s="116"/>
      <c r="F78" s="117"/>
      <c r="G78" s="109"/>
    </row>
    <row r="79" spans="1:12" x14ac:dyDescent="0.25">
      <c r="A79" s="31"/>
      <c r="B79" s="33"/>
      <c r="C79" s="98"/>
      <c r="D79" s="118"/>
      <c r="E79" s="116"/>
      <c r="F79" s="117"/>
      <c r="G79" s="109"/>
    </row>
    <row r="80" spans="1:12" x14ac:dyDescent="0.25">
      <c r="A80" s="60"/>
      <c r="B80" s="33"/>
      <c r="C80" s="98"/>
      <c r="D80" s="118"/>
      <c r="E80" s="116"/>
      <c r="F80" s="117"/>
      <c r="G80" s="109"/>
    </row>
    <row r="81" spans="1:7" x14ac:dyDescent="0.25">
      <c r="A81" s="60" t="s">
        <v>79</v>
      </c>
      <c r="B81" s="33"/>
      <c r="D81" s="118"/>
      <c r="E81" s="116"/>
      <c r="F81" s="117"/>
      <c r="G81" s="109"/>
    </row>
    <row r="82" spans="1:7" x14ac:dyDescent="0.25">
      <c r="A82" s="60" t="s">
        <v>34</v>
      </c>
      <c r="B82" s="20">
        <f>B44/C8/12</f>
        <v>14.678071961191456</v>
      </c>
      <c r="C82" s="101" t="s">
        <v>80</v>
      </c>
      <c r="D82" s="118"/>
      <c r="E82" s="116"/>
      <c r="F82" s="117"/>
      <c r="G82" s="109"/>
    </row>
    <row r="83" spans="1:7" x14ac:dyDescent="0.25">
      <c r="A83" s="60" t="s">
        <v>81</v>
      </c>
      <c r="B83" s="20">
        <f>B57/C8/12</f>
        <v>0</v>
      </c>
      <c r="C83" s="101" t="s">
        <v>80</v>
      </c>
      <c r="D83" s="118"/>
      <c r="E83" s="116"/>
      <c r="F83" s="117"/>
      <c r="G83" s="109"/>
    </row>
    <row r="84" spans="1:7" x14ac:dyDescent="0.25">
      <c r="A84" s="60" t="s">
        <v>82</v>
      </c>
      <c r="B84" s="20">
        <f>B58/C8/12</f>
        <v>7.9734126378933443E-2</v>
      </c>
      <c r="C84" s="101" t="s">
        <v>80</v>
      </c>
      <c r="D84" s="118"/>
      <c r="E84" s="116"/>
      <c r="F84" s="117"/>
      <c r="G84" s="109"/>
    </row>
    <row r="85" spans="1:7" x14ac:dyDescent="0.25">
      <c r="A85" s="60"/>
      <c r="B85" s="33"/>
      <c r="C85" s="98"/>
      <c r="D85" s="118"/>
      <c r="E85" s="116"/>
      <c r="F85" s="117"/>
      <c r="G85" s="109"/>
    </row>
    <row r="86" spans="1:7" x14ac:dyDescent="0.25">
      <c r="A86" s="60"/>
      <c r="B86" s="33"/>
      <c r="C86" s="101"/>
      <c r="D86" s="110"/>
      <c r="E86" s="114"/>
      <c r="F86" s="119"/>
      <c r="G86" s="109"/>
    </row>
    <row r="87" spans="1:7" x14ac:dyDescent="0.25">
      <c r="A87" s="19"/>
      <c r="B87" s="20"/>
      <c r="C87" s="101"/>
      <c r="D87" s="118"/>
      <c r="E87" s="116"/>
      <c r="F87" s="109"/>
      <c r="G87" s="109"/>
    </row>
    <row r="88" spans="1:7" x14ac:dyDescent="0.25">
      <c r="A88" s="19" t="s">
        <v>83</v>
      </c>
      <c r="B88" s="20"/>
      <c r="C88" s="98"/>
      <c r="E88" s="116"/>
      <c r="F88" s="109"/>
      <c r="G88" s="109"/>
    </row>
    <row r="89" spans="1:7" x14ac:dyDescent="0.25">
      <c r="A89" s="31"/>
      <c r="B89" s="33"/>
      <c r="C89" s="105"/>
      <c r="D89" s="133" t="s">
        <v>95</v>
      </c>
      <c r="E89" s="116"/>
      <c r="F89" s="109"/>
      <c r="G89" s="109"/>
    </row>
    <row r="90" spans="1:7" x14ac:dyDescent="0.25">
      <c r="A90" s="103"/>
      <c r="B90" s="104"/>
      <c r="C90" s="105"/>
      <c r="D90" s="118"/>
      <c r="E90" s="116"/>
      <c r="F90" s="109"/>
      <c r="G90" s="109"/>
    </row>
    <row r="91" spans="1:7" x14ac:dyDescent="0.25">
      <c r="A91" s="103"/>
      <c r="B91" s="104"/>
      <c r="C91" s="105"/>
      <c r="D91" s="99"/>
      <c r="E91" s="100"/>
    </row>
    <row r="92" spans="1:7" x14ac:dyDescent="0.25">
      <c r="A92" s="103"/>
      <c r="B92" s="104"/>
      <c r="C92" s="105"/>
      <c r="D92" s="99"/>
      <c r="E92" s="100"/>
    </row>
    <row r="93" spans="1:7" x14ac:dyDescent="0.25">
      <c r="A93" s="103"/>
      <c r="B93" s="104"/>
      <c r="C93" s="98"/>
      <c r="D93" s="99"/>
      <c r="E93" s="100"/>
    </row>
    <row r="94" spans="1:7" x14ac:dyDescent="0.25">
      <c r="A94" s="31"/>
      <c r="B94" s="33"/>
      <c r="C94" s="98"/>
      <c r="D94" s="99"/>
      <c r="E94" s="100"/>
    </row>
    <row r="95" spans="1:7" x14ac:dyDescent="0.25">
      <c r="A95" s="31"/>
      <c r="B95" s="33"/>
      <c r="C95" s="56"/>
      <c r="D95" s="99"/>
      <c r="E95" s="100"/>
    </row>
    <row r="96" spans="1:7" x14ac:dyDescent="0.25">
      <c r="A96" s="19"/>
      <c r="B96" s="20"/>
      <c r="C96" s="56"/>
      <c r="D96" s="56"/>
      <c r="E96" s="56"/>
    </row>
    <row r="97" spans="1:6" x14ac:dyDescent="0.25">
      <c r="A97" s="19"/>
      <c r="B97" s="20"/>
      <c r="C97" s="56"/>
      <c r="D97" s="102"/>
      <c r="E97" s="56"/>
    </row>
    <row r="98" spans="1:6" x14ac:dyDescent="0.25">
      <c r="A98" s="19"/>
      <c r="B98" s="20"/>
      <c r="C98" s="100"/>
      <c r="D98" s="99"/>
      <c r="E98" s="100"/>
    </row>
    <row r="99" spans="1:6" x14ac:dyDescent="0.25">
      <c r="A99" s="31"/>
      <c r="B99" s="33"/>
      <c r="C99" s="100"/>
      <c r="D99" s="99"/>
      <c r="E99" s="100"/>
    </row>
    <row r="100" spans="1:6" x14ac:dyDescent="0.25">
      <c r="A100" s="31"/>
      <c r="B100" s="33"/>
      <c r="C100" s="100"/>
      <c r="D100" s="105"/>
      <c r="E100" s="100"/>
    </row>
    <row r="101" spans="1:6" x14ac:dyDescent="0.25">
      <c r="A101" s="107"/>
      <c r="B101" s="108"/>
      <c r="C101" s="100"/>
      <c r="D101" s="105"/>
      <c r="E101" s="100"/>
    </row>
    <row r="102" spans="1:6" x14ac:dyDescent="0.25">
      <c r="A102" s="107"/>
      <c r="B102" s="108"/>
      <c r="C102" s="100"/>
      <c r="D102" s="105"/>
      <c r="E102" s="100"/>
      <c r="F102" s="106"/>
    </row>
    <row r="103" spans="1:6" x14ac:dyDescent="0.25">
      <c r="A103" s="31"/>
      <c r="B103" s="33"/>
      <c r="C103" s="100"/>
      <c r="D103" s="105"/>
      <c r="E103" s="100"/>
    </row>
    <row r="104" spans="1:6" x14ac:dyDescent="0.25">
      <c r="A104" s="31"/>
      <c r="B104" s="33"/>
      <c r="C104" s="56"/>
      <c r="D104" s="98"/>
      <c r="E104" s="100"/>
    </row>
    <row r="105" spans="1:6" x14ac:dyDescent="0.25">
      <c r="A105" s="19"/>
      <c r="B105" s="20"/>
      <c r="C105" s="100"/>
      <c r="D105" s="98"/>
      <c r="E105" s="100"/>
    </row>
    <row r="106" spans="1:6" x14ac:dyDescent="0.25">
      <c r="A106" s="31"/>
      <c r="B106" s="33"/>
      <c r="C106" s="100"/>
      <c r="D106" s="56"/>
      <c r="E106" s="56"/>
      <c r="F106" s="3"/>
    </row>
    <row r="107" spans="1:6" x14ac:dyDescent="0.25">
      <c r="A107" s="31"/>
      <c r="B107" s="33"/>
      <c r="C107" s="33"/>
      <c r="D107" s="56"/>
      <c r="E107" s="100"/>
    </row>
    <row r="108" spans="1:6" x14ac:dyDescent="0.25">
      <c r="A108" s="31"/>
      <c r="B108" s="33"/>
      <c r="C108" s="33"/>
      <c r="D108" s="56"/>
      <c r="E108" s="56"/>
    </row>
    <row r="109" spans="1:6" x14ac:dyDescent="0.25">
      <c r="A109" s="31"/>
      <c r="B109" s="33"/>
      <c r="C109" s="33"/>
      <c r="D109" s="100"/>
      <c r="E109" s="100"/>
    </row>
    <row r="110" spans="1:6" x14ac:dyDescent="0.25">
      <c r="A110" s="31"/>
      <c r="B110" s="33"/>
      <c r="D110" s="100"/>
      <c r="E110" s="100"/>
    </row>
    <row r="111" spans="1:6" x14ac:dyDescent="0.25">
      <c r="D111" s="100"/>
      <c r="E111" s="100"/>
    </row>
    <row r="112" spans="1:6" x14ac:dyDescent="0.25"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B115"/>
      <c r="C115"/>
      <c r="D115" s="56"/>
      <c r="E115" s="56"/>
      <c r="F115" s="3"/>
    </row>
    <row r="116" spans="2:6" x14ac:dyDescent="0.25">
      <c r="B116"/>
      <c r="C116"/>
      <c r="D116" s="100"/>
      <c r="E116" s="100"/>
      <c r="F116" s="3"/>
    </row>
    <row r="117" spans="2:6" x14ac:dyDescent="0.25">
      <c r="B117"/>
      <c r="C117"/>
      <c r="D117" s="100"/>
      <c r="E117" s="100"/>
    </row>
    <row r="118" spans="2:6" x14ac:dyDescent="0.25">
      <c r="B118"/>
      <c r="C118"/>
      <c r="D118" s="33"/>
      <c r="E118" s="33"/>
    </row>
    <row r="119" spans="2:6" x14ac:dyDescent="0.25">
      <c r="B119"/>
      <c r="C119"/>
      <c r="D119" s="33"/>
      <c r="E119" s="33"/>
    </row>
    <row r="120" spans="2:6" x14ac:dyDescent="0.25">
      <c r="D120" s="33"/>
      <c r="E120" s="33"/>
    </row>
  </sheetData>
  <pageMargins left="0.7" right="0.7" top="0.75" bottom="0.75" header="0.3" footer="0.3"/>
  <pageSetup paperSize="9" scale="3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2"/>
  <sheetViews>
    <sheetView topLeftCell="A64" workbookViewId="0">
      <selection sqref="A1:E9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137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25"/>
      <c r="M3" s="125"/>
      <c r="N3" s="125"/>
      <c r="O3" s="125"/>
    </row>
    <row r="4" spans="1:22" ht="15.75" thickBot="1" x14ac:dyDescent="0.3">
      <c r="A4" s="22" t="s">
        <v>0</v>
      </c>
      <c r="B4" s="153"/>
      <c r="C4" s="153"/>
      <c r="D4" s="154"/>
      <c r="L4" s="125"/>
      <c r="M4" s="125"/>
      <c r="N4" s="125"/>
      <c r="O4" s="125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25"/>
      <c r="M5" s="125"/>
      <c r="N5" s="125"/>
      <c r="O5" s="125"/>
    </row>
    <row r="6" spans="1:22" x14ac:dyDescent="0.25">
      <c r="A6" s="10" t="s">
        <v>138</v>
      </c>
      <c r="B6" s="11"/>
      <c r="C6" s="11">
        <v>1494.4</v>
      </c>
      <c r="D6" s="12">
        <v>78</v>
      </c>
      <c r="L6" s="125"/>
      <c r="M6" s="125"/>
      <c r="N6" s="125"/>
      <c r="O6" s="125"/>
    </row>
    <row r="7" spans="1:22" x14ac:dyDescent="0.25">
      <c r="A7" s="13"/>
      <c r="B7" s="14"/>
      <c r="C7" s="14"/>
      <c r="D7" s="15"/>
      <c r="L7" s="125"/>
      <c r="M7" s="125"/>
      <c r="N7" s="125"/>
      <c r="O7" s="125"/>
    </row>
    <row r="8" spans="1:22" ht="15.75" thickBot="1" x14ac:dyDescent="0.3">
      <c r="A8" s="16" t="s">
        <v>5</v>
      </c>
      <c r="B8" s="17"/>
      <c r="C8" s="17">
        <f>C6+C7</f>
        <v>1494.4</v>
      </c>
      <c r="D8" s="18">
        <f>D6</f>
        <v>78</v>
      </c>
      <c r="L8" s="125"/>
      <c r="M8" s="125"/>
      <c r="N8" s="125"/>
      <c r="O8" s="125"/>
    </row>
    <row r="9" spans="1:22" ht="15.75" thickBot="1" x14ac:dyDescent="0.3">
      <c r="A9" s="19"/>
      <c r="B9" s="20"/>
      <c r="C9" s="20"/>
      <c r="D9" s="21"/>
      <c r="L9" s="125"/>
      <c r="M9" s="125"/>
      <c r="N9" s="125"/>
      <c r="O9" s="125"/>
    </row>
    <row r="10" spans="1:22" ht="15.75" thickBot="1" x14ac:dyDescent="0.3">
      <c r="A10" s="22" t="s">
        <v>105</v>
      </c>
      <c r="B10" s="23"/>
      <c r="C10" s="23"/>
      <c r="D10" s="24" t="s">
        <v>6</v>
      </c>
      <c r="F10" s="109"/>
      <c r="G10" s="109"/>
      <c r="H10" s="109"/>
      <c r="I10" s="109"/>
      <c r="J10" s="109"/>
      <c r="K10" s="109"/>
      <c r="L10" s="125"/>
      <c r="M10" s="125"/>
      <c r="N10" s="125"/>
      <c r="O10" s="125"/>
    </row>
    <row r="11" spans="1:22" x14ac:dyDescent="0.25">
      <c r="A11" s="25" t="s">
        <v>7</v>
      </c>
      <c r="B11" s="20"/>
      <c r="C11" s="20"/>
      <c r="D11" s="27">
        <v>16.690000000000001</v>
      </c>
      <c r="F11" s="109"/>
      <c r="G11" s="109"/>
      <c r="H11" s="109"/>
      <c r="I11" s="109"/>
      <c r="J11" s="109"/>
      <c r="K11" s="109"/>
      <c r="L11" s="125"/>
      <c r="M11" s="125"/>
      <c r="N11" s="125"/>
      <c r="O11" s="125"/>
    </row>
    <row r="12" spans="1:22" x14ac:dyDescent="0.25">
      <c r="A12" s="25" t="s">
        <v>8</v>
      </c>
      <c r="B12" s="20"/>
      <c r="C12" s="20"/>
      <c r="D12" s="27">
        <v>5.05</v>
      </c>
      <c r="F12" s="109"/>
      <c r="G12" s="109"/>
      <c r="H12" s="109"/>
      <c r="I12" s="109"/>
      <c r="J12" s="109"/>
      <c r="K12" s="109"/>
      <c r="L12" s="125"/>
      <c r="M12" s="125"/>
      <c r="N12" s="125"/>
      <c r="O12" s="125"/>
    </row>
    <row r="13" spans="1:22" x14ac:dyDescent="0.25">
      <c r="A13" s="25" t="s">
        <v>9</v>
      </c>
      <c r="B13" s="20"/>
      <c r="C13" s="20"/>
      <c r="D13" s="26">
        <v>0.18</v>
      </c>
      <c r="F13" s="109"/>
      <c r="G13" s="109"/>
      <c r="H13" s="109"/>
      <c r="I13" s="109"/>
      <c r="J13" s="109"/>
      <c r="K13" s="109"/>
      <c r="L13" s="125"/>
      <c r="M13" s="125"/>
      <c r="N13" s="125"/>
      <c r="O13" s="125"/>
    </row>
    <row r="14" spans="1:22" ht="15.75" thickBot="1" x14ac:dyDescent="0.3">
      <c r="A14" s="28" t="s">
        <v>10</v>
      </c>
      <c r="B14" s="29"/>
      <c r="C14" s="29"/>
      <c r="D14" s="30">
        <v>0</v>
      </c>
      <c r="F14" s="109"/>
      <c r="G14" s="109"/>
      <c r="H14" s="109"/>
      <c r="I14" s="109"/>
      <c r="J14" s="109"/>
      <c r="K14" s="109"/>
      <c r="L14" s="125"/>
      <c r="M14" s="125"/>
      <c r="N14" s="125"/>
      <c r="O14" s="125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109"/>
      <c r="G15" s="109"/>
      <c r="H15" s="109"/>
      <c r="I15" s="109"/>
      <c r="J15" s="109"/>
      <c r="K15" s="109"/>
      <c r="L15" s="125"/>
      <c r="M15" s="125"/>
      <c r="N15" s="125"/>
      <c r="O15" s="125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87</v>
      </c>
      <c r="B16" s="153"/>
      <c r="C16" s="153"/>
      <c r="D16" s="153"/>
      <c r="E16" s="154"/>
      <c r="F16" s="109"/>
      <c r="G16" s="109"/>
      <c r="H16" s="109"/>
      <c r="I16" s="109"/>
      <c r="J16" s="109"/>
      <c r="K16" s="109"/>
      <c r="L16" s="125"/>
      <c r="M16" s="126"/>
      <c r="N16" s="126"/>
      <c r="O16" s="125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70"/>
      <c r="F17" s="109"/>
      <c r="G17" s="109"/>
      <c r="H17" s="109"/>
      <c r="I17" s="109"/>
      <c r="J17" s="109"/>
      <c r="K17" s="109"/>
      <c r="L17" s="126"/>
      <c r="M17" s="127"/>
      <c r="N17" s="126"/>
      <c r="O17" s="125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70"/>
      <c r="F18" s="109"/>
      <c r="G18" s="109"/>
      <c r="H18" s="109"/>
      <c r="I18" s="109"/>
      <c r="J18" s="109"/>
      <c r="K18" s="109"/>
      <c r="L18" s="125"/>
      <c r="M18" s="125"/>
      <c r="N18" s="125"/>
      <c r="O18" s="125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88</v>
      </c>
      <c r="C19" s="38" t="s">
        <v>89</v>
      </c>
      <c r="D19" s="38" t="s">
        <v>86</v>
      </c>
      <c r="E19" s="39" t="s">
        <v>85</v>
      </c>
      <c r="F19" s="109"/>
      <c r="G19" s="109"/>
      <c r="H19" s="109"/>
      <c r="I19" s="109"/>
      <c r="J19" s="109"/>
      <c r="K19" s="109"/>
      <c r="L19" s="125"/>
      <c r="M19" s="128"/>
      <c r="N19" s="128"/>
      <c r="O19" s="125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34799.800000000003</v>
      </c>
      <c r="C20" s="41">
        <f>268219.86+5086.35</f>
        <v>273306.20999999996</v>
      </c>
      <c r="D20" s="40">
        <f>225598.3+31177.61</f>
        <v>256775.90999999997</v>
      </c>
      <c r="E20" s="42">
        <f t="shared" ref="E20:E38" si="0">C20-D20+B20</f>
        <v>51330.099999999991</v>
      </c>
      <c r="F20" s="137">
        <f>C20+F22</f>
        <v>350205.54999999993</v>
      </c>
      <c r="G20" s="138">
        <f>100</f>
        <v>100</v>
      </c>
      <c r="H20" s="136" t="s">
        <v>90</v>
      </c>
      <c r="I20" s="109"/>
      <c r="J20" s="109"/>
      <c r="K20" s="109"/>
      <c r="L20" s="125"/>
      <c r="M20" s="125"/>
      <c r="N20" s="125"/>
      <c r="O20" s="125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37"/>
      <c r="G21" s="138"/>
      <c r="H21" s="136"/>
      <c r="I21" s="109"/>
      <c r="J21" s="109"/>
      <c r="K21" s="109"/>
      <c r="L21" s="125"/>
      <c r="M21" s="125"/>
      <c r="N21" s="125"/>
      <c r="O21" s="125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8598.42</v>
      </c>
      <c r="C22" s="44">
        <f>74200.8+2698.54</f>
        <v>76899.34</v>
      </c>
      <c r="D22" s="43">
        <f>61986.46+8439.44</f>
        <v>70425.899999999994</v>
      </c>
      <c r="E22" s="45">
        <f t="shared" si="0"/>
        <v>15071.860000000002</v>
      </c>
      <c r="F22" s="137">
        <f>C22</f>
        <v>76899.34</v>
      </c>
      <c r="G22" s="139">
        <f>F22*G20/F20</f>
        <v>21.958344178154807</v>
      </c>
      <c r="H22" s="136" t="s">
        <v>90</v>
      </c>
      <c r="I22" s="109"/>
      <c r="J22" s="109"/>
      <c r="K22" s="109"/>
      <c r="L22" s="125"/>
      <c r="M22" s="125"/>
      <c r="N22" s="128"/>
      <c r="O22" s="125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09"/>
      <c r="G23" s="109"/>
      <c r="H23" s="109"/>
      <c r="I23" s="109"/>
      <c r="J23" s="109"/>
      <c r="K23" s="109"/>
      <c r="L23" s="125"/>
      <c r="M23" s="125"/>
      <c r="N23" s="125"/>
      <c r="O23" s="125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109"/>
      <c r="G24" s="109"/>
      <c r="H24" s="109"/>
      <c r="I24" s="109"/>
      <c r="J24" s="109"/>
      <c r="K24" s="109"/>
      <c r="L24" s="125"/>
      <c r="M24" s="125"/>
      <c r="N24" s="125"/>
      <c r="O24" s="125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09"/>
      <c r="G25" s="109"/>
      <c r="H25" s="109"/>
      <c r="I25" s="109"/>
      <c r="J25" s="109"/>
      <c r="K25" s="109"/>
      <c r="L25" s="125"/>
      <c r="M25" s="125"/>
      <c r="N25" s="125"/>
      <c r="O25" s="125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882.61</v>
      </c>
      <c r="C26" s="44">
        <f>4564.74-223.75</f>
        <v>4340.99</v>
      </c>
      <c r="D26" s="44">
        <f>4002.06+568.79</f>
        <v>4570.8500000000004</v>
      </c>
      <c r="E26" s="45">
        <f t="shared" si="0"/>
        <v>652.74999999999943</v>
      </c>
      <c r="F26" s="109"/>
      <c r="G26" s="109"/>
      <c r="H26" s="109"/>
      <c r="I26" s="109"/>
      <c r="J26" s="109"/>
      <c r="K26" s="109"/>
      <c r="L26" s="125"/>
      <c r="M26" s="125"/>
      <c r="N26" s="125"/>
      <c r="O26" s="125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125</v>
      </c>
      <c r="B27" s="44"/>
      <c r="C27" s="44"/>
      <c r="D27" s="44"/>
      <c r="E27" s="45">
        <f t="shared" si="0"/>
        <v>0</v>
      </c>
      <c r="F27" s="109"/>
      <c r="G27" s="109"/>
      <c r="H27" s="109"/>
      <c r="I27" s="109"/>
      <c r="J27" s="109"/>
      <c r="K27" s="109"/>
      <c r="L27" s="125"/>
      <c r="M27" s="125"/>
      <c r="N27" s="125"/>
      <c r="O27" s="125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-1043.9100000000001</v>
      </c>
      <c r="C28" s="50">
        <f>C29+C30+C31+C33</f>
        <v>446127.38999999996</v>
      </c>
      <c r="D28" s="50">
        <f>D29+D30+D31+D33+D32</f>
        <v>330892.90000000002</v>
      </c>
      <c r="E28" s="51">
        <f>C28-D28+B28</f>
        <v>114190.57999999993</v>
      </c>
      <c r="F28" s="109"/>
      <c r="G28" s="109"/>
      <c r="H28" s="109"/>
      <c r="I28" s="109"/>
      <c r="J28" s="109"/>
      <c r="K28" s="109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-27406.81</v>
      </c>
      <c r="C29" s="40">
        <f>317655.68-25265.45</f>
        <v>292390.23</v>
      </c>
      <c r="D29" s="40">
        <f>159983.69+23753.64</f>
        <v>183737.33000000002</v>
      </c>
      <c r="E29" s="42">
        <f t="shared" si="0"/>
        <v>81246.089999999967</v>
      </c>
      <c r="F29" s="109"/>
      <c r="G29" s="109"/>
      <c r="H29" s="109"/>
      <c r="I29" s="109"/>
      <c r="J29" s="109"/>
      <c r="K29" s="109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10627.5+2952.02</f>
        <v>13579.52</v>
      </c>
      <c r="C30" s="43">
        <f>36821.37+10520.81</f>
        <v>47342.18</v>
      </c>
      <c r="D30" s="43">
        <f>33807.04+3709.26+9636.94+1036.82</f>
        <v>48190.060000000005</v>
      </c>
      <c r="E30" s="45">
        <f t="shared" si="0"/>
        <v>12731.639999999996</v>
      </c>
      <c r="F30" s="109"/>
      <c r="G30" s="109"/>
      <c r="H30" s="109"/>
      <c r="I30" s="109"/>
      <c r="J30" s="109"/>
      <c r="K30" s="109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5143.2700000000004</v>
      </c>
      <c r="C31" s="43">
        <v>46308.69</v>
      </c>
      <c r="D31" s="43">
        <f>37071.97+5728.97</f>
        <v>42800.94</v>
      </c>
      <c r="E31" s="45">
        <f t="shared" si="0"/>
        <v>8651.02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139</v>
      </c>
      <c r="B32" s="43">
        <v>-302.02999999999997</v>
      </c>
      <c r="C32" s="43"/>
      <c r="D32" s="43">
        <v>1.68</v>
      </c>
      <c r="E32" s="45">
        <f t="shared" si="0"/>
        <v>-303.70999999999998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7942.14</v>
      </c>
      <c r="C33" s="43">
        <v>60086.29</v>
      </c>
      <c r="D33" s="43">
        <f>49080.11+7082.78</f>
        <v>56162.89</v>
      </c>
      <c r="E33" s="45">
        <f t="shared" si="0"/>
        <v>11865.54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109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27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43236.92</v>
      </c>
      <c r="C39" s="58">
        <f>C20+C21+C22+C23+C24+C25+C26+C28+C35+C36+C37+C38</f>
        <v>800673.92999999993</v>
      </c>
      <c r="D39" s="58">
        <f>D20+D21+D22+D23+D24+D25+D26+D28+D35+D36+D37+D38+D27</f>
        <v>662665.55999999994</v>
      </c>
      <c r="E39" s="58">
        <f>E20+E21+E22+E23+E24+E25+E26+E28+E35+E36+E37+E38+E27</f>
        <v>181245.28999999992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60"/>
      <c r="B40" s="61"/>
      <c r="C40" s="56"/>
      <c r="D40" s="149"/>
      <c r="E40" s="149"/>
      <c r="F40" s="150"/>
      <c r="G40" s="151"/>
      <c r="H40" s="151"/>
      <c r="I40" s="151"/>
      <c r="J40" s="168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0"/>
      <c r="B41" s="61"/>
      <c r="C41" s="56"/>
      <c r="D41" s="114"/>
      <c r="E41" s="114"/>
      <c r="F41" s="152"/>
      <c r="G41" s="109"/>
      <c r="H41" s="109"/>
      <c r="I41" s="109"/>
      <c r="J41" s="168"/>
    </row>
    <row r="42" spans="1:22" ht="15.75" thickBot="1" x14ac:dyDescent="0.3">
      <c r="A42" s="62" t="s">
        <v>30</v>
      </c>
      <c r="B42" s="63">
        <f>B44+B59+B60+B57+B62+B58+B61</f>
        <v>775759.86257477698</v>
      </c>
      <c r="C42" s="64" t="s">
        <v>31</v>
      </c>
      <c r="D42" s="140">
        <f>C39-B42-B62</f>
        <v>22576.860928239945</v>
      </c>
      <c r="E42" s="141" t="s">
        <v>32</v>
      </c>
      <c r="F42" s="142">
        <v>5228898.0599999996</v>
      </c>
      <c r="G42" s="142">
        <f>F42/F48*C8</f>
        <v>69904.672801753928</v>
      </c>
      <c r="H42" s="109"/>
      <c r="I42" s="109"/>
      <c r="J42" s="168"/>
    </row>
    <row r="43" spans="1:22" x14ac:dyDescent="0.25">
      <c r="A43" s="65" t="s">
        <v>92</v>
      </c>
      <c r="B43" s="66">
        <v>60297.09</v>
      </c>
      <c r="C43" s="70" t="s">
        <v>31</v>
      </c>
      <c r="D43" s="140"/>
      <c r="E43" s="141" t="s">
        <v>33</v>
      </c>
      <c r="F43" s="142">
        <v>1017312.51</v>
      </c>
      <c r="G43" s="142">
        <f>F43/F48*C8</f>
        <v>13600.36040723292</v>
      </c>
      <c r="H43" s="109"/>
      <c r="I43" s="109"/>
      <c r="J43" s="168"/>
    </row>
    <row r="44" spans="1:22" x14ac:dyDescent="0.25">
      <c r="A44" s="68" t="s">
        <v>34</v>
      </c>
      <c r="B44" s="69">
        <f>B45+B46+B48+B49+B50+B51+B52+B53+B54+B55+B56+B47</f>
        <v>280352.95607779385</v>
      </c>
      <c r="C44" s="70" t="s">
        <v>31</v>
      </c>
      <c r="D44" s="140"/>
      <c r="E44" s="141" t="s">
        <v>35</v>
      </c>
      <c r="F44" s="142">
        <v>174824</v>
      </c>
      <c r="G44" s="142">
        <f>F44/F48*C8</f>
        <v>2337.2064969830049</v>
      </c>
      <c r="H44" s="109"/>
      <c r="I44" s="109"/>
      <c r="J44" s="168"/>
    </row>
    <row r="45" spans="1:22" x14ac:dyDescent="0.25">
      <c r="A45" s="71" t="s">
        <v>112</v>
      </c>
      <c r="B45" s="72">
        <v>29486.6</v>
      </c>
      <c r="C45" s="73" t="s">
        <v>31</v>
      </c>
      <c r="D45" s="140"/>
      <c r="E45" s="141" t="s">
        <v>18</v>
      </c>
      <c r="F45" s="142">
        <v>206457.71</v>
      </c>
      <c r="G45" s="142">
        <f>F45/F48*C8</f>
        <v>2760.1147506305369</v>
      </c>
      <c r="H45" s="109"/>
      <c r="I45" s="109"/>
      <c r="J45" s="168"/>
    </row>
    <row r="46" spans="1:22" x14ac:dyDescent="0.25">
      <c r="A46" s="74" t="s">
        <v>37</v>
      </c>
      <c r="B46" s="72">
        <f>G42+G43</f>
        <v>83505.033208986846</v>
      </c>
      <c r="C46" s="73" t="s">
        <v>31</v>
      </c>
      <c r="D46" s="140"/>
      <c r="E46" s="143" t="s">
        <v>38</v>
      </c>
      <c r="F46" s="142">
        <f>7706.9+43200</f>
        <v>50906.9</v>
      </c>
      <c r="G46" s="142">
        <f>F46/F48*C8</f>
        <v>680.5698154787907</v>
      </c>
      <c r="H46" s="109"/>
      <c r="I46" s="109"/>
      <c r="J46" s="168"/>
    </row>
    <row r="47" spans="1:22" x14ac:dyDescent="0.25">
      <c r="A47" s="74" t="s">
        <v>39</v>
      </c>
      <c r="B47" s="72">
        <v>28755</v>
      </c>
      <c r="C47" s="73" t="s">
        <v>31</v>
      </c>
      <c r="D47" s="140"/>
      <c r="E47" s="142" t="s">
        <v>12</v>
      </c>
      <c r="F47" s="142">
        <f>7038875.3-F46</f>
        <v>6987968.3999999994</v>
      </c>
      <c r="G47" s="142">
        <f>F47/F48*C8</f>
        <v>93421.527623163463</v>
      </c>
      <c r="H47" s="109"/>
      <c r="I47" s="109"/>
      <c r="J47" s="168"/>
    </row>
    <row r="48" spans="1:22" x14ac:dyDescent="0.25">
      <c r="A48" s="71" t="s">
        <v>40</v>
      </c>
      <c r="B48" s="72">
        <f>G46+9007.28</f>
        <v>9687.8498154787922</v>
      </c>
      <c r="C48" s="73" t="s">
        <v>31</v>
      </c>
      <c r="D48" s="140"/>
      <c r="E48" s="144" t="s">
        <v>41</v>
      </c>
      <c r="F48" s="145">
        <v>111781.73</v>
      </c>
      <c r="G48" s="142"/>
      <c r="H48" s="109"/>
      <c r="I48" s="109"/>
      <c r="J48" s="168"/>
    </row>
    <row r="49" spans="1:12" x14ac:dyDescent="0.25">
      <c r="A49" s="71" t="s">
        <v>42</v>
      </c>
      <c r="B49" s="72">
        <f>G45</f>
        <v>2760.1147506305369</v>
      </c>
      <c r="C49" s="73" t="s">
        <v>31</v>
      </c>
      <c r="D49" s="140"/>
      <c r="E49" s="145"/>
      <c r="F49" s="142">
        <f>F46*0.6559</f>
        <v>33389.835709999999</v>
      </c>
      <c r="G49" s="142"/>
      <c r="H49" s="109"/>
      <c r="I49" s="109"/>
      <c r="J49" s="168"/>
    </row>
    <row r="50" spans="1:12" x14ac:dyDescent="0.25">
      <c r="A50" s="71" t="s">
        <v>43</v>
      </c>
      <c r="B50" s="72">
        <f>G47</f>
        <v>93421.527623163463</v>
      </c>
      <c r="C50" s="73" t="s">
        <v>31</v>
      </c>
      <c r="D50" s="140"/>
      <c r="E50" s="146" t="s">
        <v>102</v>
      </c>
      <c r="F50" s="146">
        <f>2946.5</f>
        <v>2946.5</v>
      </c>
      <c r="G50" s="146">
        <f>F50/F48*C8</f>
        <v>39.391496266876537</v>
      </c>
      <c r="H50" s="109"/>
      <c r="I50" s="109"/>
      <c r="J50" s="168"/>
    </row>
    <row r="51" spans="1:12" x14ac:dyDescent="0.25">
      <c r="A51" s="71" t="s">
        <v>44</v>
      </c>
      <c r="B51" s="72">
        <f>F54</f>
        <v>1033.2814938146903</v>
      </c>
      <c r="C51" s="73" t="s">
        <v>31</v>
      </c>
      <c r="D51" s="140"/>
      <c r="E51" s="140"/>
      <c r="F51" s="147"/>
      <c r="G51" s="148"/>
      <c r="H51" s="109"/>
      <c r="I51" s="109"/>
      <c r="J51" s="168"/>
    </row>
    <row r="52" spans="1:12" x14ac:dyDescent="0.25">
      <c r="A52" s="71" t="s">
        <v>45</v>
      </c>
      <c r="B52" s="72">
        <f>G50</f>
        <v>39.391496266876537</v>
      </c>
      <c r="C52" s="73" t="s">
        <v>31</v>
      </c>
      <c r="D52" s="140"/>
      <c r="E52" s="140" t="s">
        <v>100</v>
      </c>
      <c r="F52" s="147">
        <v>20905.240000000002</v>
      </c>
      <c r="G52" s="148"/>
      <c r="H52" s="109"/>
      <c r="I52" s="109"/>
      <c r="J52" s="168"/>
    </row>
    <row r="53" spans="1:12" x14ac:dyDescent="0.25">
      <c r="A53" s="71" t="s">
        <v>46</v>
      </c>
      <c r="B53" s="72">
        <v>3648.66</v>
      </c>
      <c r="C53" s="73" t="s">
        <v>31</v>
      </c>
      <c r="D53" s="140"/>
      <c r="E53" s="140" t="s">
        <v>93</v>
      </c>
      <c r="F53" s="147">
        <v>30234.54</v>
      </c>
      <c r="G53" s="148"/>
      <c r="H53" s="109"/>
      <c r="I53" s="109"/>
      <c r="J53" s="168"/>
    </row>
    <row r="54" spans="1:12" x14ac:dyDescent="0.25">
      <c r="A54" s="71" t="s">
        <v>47</v>
      </c>
      <c r="B54" s="72"/>
      <c r="C54" s="73" t="s">
        <v>31</v>
      </c>
      <c r="D54" s="140"/>
      <c r="E54" s="140" t="s">
        <v>141</v>
      </c>
      <c r="F54" s="147">
        <f>F52/F53*C8</f>
        <v>1033.2814938146903</v>
      </c>
      <c r="G54" s="148"/>
      <c r="H54" s="109"/>
      <c r="I54" s="109"/>
      <c r="J54" s="168"/>
    </row>
    <row r="55" spans="1:12" x14ac:dyDescent="0.25">
      <c r="A55" s="71" t="s">
        <v>48</v>
      </c>
      <c r="B55" s="72">
        <v>5833.74</v>
      </c>
      <c r="C55" s="73" t="s">
        <v>31</v>
      </c>
      <c r="D55" s="114"/>
      <c r="E55" s="114"/>
      <c r="F55" s="152"/>
      <c r="G55" s="109"/>
      <c r="H55" s="109"/>
      <c r="I55" s="109"/>
      <c r="J55" s="168"/>
    </row>
    <row r="56" spans="1:12" x14ac:dyDescent="0.25">
      <c r="A56" s="71" t="s">
        <v>49</v>
      </c>
      <c r="B56" s="72">
        <f>(B46+B47+B48+B49+B50+B52+B53+B54)*0.1</f>
        <v>22181.757689452654</v>
      </c>
      <c r="C56" s="73" t="s">
        <v>31</v>
      </c>
      <c r="D56" s="140"/>
      <c r="E56" s="140"/>
      <c r="F56" s="169"/>
      <c r="G56" s="136"/>
      <c r="H56" s="168"/>
      <c r="I56" s="168"/>
      <c r="J56" s="168"/>
    </row>
    <row r="57" spans="1:12" x14ac:dyDescent="0.25">
      <c r="A57" s="68" t="s">
        <v>50</v>
      </c>
      <c r="B57" s="69">
        <f>C80</f>
        <v>30482.400000000001</v>
      </c>
      <c r="C57" s="70" t="s">
        <v>31</v>
      </c>
      <c r="D57" s="149"/>
      <c r="E57" s="149"/>
      <c r="F57" s="150"/>
      <c r="G57" s="151"/>
      <c r="H57" s="151"/>
      <c r="I57" s="109"/>
      <c r="J57" s="109"/>
    </row>
    <row r="58" spans="1:12" x14ac:dyDescent="0.25">
      <c r="A58" s="68" t="s">
        <v>51</v>
      </c>
      <c r="B58" s="69">
        <v>2930.04</v>
      </c>
      <c r="C58" s="70" t="s">
        <v>31</v>
      </c>
      <c r="D58" s="149"/>
      <c r="E58" s="149"/>
      <c r="F58" s="150"/>
      <c r="G58" s="151"/>
      <c r="H58" s="151"/>
      <c r="I58" s="79"/>
      <c r="J58" s="79" t="s">
        <v>56</v>
      </c>
      <c r="K58" s="79"/>
      <c r="L58" s="79" t="s">
        <v>57</v>
      </c>
    </row>
    <row r="59" spans="1:12" x14ac:dyDescent="0.25">
      <c r="A59" s="68" t="s">
        <v>52</v>
      </c>
      <c r="B59" s="69">
        <f>L72</f>
        <v>459657.26000000013</v>
      </c>
      <c r="C59" s="70" t="s">
        <v>31</v>
      </c>
      <c r="D59" s="56"/>
      <c r="E59" s="56"/>
      <c r="F59" s="3"/>
      <c r="I59" s="78" t="s">
        <v>64</v>
      </c>
      <c r="J59" s="129">
        <f>50236.01+1860.77</f>
        <v>52096.78</v>
      </c>
      <c r="K59" s="78"/>
      <c r="L59" s="129">
        <f>2979.5+4566.51</f>
        <v>7546.01</v>
      </c>
    </row>
    <row r="60" spans="1:12" x14ac:dyDescent="0.25">
      <c r="A60" s="68" t="s">
        <v>53</v>
      </c>
      <c r="B60" s="69">
        <v>0</v>
      </c>
      <c r="C60" s="70" t="s">
        <v>54</v>
      </c>
      <c r="D60" s="56"/>
      <c r="E60" s="56"/>
      <c r="F60" s="3"/>
      <c r="I60" s="78" t="s">
        <v>66</v>
      </c>
      <c r="J60" s="129">
        <f>58022.38+1609.48</f>
        <v>59631.86</v>
      </c>
      <c r="K60" s="78"/>
      <c r="L60" s="129">
        <f>3798.13+5358.82</f>
        <v>9156.9500000000007</v>
      </c>
    </row>
    <row r="61" spans="1:12" x14ac:dyDescent="0.25">
      <c r="A61" s="164" t="s">
        <v>113</v>
      </c>
      <c r="B61" s="165">
        <f>C37/1.02</f>
        <v>0</v>
      </c>
      <c r="C61" s="166"/>
      <c r="D61" s="56"/>
      <c r="E61" s="56"/>
      <c r="F61" s="3"/>
      <c r="I61" s="78" t="s">
        <v>67</v>
      </c>
      <c r="J61" s="129">
        <f>47873.95+1691.41</f>
        <v>49565.36</v>
      </c>
      <c r="K61" s="78"/>
      <c r="L61" s="129">
        <v>12053.2</v>
      </c>
    </row>
    <row r="62" spans="1:12" ht="15.75" thickBot="1" x14ac:dyDescent="0.3">
      <c r="A62" s="75" t="s">
        <v>114</v>
      </c>
      <c r="B62" s="76">
        <f>G44</f>
        <v>2337.2064969830049</v>
      </c>
      <c r="C62" s="77" t="s">
        <v>31</v>
      </c>
      <c r="D62" s="56"/>
      <c r="E62" s="56"/>
      <c r="F62" s="3"/>
      <c r="I62" s="78" t="s">
        <v>68</v>
      </c>
      <c r="J62" s="129">
        <f>31735.99+1890.24</f>
        <v>33626.230000000003</v>
      </c>
      <c r="K62" s="78"/>
      <c r="L62" s="129">
        <f>4845.38+6739</f>
        <v>11584.380000000001</v>
      </c>
    </row>
    <row r="63" spans="1:12" x14ac:dyDescent="0.25">
      <c r="A63" s="60"/>
      <c r="B63" s="61"/>
      <c r="C63" s="56"/>
      <c r="D63" s="56"/>
      <c r="E63" s="56"/>
      <c r="F63" s="3"/>
      <c r="I63" s="78" t="s">
        <v>69</v>
      </c>
      <c r="J63" s="129">
        <f>13742.14+560.37</f>
        <v>14302.51</v>
      </c>
      <c r="K63" s="78"/>
      <c r="L63" s="129">
        <f>2942.62+3910.5</f>
        <v>6853.12</v>
      </c>
    </row>
    <row r="64" spans="1:12" x14ac:dyDescent="0.25">
      <c r="A64" s="60" t="s">
        <v>98</v>
      </c>
      <c r="B64" s="174">
        <f>C39-C24+B43-B42</f>
        <v>85211.157425222918</v>
      </c>
      <c r="C64" s="56" t="s">
        <v>31</v>
      </c>
      <c r="D64" s="56"/>
      <c r="E64" s="56"/>
      <c r="F64" s="3"/>
      <c r="I64" s="78" t="s">
        <v>70</v>
      </c>
      <c r="J64" s="129"/>
      <c r="K64" s="78"/>
      <c r="L64" s="129">
        <f>3628.5+4191.64</f>
        <v>7820.14</v>
      </c>
    </row>
    <row r="65" spans="1:12" x14ac:dyDescent="0.25">
      <c r="A65" s="60" t="s">
        <v>99</v>
      </c>
      <c r="B65" s="2">
        <f>B66+B67+B68+B69+B70+B71</f>
        <v>24914.067425222936</v>
      </c>
      <c r="C65" s="56" t="s">
        <v>31</v>
      </c>
      <c r="D65" s="56"/>
      <c r="E65" s="56"/>
      <c r="F65" s="3"/>
      <c r="I65" s="78" t="s">
        <v>71</v>
      </c>
      <c r="J65" s="129"/>
      <c r="K65" s="78"/>
      <c r="L65" s="129">
        <f>4710.39+5436.17</f>
        <v>10146.560000000001</v>
      </c>
    </row>
    <row r="66" spans="1:12" x14ac:dyDescent="0.25">
      <c r="A66" s="80" t="s">
        <v>58</v>
      </c>
      <c r="B66" s="81">
        <f>C20-B44-B62</f>
        <v>-9383.9525747768876</v>
      </c>
      <c r="C66" s="56" t="s">
        <v>31</v>
      </c>
      <c r="D66" s="56"/>
      <c r="E66" s="56"/>
      <c r="F66" s="3"/>
      <c r="I66" s="78" t="s">
        <v>72</v>
      </c>
      <c r="J66" s="129"/>
      <c r="K66" s="78"/>
      <c r="L66" s="129">
        <f>5093.16+5877.91</f>
        <v>10971.07</v>
      </c>
    </row>
    <row r="67" spans="1:12" x14ac:dyDescent="0.25">
      <c r="A67" s="80" t="s">
        <v>59</v>
      </c>
      <c r="B67" s="81">
        <f>C22-B57</f>
        <v>46416.939999999995</v>
      </c>
      <c r="C67" s="56" t="s">
        <v>31</v>
      </c>
      <c r="D67" s="56"/>
      <c r="E67" s="56"/>
      <c r="F67" s="3"/>
      <c r="I67" s="78" t="s">
        <v>73</v>
      </c>
      <c r="J67" s="129">
        <f>6859.52+147.08</f>
        <v>7006.6</v>
      </c>
      <c r="K67" s="78"/>
      <c r="L67" s="129"/>
    </row>
    <row r="68" spans="1:12" x14ac:dyDescent="0.25">
      <c r="A68" s="80" t="s">
        <v>60</v>
      </c>
      <c r="B68" s="81">
        <f>C26-B58</f>
        <v>1410.9499999999998</v>
      </c>
      <c r="C68" s="56" t="s">
        <v>31</v>
      </c>
      <c r="D68" s="56"/>
      <c r="E68" s="56"/>
      <c r="F68" s="3"/>
      <c r="I68" s="78" t="s">
        <v>74</v>
      </c>
      <c r="J68" s="129">
        <f>37216.15+1384.44</f>
        <v>38600.590000000004</v>
      </c>
      <c r="K68" s="78"/>
      <c r="L68" s="129">
        <f>1187.74+2304.47</f>
        <v>3492.21</v>
      </c>
    </row>
    <row r="69" spans="1:12" x14ac:dyDescent="0.25">
      <c r="A69" s="80" t="s">
        <v>61</v>
      </c>
      <c r="B69" s="81">
        <f>C28-B59</f>
        <v>-13529.87000000017</v>
      </c>
      <c r="C69" s="56" t="s">
        <v>31</v>
      </c>
      <c r="D69" s="56"/>
      <c r="E69" s="56"/>
      <c r="F69" s="3"/>
      <c r="I69" s="78" t="s">
        <v>75</v>
      </c>
      <c r="J69" s="129">
        <f>46232.05+1255.41</f>
        <v>47487.460000000006</v>
      </c>
      <c r="K69" s="78"/>
      <c r="L69" s="129">
        <f>4140.6+5627.85</f>
        <v>9768.4500000000007</v>
      </c>
    </row>
    <row r="70" spans="1:12" ht="15.75" thickBot="1" x14ac:dyDescent="0.3">
      <c r="A70" s="80" t="s">
        <v>62</v>
      </c>
      <c r="B70" s="81">
        <f>C35-B60</f>
        <v>0</v>
      </c>
      <c r="C70" s="56" t="s">
        <v>31</v>
      </c>
      <c r="D70" s="56"/>
      <c r="E70" s="56"/>
      <c r="F70" s="3"/>
      <c r="I70" s="86" t="s">
        <v>76</v>
      </c>
      <c r="J70" s="130">
        <f>66652.6+1295.18</f>
        <v>67947.78</v>
      </c>
      <c r="K70" s="86"/>
      <c r="L70" s="130"/>
    </row>
    <row r="71" spans="1:12" x14ac:dyDescent="0.25">
      <c r="A71" s="80" t="s">
        <v>115</v>
      </c>
      <c r="B71" s="81">
        <f>C37-B61</f>
        <v>0</v>
      </c>
      <c r="C71" s="56" t="s">
        <v>31</v>
      </c>
      <c r="I71" s="87"/>
      <c r="J71" s="88"/>
      <c r="K71" s="88"/>
      <c r="L71" s="131"/>
    </row>
    <row r="72" spans="1:12" ht="15.75" thickBot="1" x14ac:dyDescent="0.3">
      <c r="A72" s="80"/>
      <c r="B72" s="81"/>
      <c r="C72" s="56"/>
      <c r="D72" s="111"/>
      <c r="E72" s="112"/>
      <c r="F72" s="113"/>
      <c r="G72" s="109"/>
      <c r="I72" s="92" t="s">
        <v>77</v>
      </c>
      <c r="J72" s="93"/>
      <c r="K72" s="93"/>
      <c r="L72" s="132">
        <f>J59+J60+J61+J62+J63+J64+J65+J66+J67+J68+J69+J70+L59+L60+L61+L62+L63+L64+L65+L66+L67+L68+L69+L70+N30</f>
        <v>459657.26000000013</v>
      </c>
    </row>
    <row r="73" spans="1:12" ht="15.75" thickBot="1" x14ac:dyDescent="0.3">
      <c r="A73" s="155" t="s">
        <v>121</v>
      </c>
      <c r="B73" s="156"/>
      <c r="C73" s="157"/>
      <c r="D73" s="114"/>
      <c r="E73" s="114"/>
      <c r="F73" s="114"/>
      <c r="G73" s="109"/>
    </row>
    <row r="74" spans="1:12" ht="51.75" thickBot="1" x14ac:dyDescent="0.3">
      <c r="A74" s="82" t="s">
        <v>116</v>
      </c>
      <c r="B74" s="83" t="s">
        <v>63</v>
      </c>
      <c r="C74" s="84" t="s">
        <v>96</v>
      </c>
      <c r="D74" s="115"/>
      <c r="E74" s="116"/>
      <c r="F74" s="117"/>
      <c r="G74" s="109"/>
      <c r="I74" s="1" t="s">
        <v>78</v>
      </c>
      <c r="J74" s="1"/>
      <c r="K74" s="1"/>
      <c r="L74" s="2">
        <f>C28-L72</f>
        <v>-13529.87000000017</v>
      </c>
    </row>
    <row r="75" spans="1:12" x14ac:dyDescent="0.25">
      <c r="A75" s="85" t="s">
        <v>65</v>
      </c>
      <c r="B75" s="134" t="s">
        <v>31</v>
      </c>
      <c r="C75" s="135" t="s">
        <v>31</v>
      </c>
      <c r="D75" s="115"/>
      <c r="E75" s="116"/>
      <c r="F75" s="117"/>
      <c r="G75" s="109"/>
    </row>
    <row r="76" spans="1:12" x14ac:dyDescent="0.25">
      <c r="A76" s="53" t="s">
        <v>173</v>
      </c>
      <c r="B76" s="43"/>
      <c r="C76" s="124">
        <v>12839</v>
      </c>
      <c r="D76" s="115"/>
      <c r="E76" s="116"/>
      <c r="F76" s="117"/>
      <c r="G76" s="109"/>
    </row>
    <row r="77" spans="1:12" x14ac:dyDescent="0.25">
      <c r="A77" s="78" t="s">
        <v>140</v>
      </c>
      <c r="B77" s="43"/>
      <c r="C77" s="175">
        <v>113.4</v>
      </c>
      <c r="D77" s="115"/>
      <c r="E77" s="116"/>
      <c r="F77" s="117"/>
      <c r="G77" s="109"/>
    </row>
    <row r="78" spans="1:12" x14ac:dyDescent="0.25">
      <c r="A78" s="78" t="s">
        <v>175</v>
      </c>
      <c r="B78" s="43"/>
      <c r="C78" s="175">
        <v>9598</v>
      </c>
      <c r="D78" s="115"/>
      <c r="E78" s="116"/>
      <c r="F78" s="117"/>
      <c r="G78" s="109"/>
    </row>
    <row r="79" spans="1:12" x14ac:dyDescent="0.25">
      <c r="A79" s="78" t="s">
        <v>129</v>
      </c>
      <c r="B79" s="43"/>
      <c r="C79" s="175">
        <v>7932</v>
      </c>
      <c r="D79" s="115"/>
      <c r="E79" s="116"/>
      <c r="F79" s="117"/>
      <c r="G79" s="109"/>
    </row>
    <row r="80" spans="1:12" ht="15.75" thickBot="1" x14ac:dyDescent="0.3">
      <c r="A80" s="176" t="s">
        <v>5</v>
      </c>
      <c r="B80" s="177">
        <f>B76</f>
        <v>0</v>
      </c>
      <c r="C80" s="178">
        <f>C76+C77+C79+C78</f>
        <v>30482.400000000001</v>
      </c>
      <c r="D80" s="118"/>
      <c r="E80" s="116"/>
      <c r="F80" s="117"/>
      <c r="G80" s="109"/>
    </row>
    <row r="81" spans="1:7" x14ac:dyDescent="0.25">
      <c r="A81" s="31"/>
      <c r="B81" s="33"/>
      <c r="C81" s="98"/>
      <c r="D81" s="118"/>
      <c r="E81" s="116"/>
      <c r="F81" s="117"/>
      <c r="G81" s="109"/>
    </row>
    <row r="82" spans="1:7" x14ac:dyDescent="0.25">
      <c r="A82" s="60"/>
      <c r="B82" s="33"/>
      <c r="C82" s="98"/>
      <c r="D82" s="118"/>
      <c r="E82" s="116"/>
      <c r="F82" s="117"/>
      <c r="G82" s="109"/>
    </row>
    <row r="83" spans="1:7" hidden="1" x14ac:dyDescent="0.25">
      <c r="A83" s="60" t="s">
        <v>79</v>
      </c>
      <c r="B83" s="33"/>
      <c r="D83" s="118"/>
      <c r="E83" s="116"/>
      <c r="F83" s="117"/>
      <c r="G83" s="109"/>
    </row>
    <row r="84" spans="1:7" hidden="1" x14ac:dyDescent="0.25">
      <c r="A84" s="60" t="s">
        <v>34</v>
      </c>
      <c r="B84" s="20">
        <f>B44/C8/12</f>
        <v>15.6335294029819</v>
      </c>
      <c r="C84" s="101" t="s">
        <v>80</v>
      </c>
      <c r="D84" s="118"/>
      <c r="E84" s="116"/>
      <c r="F84" s="117"/>
      <c r="G84" s="109"/>
    </row>
    <row r="85" spans="1:7" hidden="1" x14ac:dyDescent="0.25">
      <c r="A85" s="60" t="s">
        <v>81</v>
      </c>
      <c r="B85" s="20">
        <f>B57/C8/12</f>
        <v>1.6998126338329762</v>
      </c>
      <c r="C85" s="101" t="s">
        <v>80</v>
      </c>
      <c r="D85" s="118"/>
      <c r="E85" s="116"/>
      <c r="F85" s="117"/>
      <c r="G85" s="109"/>
    </row>
    <row r="86" spans="1:7" hidden="1" x14ac:dyDescent="0.25">
      <c r="A86" s="60" t="s">
        <v>82</v>
      </c>
      <c r="B86" s="20">
        <f>B58/C8/12</f>
        <v>0.16338998929336188</v>
      </c>
      <c r="C86" s="101" t="s">
        <v>80</v>
      </c>
      <c r="D86" s="118"/>
      <c r="E86" s="116"/>
      <c r="F86" s="117"/>
      <c r="G86" s="109"/>
    </row>
    <row r="87" spans="1:7" x14ac:dyDescent="0.25">
      <c r="A87" s="60"/>
      <c r="B87" s="33"/>
      <c r="C87" s="98"/>
      <c r="D87" s="118"/>
      <c r="E87" s="116"/>
      <c r="F87" s="117"/>
      <c r="G87" s="109"/>
    </row>
    <row r="88" spans="1:7" x14ac:dyDescent="0.25">
      <c r="A88" s="60"/>
      <c r="B88" s="33"/>
      <c r="C88" s="101"/>
      <c r="D88" s="110"/>
      <c r="E88" s="114"/>
      <c r="F88" s="119"/>
      <c r="G88" s="109"/>
    </row>
    <row r="89" spans="1:7" x14ac:dyDescent="0.25">
      <c r="A89" s="19"/>
      <c r="B89" s="20"/>
      <c r="C89" s="101"/>
      <c r="D89" s="118"/>
      <c r="E89" s="116"/>
      <c r="F89" s="109"/>
      <c r="G89" s="109"/>
    </row>
    <row r="90" spans="1:7" x14ac:dyDescent="0.25">
      <c r="A90" s="19" t="s">
        <v>83</v>
      </c>
      <c r="B90" s="20"/>
      <c r="C90" s="98"/>
      <c r="D90" s="133" t="s">
        <v>95</v>
      </c>
      <c r="E90" s="116"/>
      <c r="F90" s="109"/>
      <c r="G90" s="109"/>
    </row>
    <row r="91" spans="1:7" x14ac:dyDescent="0.25">
      <c r="A91" s="31"/>
      <c r="B91" s="33"/>
      <c r="C91" s="105"/>
      <c r="E91" s="116"/>
      <c r="F91" s="109"/>
      <c r="G91" s="109"/>
    </row>
    <row r="92" spans="1:7" x14ac:dyDescent="0.25">
      <c r="A92" s="103"/>
      <c r="B92" s="104"/>
      <c r="C92" s="105"/>
      <c r="D92" s="118"/>
      <c r="E92" s="116"/>
      <c r="F92" s="109"/>
      <c r="G92" s="109"/>
    </row>
    <row r="93" spans="1:7" x14ac:dyDescent="0.25">
      <c r="A93" s="103"/>
      <c r="B93" s="104"/>
      <c r="C93" s="105"/>
      <c r="D93" s="99"/>
      <c r="E93" s="100"/>
    </row>
    <row r="94" spans="1:7" x14ac:dyDescent="0.25">
      <c r="A94" s="103"/>
      <c r="B94" s="104"/>
      <c r="C94" s="105"/>
      <c r="D94" s="99"/>
      <c r="E94" s="100"/>
    </row>
    <row r="95" spans="1:7" x14ac:dyDescent="0.25">
      <c r="A95" s="103"/>
      <c r="B95" s="104"/>
      <c r="C95" s="98"/>
      <c r="D95" s="99"/>
      <c r="E95" s="100"/>
    </row>
    <row r="96" spans="1:7" x14ac:dyDescent="0.25">
      <c r="A96" s="31"/>
      <c r="B96" s="33"/>
      <c r="C96" s="98"/>
      <c r="D96" s="99"/>
      <c r="E96" s="100"/>
    </row>
    <row r="97" spans="1:6" x14ac:dyDescent="0.25">
      <c r="A97" s="31"/>
      <c r="B97" s="33"/>
      <c r="C97" s="56"/>
      <c r="D97" s="99"/>
      <c r="E97" s="100"/>
    </row>
    <row r="98" spans="1:6" x14ac:dyDescent="0.25">
      <c r="A98" s="19"/>
      <c r="B98" s="20"/>
      <c r="C98" s="56"/>
      <c r="D98" s="56"/>
      <c r="E98" s="56"/>
    </row>
    <row r="99" spans="1:6" x14ac:dyDescent="0.25">
      <c r="A99" s="19"/>
      <c r="B99" s="20"/>
      <c r="C99" s="56"/>
      <c r="D99" s="102"/>
      <c r="E99" s="56"/>
    </row>
    <row r="100" spans="1:6" x14ac:dyDescent="0.25">
      <c r="A100" s="19"/>
      <c r="B100" s="20"/>
      <c r="C100" s="100"/>
      <c r="D100" s="99"/>
      <c r="E100" s="100"/>
    </row>
    <row r="101" spans="1:6" x14ac:dyDescent="0.25">
      <c r="A101" s="31"/>
      <c r="B101" s="33"/>
      <c r="C101" s="100"/>
      <c r="D101" s="99"/>
      <c r="E101" s="100"/>
    </row>
    <row r="102" spans="1:6" x14ac:dyDescent="0.25">
      <c r="A102" s="31"/>
      <c r="B102" s="33"/>
      <c r="C102" s="100"/>
      <c r="D102" s="105"/>
      <c r="E102" s="100"/>
    </row>
    <row r="103" spans="1:6" x14ac:dyDescent="0.25">
      <c r="A103" s="107"/>
      <c r="B103" s="108"/>
      <c r="C103" s="100"/>
      <c r="D103" s="105"/>
      <c r="E103" s="100"/>
    </row>
    <row r="104" spans="1:6" x14ac:dyDescent="0.25">
      <c r="A104" s="107"/>
      <c r="B104" s="108"/>
      <c r="C104" s="100"/>
      <c r="D104" s="105"/>
      <c r="E104" s="100"/>
      <c r="F104" s="106"/>
    </row>
    <row r="105" spans="1:6" x14ac:dyDescent="0.25">
      <c r="A105" s="31"/>
      <c r="B105" s="33"/>
      <c r="C105" s="100"/>
      <c r="D105" s="105"/>
      <c r="E105" s="100"/>
    </row>
    <row r="106" spans="1:6" x14ac:dyDescent="0.25">
      <c r="A106" s="31"/>
      <c r="B106" s="33"/>
      <c r="C106" s="56"/>
      <c r="D106" s="98"/>
      <c r="E106" s="100"/>
    </row>
    <row r="107" spans="1:6" x14ac:dyDescent="0.25">
      <c r="A107" s="19"/>
      <c r="B107" s="20"/>
      <c r="C107" s="100"/>
      <c r="D107" s="98"/>
      <c r="E107" s="100"/>
    </row>
    <row r="108" spans="1:6" x14ac:dyDescent="0.25">
      <c r="A108" s="31"/>
      <c r="B108" s="33"/>
      <c r="C108" s="100"/>
      <c r="D108" s="56"/>
      <c r="E108" s="56"/>
      <c r="F108" s="3"/>
    </row>
    <row r="109" spans="1:6" x14ac:dyDescent="0.25">
      <c r="A109" s="31"/>
      <c r="B109" s="33"/>
      <c r="C109" s="33"/>
      <c r="D109" s="56"/>
      <c r="E109" s="100"/>
    </row>
    <row r="110" spans="1:6" x14ac:dyDescent="0.25">
      <c r="A110" s="31"/>
      <c r="B110" s="33"/>
      <c r="C110" s="33"/>
      <c r="D110" s="56"/>
      <c r="E110" s="56"/>
    </row>
    <row r="111" spans="1:6" x14ac:dyDescent="0.25">
      <c r="A111" s="31"/>
      <c r="B111" s="33"/>
      <c r="C111" s="33"/>
      <c r="D111" s="100"/>
      <c r="E111" s="100"/>
    </row>
    <row r="112" spans="1:6" x14ac:dyDescent="0.25">
      <c r="A112" s="31"/>
      <c r="B112" s="33"/>
      <c r="D112" s="100"/>
      <c r="E112" s="100"/>
    </row>
    <row r="113" spans="2:6" x14ac:dyDescent="0.25">
      <c r="D113" s="100"/>
      <c r="E113" s="100"/>
    </row>
    <row r="114" spans="2:6" x14ac:dyDescent="0.25">
      <c r="D114" s="100"/>
      <c r="E114" s="100"/>
    </row>
    <row r="115" spans="2:6" x14ac:dyDescent="0.25">
      <c r="D115" s="100"/>
      <c r="E115" s="100"/>
    </row>
    <row r="116" spans="2:6" x14ac:dyDescent="0.25">
      <c r="D116" s="100"/>
      <c r="E116" s="100"/>
    </row>
    <row r="117" spans="2:6" x14ac:dyDescent="0.25">
      <c r="B117"/>
      <c r="C117"/>
      <c r="D117" s="56"/>
      <c r="E117" s="56"/>
      <c r="F117" s="3"/>
    </row>
    <row r="118" spans="2:6" x14ac:dyDescent="0.25">
      <c r="B118"/>
      <c r="C118"/>
      <c r="D118" s="100"/>
      <c r="E118" s="100"/>
      <c r="F118" s="3"/>
    </row>
    <row r="119" spans="2:6" x14ac:dyDescent="0.25">
      <c r="B119"/>
      <c r="C119"/>
      <c r="D119" s="100"/>
      <c r="E119" s="100"/>
    </row>
    <row r="120" spans="2:6" x14ac:dyDescent="0.25">
      <c r="B120"/>
      <c r="C120"/>
      <c r="D120" s="33"/>
      <c r="E120" s="33"/>
    </row>
    <row r="121" spans="2:6" x14ac:dyDescent="0.25">
      <c r="B121"/>
      <c r="C121"/>
      <c r="D121" s="33"/>
      <c r="E121" s="33"/>
    </row>
    <row r="122" spans="2:6" x14ac:dyDescent="0.25">
      <c r="D122" s="33"/>
      <c r="E122" s="33"/>
    </row>
  </sheetData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2 жд 4а</vt:lpstr>
      <vt:lpstr>4 жд46б</vt:lpstr>
      <vt:lpstr>Горького 29</vt:lpstr>
      <vt:lpstr>4 ЖД 14а</vt:lpstr>
      <vt:lpstr>Джамбула 4</vt:lpstr>
      <vt:lpstr>Пушкина,13</vt:lpstr>
      <vt:lpstr>Румянцева15а</vt:lpstr>
      <vt:lpstr>Российская,25</vt:lpstr>
      <vt:lpstr>Воронежская23</vt:lpstr>
      <vt:lpstr>Лапина17</vt:lpstr>
      <vt:lpstr>гоголя42б</vt:lpstr>
      <vt:lpstr>чайковского14</vt:lpstr>
      <vt:lpstr>чайковского9</vt:lpstr>
      <vt:lpstr>гашека4</vt:lpstr>
      <vt:lpstr>гашека7</vt:lpstr>
      <vt:lpstr>мичурина7</vt:lpstr>
      <vt:lpstr>мичурина7-1</vt:lpstr>
      <vt:lpstr>свердлова1</vt:lpstr>
      <vt:lpstr>шмидта32</vt:lpstr>
      <vt:lpstr>роза5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2013-08-14T06:18:06Z</cp:lastPrinted>
  <dcterms:created xsi:type="dcterms:W3CDTF">2013-03-19T04:45:22Z</dcterms:created>
  <dcterms:modified xsi:type="dcterms:W3CDTF">2013-08-14T06:19:49Z</dcterms:modified>
</cp:coreProperties>
</file>