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5480" windowHeight="9210" activeTab="2"/>
  </bookViews>
  <sheets>
    <sheet name="2 жд, 4а" sheetId="5" r:id="rId1"/>
    <sheet name="4 жд, 46б" sheetId="1" r:id="rId2"/>
    <sheet name="Горького 29" sheetId="4" r:id="rId3"/>
    <sheet name="4 жд, 14а" sheetId="6" r:id="rId4"/>
    <sheet name="Джамбула 4" sheetId="7" r:id="rId5"/>
    <sheet name="Пушкина,13" sheetId="8" r:id="rId6"/>
    <sheet name="Румянцева,15а" sheetId="9" r:id="rId7"/>
    <sheet name="Российская,25" sheetId="10" r:id="rId8"/>
    <sheet name="Воронежская,23" sheetId="11" r:id="rId9"/>
    <sheet name="Лапина,17" sheetId="12" r:id="rId10"/>
    <sheet name="Пушкина, 6" sheetId="25" r:id="rId11"/>
    <sheet name="Профсоюзная,15 мало данных" sheetId="26" r:id="rId12"/>
    <sheet name="Мичурина, 7-2 мало данных" sheetId="28" r:id="rId13"/>
    <sheet name="Карла Маркса, 32 мало данных" sheetId="24" r:id="rId14"/>
    <sheet name="гоголя, 42б" sheetId="13" r:id="rId15"/>
    <sheet name="чайковского,14" sheetId="14" r:id="rId16"/>
    <sheet name="чайковского,9" sheetId="15" r:id="rId17"/>
    <sheet name="гашека, 4" sheetId="16" r:id="rId18"/>
    <sheet name="гашека,7" sheetId="17" r:id="rId19"/>
    <sheet name="мичурина,7" sheetId="18" r:id="rId20"/>
    <sheet name="мичурина,7-1" sheetId="19" r:id="rId21"/>
    <sheet name="свердлова,1" sheetId="20" r:id="rId22"/>
    <sheet name="шмидта,32" sheetId="21" r:id="rId23"/>
    <sheet name="Роза Люксембург, 5" sheetId="22" r:id="rId24"/>
    <sheet name="румянцева, 26 с 01.07.13" sheetId="27" r:id="rId25"/>
    <sheet name="Воронежская, 13 с 01.09.13" sheetId="29" r:id="rId26"/>
    <sheet name="Воронежская, 17 с 01.09.13" sheetId="30" r:id="rId27"/>
    <sheet name="Воронежская, 19 с 01.09.13" sheetId="31" r:id="rId28"/>
    <sheet name="Севастопольская,145 с 1.10.13" sheetId="32" r:id="rId29"/>
    <sheet name="Севастопольская,147 с 1.10.13" sheetId="33" r:id="rId30"/>
  </sheets>
  <definedNames>
    <definedName name="_xlnm.Print_Area" localSheetId="0">'2 жд, 4а'!$A$1:$G$83</definedName>
    <definedName name="_xlnm.Print_Area" localSheetId="3">'4 жд, 14а'!$A$1:$I$86</definedName>
    <definedName name="_xlnm.Print_Area" localSheetId="1">'4 жд, 46б'!$A$1:$G$82</definedName>
    <definedName name="_xlnm.Print_Area" localSheetId="25">'Воронежская, 13 с 01.09.13'!$A$1:$I$85</definedName>
    <definedName name="_xlnm.Print_Area" localSheetId="26">'Воронежская, 17 с 01.09.13'!$A$1:$I$85</definedName>
    <definedName name="_xlnm.Print_Area" localSheetId="27">'Воронежская, 19 с 01.09.13'!$A$1:$I$85</definedName>
    <definedName name="_xlnm.Print_Area" localSheetId="8">'Воронежская,23'!$A$1:$I$88</definedName>
    <definedName name="_xlnm.Print_Area" localSheetId="17">'гашека, 4'!$A$1:$H$87</definedName>
    <definedName name="_xlnm.Print_Area" localSheetId="18">'гашека,7'!$A$1:$H$85</definedName>
    <definedName name="_xlnm.Print_Area" localSheetId="14">'гоголя, 42б'!$A$1:$G$88</definedName>
    <definedName name="_xlnm.Print_Area" localSheetId="2">'Горького 29'!$A$1:$G$86</definedName>
    <definedName name="_xlnm.Print_Area" localSheetId="4">'Джамбула 4'!$A$1:$H$89</definedName>
    <definedName name="_xlnm.Print_Area" localSheetId="13">'Карла Маркса, 32 мало данных'!$A$1:$G$83</definedName>
    <definedName name="_xlnm.Print_Area" localSheetId="9">'Лапина,17'!$A$1:$H$88</definedName>
    <definedName name="_xlnm.Print_Area" localSheetId="12">'Мичурина, 7-2 мало данных'!$A$1:$H$84</definedName>
    <definedName name="_xlnm.Print_Area" localSheetId="19">'мичурина,7'!$A$1:$H$89</definedName>
    <definedName name="_xlnm.Print_Area" localSheetId="20">'мичурина,7-1'!$A$1:$H$85</definedName>
    <definedName name="_xlnm.Print_Area" localSheetId="11">'Профсоюзная,15 мало данных'!$A$1:$F$87</definedName>
    <definedName name="_xlnm.Print_Area" localSheetId="10">'Пушкина, 6'!$A$1:$F$86</definedName>
    <definedName name="_xlnm.Print_Area" localSheetId="5">'Пушкина,13'!$A$1:$H$87</definedName>
    <definedName name="_xlnm.Print_Area" localSheetId="23">'Роза Люксембург, 5'!$A$1:$I$85</definedName>
    <definedName name="_xlnm.Print_Area" localSheetId="7">'Российская,25'!$A$1:$H$86</definedName>
    <definedName name="_xlnm.Print_Area" localSheetId="24">'румянцева, 26 с 01.07.13'!$A$1:$I$86</definedName>
    <definedName name="_xlnm.Print_Area" localSheetId="6">'Румянцева,15а'!$A$1:$H$88</definedName>
    <definedName name="_xlnm.Print_Area" localSheetId="21">'свердлова,1'!$A$1:$I$91</definedName>
    <definedName name="_xlnm.Print_Area" localSheetId="28">'Севастопольская,145 с 1.10.13'!$A$1:$I$88</definedName>
    <definedName name="_xlnm.Print_Area" localSheetId="29">'Севастопольская,147 с 1.10.13'!$A$1:$I$88</definedName>
    <definedName name="_xlnm.Print_Area" localSheetId="15">'чайковского,14'!$A$1:$H$86</definedName>
    <definedName name="_xlnm.Print_Area" localSheetId="16">'чайковского,9'!$A$1:$G$87</definedName>
    <definedName name="_xlnm.Print_Area" localSheetId="22">'шмидта,32'!$A$1:$I$88</definedName>
  </definedNames>
  <calcPr calcId="145621"/>
</workbook>
</file>

<file path=xl/calcChain.xml><?xml version="1.0" encoding="utf-8"?>
<calcChain xmlns="http://schemas.openxmlformats.org/spreadsheetml/2006/main">
  <c r="C78" i="17" l="1"/>
  <c r="C79" i="16"/>
  <c r="C78" i="15"/>
  <c r="C79" i="13"/>
  <c r="C77" i="25"/>
  <c r="C80" i="12"/>
  <c r="C78" i="22"/>
  <c r="C77" i="28"/>
  <c r="D34" i="6"/>
  <c r="C34" i="6"/>
  <c r="B34" i="6"/>
  <c r="D36" i="6"/>
  <c r="C36" i="6"/>
  <c r="B36" i="6"/>
  <c r="D32" i="6"/>
  <c r="C32" i="6"/>
  <c r="C30" i="6"/>
  <c r="D30" i="6"/>
  <c r="C29" i="6"/>
  <c r="D29" i="6"/>
  <c r="B29" i="6"/>
  <c r="D28" i="6"/>
  <c r="C28" i="6"/>
  <c r="B28" i="6"/>
  <c r="D20" i="6"/>
  <c r="C20" i="6"/>
  <c r="D33" i="5"/>
  <c r="C33" i="5"/>
  <c r="B33" i="5"/>
  <c r="D35" i="5"/>
  <c r="C35" i="5"/>
  <c r="B35" i="5"/>
  <c r="D31" i="5"/>
  <c r="C31" i="5"/>
  <c r="B31" i="5"/>
  <c r="C29" i="5"/>
  <c r="D29" i="5"/>
  <c r="B29" i="5"/>
  <c r="C28" i="5"/>
  <c r="D28" i="5"/>
  <c r="B28" i="5"/>
  <c r="D27" i="5"/>
  <c r="C27" i="5"/>
  <c r="B27" i="5"/>
  <c r="B21" i="5"/>
  <c r="D19" i="5"/>
  <c r="C19" i="5"/>
  <c r="D33" i="27"/>
  <c r="C33" i="27"/>
  <c r="B33" i="27"/>
  <c r="B32" i="27"/>
  <c r="D31" i="27"/>
  <c r="C31" i="27"/>
  <c r="D30" i="27"/>
  <c r="C30" i="27"/>
  <c r="B30" i="27"/>
  <c r="D29" i="27"/>
  <c r="D26" i="27"/>
  <c r="C26" i="27"/>
  <c r="D22" i="27"/>
  <c r="C22" i="27"/>
  <c r="D20" i="27"/>
  <c r="C20" i="27"/>
  <c r="D31" i="1"/>
  <c r="C31" i="1"/>
  <c r="C30" i="1"/>
  <c r="D30" i="1"/>
  <c r="D29" i="1"/>
  <c r="C29" i="1"/>
  <c r="B29" i="1"/>
  <c r="D28" i="1"/>
  <c r="C28" i="1"/>
  <c r="B26" i="1"/>
  <c r="D22" i="1"/>
  <c r="C20" i="1"/>
  <c r="D20" i="1"/>
  <c r="B20" i="1"/>
  <c r="D20" i="22"/>
  <c r="C20" i="22"/>
  <c r="D33" i="22"/>
  <c r="D34" i="22"/>
  <c r="C33" i="22"/>
  <c r="C34" i="22"/>
  <c r="D29" i="22"/>
  <c r="C29" i="22"/>
  <c r="C31" i="22"/>
  <c r="D31" i="22"/>
  <c r="C30" i="22"/>
  <c r="D30" i="22"/>
  <c r="C31" i="33" l="1"/>
  <c r="D30" i="33"/>
  <c r="C30" i="33"/>
  <c r="B81" i="33"/>
  <c r="C80" i="33"/>
  <c r="C79" i="33"/>
  <c r="C78" i="33"/>
  <c r="B71" i="33"/>
  <c r="B69" i="33"/>
  <c r="B62" i="33"/>
  <c r="B72" i="33" s="1"/>
  <c r="F52" i="33"/>
  <c r="F50" i="33"/>
  <c r="F48" i="33"/>
  <c r="F46" i="33"/>
  <c r="F45" i="33"/>
  <c r="E38" i="33"/>
  <c r="E37" i="33"/>
  <c r="E36" i="33"/>
  <c r="E35" i="33"/>
  <c r="E34" i="33"/>
  <c r="E33" i="33"/>
  <c r="E32" i="33"/>
  <c r="E31" i="33"/>
  <c r="E30" i="33"/>
  <c r="E29" i="33"/>
  <c r="D28" i="33"/>
  <c r="D39" i="33" s="1"/>
  <c r="C28" i="33"/>
  <c r="B28" i="33"/>
  <c r="B39" i="33" s="1"/>
  <c r="E27" i="33"/>
  <c r="E26" i="33"/>
  <c r="E25" i="33"/>
  <c r="E24" i="33"/>
  <c r="E23" i="33"/>
  <c r="F22" i="33"/>
  <c r="E22" i="33"/>
  <c r="E21" i="33"/>
  <c r="G20" i="33"/>
  <c r="F20" i="33"/>
  <c r="E20" i="33"/>
  <c r="C8" i="33"/>
  <c r="B8" i="33"/>
  <c r="G42" i="33" s="1"/>
  <c r="C80" i="32"/>
  <c r="C81" i="32" s="1"/>
  <c r="B58" i="32" s="1"/>
  <c r="B68" i="32" s="1"/>
  <c r="C79" i="32"/>
  <c r="C78" i="32"/>
  <c r="D30" i="32"/>
  <c r="D28" i="32" s="1"/>
  <c r="D39" i="32" s="1"/>
  <c r="C30" i="32"/>
  <c r="B81" i="32"/>
  <c r="B71" i="32"/>
  <c r="B69" i="32"/>
  <c r="B62" i="32"/>
  <c r="B72" i="32" s="1"/>
  <c r="F52" i="32"/>
  <c r="F50" i="32"/>
  <c r="F48" i="32"/>
  <c r="F46" i="32"/>
  <c r="F45" i="32"/>
  <c r="E38" i="32"/>
  <c r="E37" i="32"/>
  <c r="E36" i="32"/>
  <c r="E35" i="32"/>
  <c r="E34" i="32"/>
  <c r="E33" i="32"/>
  <c r="E32" i="32"/>
  <c r="E31" i="32"/>
  <c r="E30" i="32"/>
  <c r="E29" i="32"/>
  <c r="C28" i="32"/>
  <c r="B28" i="32"/>
  <c r="B39" i="32" s="1"/>
  <c r="E27" i="32"/>
  <c r="E26" i="32"/>
  <c r="E25" i="32"/>
  <c r="E24" i="32"/>
  <c r="E23" i="32"/>
  <c r="F22" i="32"/>
  <c r="E22" i="32"/>
  <c r="E21" i="32"/>
  <c r="G20" i="32"/>
  <c r="F20" i="32"/>
  <c r="E20" i="32"/>
  <c r="C8" i="32"/>
  <c r="B8" i="32"/>
  <c r="G42" i="32" s="1"/>
  <c r="B60" i="31"/>
  <c r="D30" i="31"/>
  <c r="D28" i="31" s="1"/>
  <c r="D39" i="31" s="1"/>
  <c r="C30" i="31"/>
  <c r="B78" i="31"/>
  <c r="B71" i="31"/>
  <c r="B69" i="31"/>
  <c r="B68" i="31"/>
  <c r="B62" i="31"/>
  <c r="B72" i="31" s="1"/>
  <c r="F52" i="31"/>
  <c r="F50" i="31"/>
  <c r="F48" i="31"/>
  <c r="F46" i="31"/>
  <c r="F45" i="31"/>
  <c r="E38" i="31"/>
  <c r="E37" i="31"/>
  <c r="E36" i="31"/>
  <c r="E35" i="31"/>
  <c r="E34" i="31"/>
  <c r="E33" i="31"/>
  <c r="E32" i="31"/>
  <c r="E31" i="31"/>
  <c r="E30" i="31"/>
  <c r="E29" i="31"/>
  <c r="C28" i="31"/>
  <c r="B28" i="31"/>
  <c r="B39" i="31" s="1"/>
  <c r="E27" i="31"/>
  <c r="E26" i="31"/>
  <c r="E25" i="31"/>
  <c r="E24" i="31"/>
  <c r="E23" i="31"/>
  <c r="F22" i="31"/>
  <c r="E22" i="31"/>
  <c r="E21" i="31"/>
  <c r="G20" i="31"/>
  <c r="F20" i="31"/>
  <c r="E20" i="31"/>
  <c r="C8" i="31"/>
  <c r="B8" i="31"/>
  <c r="G42" i="31" s="1"/>
  <c r="B60" i="30"/>
  <c r="D31" i="30"/>
  <c r="E31" i="30" s="1"/>
  <c r="C31" i="30"/>
  <c r="D30" i="30"/>
  <c r="C30" i="30"/>
  <c r="C28" i="30" s="1"/>
  <c r="B78" i="30"/>
  <c r="B71" i="30"/>
  <c r="B69" i="30"/>
  <c r="B68" i="30"/>
  <c r="B62" i="30"/>
  <c r="B72" i="30" s="1"/>
  <c r="F52" i="30"/>
  <c r="F50" i="30"/>
  <c r="F48" i="30"/>
  <c r="F46" i="30"/>
  <c r="F45" i="30"/>
  <c r="E38" i="30"/>
  <c r="E37" i="30"/>
  <c r="E36" i="30"/>
  <c r="E35" i="30"/>
  <c r="E34" i="30"/>
  <c r="E33" i="30"/>
  <c r="E32" i="30"/>
  <c r="E29" i="30"/>
  <c r="D28" i="30"/>
  <c r="D39" i="30" s="1"/>
  <c r="B28" i="30"/>
  <c r="B39" i="30" s="1"/>
  <c r="E27" i="30"/>
  <c r="E26" i="30"/>
  <c r="E25" i="30"/>
  <c r="E24" i="30"/>
  <c r="E23" i="30"/>
  <c r="F22" i="30"/>
  <c r="E22" i="30"/>
  <c r="E21" i="30"/>
  <c r="G20" i="30"/>
  <c r="F20" i="30"/>
  <c r="E20" i="30"/>
  <c r="B8" i="30"/>
  <c r="C8" i="30"/>
  <c r="B60" i="29"/>
  <c r="D30" i="29"/>
  <c r="C31" i="29"/>
  <c r="C29" i="29"/>
  <c r="E29" i="29" s="1"/>
  <c r="D33" i="29"/>
  <c r="D28" i="29" s="1"/>
  <c r="D39" i="29" s="1"/>
  <c r="C33" i="29"/>
  <c r="C6" i="29"/>
  <c r="B78" i="29"/>
  <c r="B68" i="29"/>
  <c r="B71" i="29"/>
  <c r="B69" i="29"/>
  <c r="B62" i="29"/>
  <c r="B72" i="29" s="1"/>
  <c r="F52" i="29"/>
  <c r="F50" i="29"/>
  <c r="F48" i="29"/>
  <c r="F46" i="29"/>
  <c r="F47" i="29" s="1"/>
  <c r="F45" i="29"/>
  <c r="E38" i="29"/>
  <c r="E37" i="29"/>
  <c r="E36" i="29"/>
  <c r="E35" i="29"/>
  <c r="E34" i="29"/>
  <c r="E32" i="29"/>
  <c r="E31" i="29"/>
  <c r="E30" i="29"/>
  <c r="C28" i="29"/>
  <c r="B28" i="29"/>
  <c r="B39" i="29" s="1"/>
  <c r="E27" i="29"/>
  <c r="E26" i="29"/>
  <c r="E25" i="29"/>
  <c r="E24" i="29"/>
  <c r="E23" i="29"/>
  <c r="F22" i="29"/>
  <c r="E22" i="29"/>
  <c r="E21" i="29"/>
  <c r="G20" i="29"/>
  <c r="F20" i="29"/>
  <c r="E20" i="29"/>
  <c r="C8" i="29"/>
  <c r="B8" i="29"/>
  <c r="G44" i="29" s="1"/>
  <c r="B63" i="29" s="1"/>
  <c r="B60" i="28"/>
  <c r="B54" i="28"/>
  <c r="C35" i="28"/>
  <c r="D30" i="28"/>
  <c r="C30" i="28"/>
  <c r="B77" i="28"/>
  <c r="B57" i="28"/>
  <c r="B67" i="28" s="1"/>
  <c r="B61" i="28"/>
  <c r="B71" i="28" s="1"/>
  <c r="F52" i="28"/>
  <c r="F50" i="28"/>
  <c r="F48" i="28"/>
  <c r="F46" i="28"/>
  <c r="F45" i="28"/>
  <c r="E38" i="28"/>
  <c r="E37" i="28"/>
  <c r="E36" i="28"/>
  <c r="E35" i="28"/>
  <c r="E34" i="28"/>
  <c r="E33" i="28"/>
  <c r="E32" i="28"/>
  <c r="E31" i="28"/>
  <c r="E30" i="28"/>
  <c r="E29" i="28"/>
  <c r="D28" i="28"/>
  <c r="D39" i="28" s="1"/>
  <c r="C28" i="28"/>
  <c r="B28" i="28"/>
  <c r="B39" i="28" s="1"/>
  <c r="E27" i="28"/>
  <c r="B68" i="28"/>
  <c r="E25" i="28"/>
  <c r="E24" i="28"/>
  <c r="E23" i="28"/>
  <c r="F22" i="28"/>
  <c r="F20" i="28" s="1"/>
  <c r="E21" i="28"/>
  <c r="G20" i="28"/>
  <c r="D8" i="28"/>
  <c r="C8" i="28"/>
  <c r="G42" i="28" s="1"/>
  <c r="B60" i="27"/>
  <c r="C78" i="27"/>
  <c r="C79" i="27" s="1"/>
  <c r="B58" i="27" s="1"/>
  <c r="B68" i="27" s="1"/>
  <c r="F52" i="27"/>
  <c r="F50" i="27"/>
  <c r="F48" i="27"/>
  <c r="F46" i="27"/>
  <c r="F45" i="27"/>
  <c r="B79" i="27"/>
  <c r="B71" i="27"/>
  <c r="B69" i="27"/>
  <c r="B62" i="27"/>
  <c r="B72" i="27" s="1"/>
  <c r="E38" i="27"/>
  <c r="E37" i="27"/>
  <c r="E36" i="27"/>
  <c r="E35" i="27"/>
  <c r="E34" i="27"/>
  <c r="E33" i="27"/>
  <c r="E32" i="27"/>
  <c r="E31" i="27"/>
  <c r="E30" i="27"/>
  <c r="E29" i="27"/>
  <c r="D28" i="27"/>
  <c r="D39" i="27" s="1"/>
  <c r="C28" i="27"/>
  <c r="B28" i="27"/>
  <c r="B39" i="27" s="1"/>
  <c r="E27" i="27"/>
  <c r="E26" i="27"/>
  <c r="E25" i="27"/>
  <c r="E24" i="27"/>
  <c r="E23" i="27"/>
  <c r="F22" i="27"/>
  <c r="E22" i="27"/>
  <c r="E21" i="27"/>
  <c r="G20" i="27"/>
  <c r="F20" i="27"/>
  <c r="E20" i="27"/>
  <c r="B8" i="27"/>
  <c r="G42" i="27" s="1"/>
  <c r="B42" i="6"/>
  <c r="B58" i="6"/>
  <c r="B59" i="6"/>
  <c r="C76" i="6"/>
  <c r="C77" i="6"/>
  <c r="F51" i="6"/>
  <c r="F49" i="6"/>
  <c r="F47" i="6"/>
  <c r="F45" i="6"/>
  <c r="F44" i="6"/>
  <c r="F42" i="6"/>
  <c r="F41" i="6"/>
  <c r="B54" i="19"/>
  <c r="B54" i="18"/>
  <c r="B59" i="18"/>
  <c r="B54" i="17"/>
  <c r="B58" i="17"/>
  <c r="B54" i="16"/>
  <c r="B58" i="16"/>
  <c r="B58" i="13"/>
  <c r="B53" i="25"/>
  <c r="B56" i="1"/>
  <c r="B41" i="1"/>
  <c r="B57" i="1"/>
  <c r="B52" i="1"/>
  <c r="C73" i="1"/>
  <c r="C75" i="1" s="1"/>
  <c r="F50" i="1"/>
  <c r="F48" i="1"/>
  <c r="F46" i="1"/>
  <c r="G44" i="1" s="1"/>
  <c r="B46" i="1" s="1"/>
  <c r="F44" i="1"/>
  <c r="F45" i="1" s="1"/>
  <c r="F43" i="1"/>
  <c r="G43" i="1" s="1"/>
  <c r="B47" i="1" s="1"/>
  <c r="F41" i="1"/>
  <c r="F40" i="1"/>
  <c r="B41" i="5"/>
  <c r="B59" i="5"/>
  <c r="B58" i="5"/>
  <c r="B57" i="5"/>
  <c r="B51" i="5"/>
  <c r="C7" i="5"/>
  <c r="F50" i="5"/>
  <c r="F48" i="5"/>
  <c r="F46" i="5"/>
  <c r="G42" i="5" s="1"/>
  <c r="F44" i="5"/>
  <c r="F43" i="5"/>
  <c r="F41" i="5"/>
  <c r="F40" i="5"/>
  <c r="G40" i="5" s="1"/>
  <c r="B8" i="22"/>
  <c r="B60" i="22"/>
  <c r="F52" i="22"/>
  <c r="F50" i="22"/>
  <c r="F48" i="22"/>
  <c r="G42" i="22" s="1"/>
  <c r="F46" i="22"/>
  <c r="F45" i="22"/>
  <c r="G45" i="22" s="1"/>
  <c r="B49" i="22" s="1"/>
  <c r="G44" i="22"/>
  <c r="B63" i="22" s="1"/>
  <c r="G43" i="22"/>
  <c r="G40" i="1" l="1"/>
  <c r="G48" i="1"/>
  <c r="B58" i="33"/>
  <c r="B68" i="33" s="1"/>
  <c r="C81" i="33"/>
  <c r="G43" i="5"/>
  <c r="B47" i="5" s="1"/>
  <c r="G50" i="5"/>
  <c r="B49" i="5" s="1"/>
  <c r="G41" i="1"/>
  <c r="G45" i="1"/>
  <c r="E33" i="29"/>
  <c r="G42" i="30"/>
  <c r="E30" i="30"/>
  <c r="B44" i="5"/>
  <c r="G41" i="5"/>
  <c r="G48" i="5"/>
  <c r="G50" i="22"/>
  <c r="B52" i="22" s="1"/>
  <c r="G44" i="5"/>
  <c r="B46" i="5" s="1"/>
  <c r="G42" i="1"/>
  <c r="B70" i="28"/>
  <c r="G43" i="27"/>
  <c r="B46" i="27" s="1"/>
  <c r="G46" i="27"/>
  <c r="B48" i="27" s="1"/>
  <c r="G45" i="27"/>
  <c r="B49" i="27" s="1"/>
  <c r="G44" i="27"/>
  <c r="B63" i="27" s="1"/>
  <c r="G50" i="1"/>
  <c r="B49" i="1" s="1"/>
  <c r="B46" i="22"/>
  <c r="G22" i="27"/>
  <c r="G22" i="33"/>
  <c r="G52" i="33"/>
  <c r="B51" i="33" s="1"/>
  <c r="G46" i="33"/>
  <c r="B48" i="33" s="1"/>
  <c r="G50" i="33"/>
  <c r="B52" i="33" s="1"/>
  <c r="E28" i="33"/>
  <c r="E39" i="33" s="1"/>
  <c r="C39" i="33"/>
  <c r="G43" i="33"/>
  <c r="B46" i="33" s="1"/>
  <c r="G44" i="33"/>
  <c r="B63" i="33" s="1"/>
  <c r="G45" i="33"/>
  <c r="B49" i="33" s="1"/>
  <c r="F47" i="33"/>
  <c r="G47" i="33" s="1"/>
  <c r="B50" i="33" s="1"/>
  <c r="B70" i="33"/>
  <c r="G22" i="32"/>
  <c r="G43" i="32"/>
  <c r="B46" i="32" s="1"/>
  <c r="G46" i="32"/>
  <c r="B48" i="32" s="1"/>
  <c r="G50" i="32"/>
  <c r="B52" i="32" s="1"/>
  <c r="G44" i="32"/>
  <c r="B63" i="32" s="1"/>
  <c r="G45" i="32"/>
  <c r="B49" i="32" s="1"/>
  <c r="G52" i="32"/>
  <c r="B51" i="32" s="1"/>
  <c r="E28" i="32"/>
  <c r="E39" i="32" s="1"/>
  <c r="C39" i="32"/>
  <c r="F47" i="32"/>
  <c r="G47" i="32" s="1"/>
  <c r="B50" i="32" s="1"/>
  <c r="B70" i="32"/>
  <c r="G22" i="31"/>
  <c r="G46" i="31"/>
  <c r="B48" i="31" s="1"/>
  <c r="G50" i="31"/>
  <c r="B52" i="31" s="1"/>
  <c r="G52" i="31"/>
  <c r="B51" i="31" s="1"/>
  <c r="E28" i="31"/>
  <c r="E39" i="31" s="1"/>
  <c r="C39" i="31"/>
  <c r="G43" i="31"/>
  <c r="B46" i="31" s="1"/>
  <c r="G44" i="31"/>
  <c r="B63" i="31" s="1"/>
  <c r="G45" i="31"/>
  <c r="B49" i="31" s="1"/>
  <c r="F47" i="31"/>
  <c r="G47" i="31" s="1"/>
  <c r="B50" i="31" s="1"/>
  <c r="B70" i="31"/>
  <c r="G22" i="30"/>
  <c r="G46" i="30"/>
  <c r="B48" i="30" s="1"/>
  <c r="G50" i="30"/>
  <c r="B52" i="30" s="1"/>
  <c r="G52" i="30"/>
  <c r="B51" i="30" s="1"/>
  <c r="C39" i="30"/>
  <c r="G43" i="30"/>
  <c r="G44" i="30"/>
  <c r="B63" i="30" s="1"/>
  <c r="G45" i="30"/>
  <c r="B49" i="30" s="1"/>
  <c r="F47" i="30"/>
  <c r="G47" i="30" s="1"/>
  <c r="B50" i="30" s="1"/>
  <c r="E28" i="30"/>
  <c r="E39" i="30" s="1"/>
  <c r="B70" i="30"/>
  <c r="G22" i="29"/>
  <c r="G47" i="29"/>
  <c r="B50" i="29" s="1"/>
  <c r="G45" i="29"/>
  <c r="B49" i="29" s="1"/>
  <c r="G52" i="29"/>
  <c r="B51" i="29" s="1"/>
  <c r="G42" i="29"/>
  <c r="G46" i="29"/>
  <c r="B48" i="29" s="1"/>
  <c r="G50" i="29"/>
  <c r="B52" i="29" s="1"/>
  <c r="E28" i="29"/>
  <c r="E39" i="29" s="1"/>
  <c r="C39" i="29"/>
  <c r="G43" i="29"/>
  <c r="B70" i="29"/>
  <c r="G22" i="28"/>
  <c r="G46" i="28"/>
  <c r="B48" i="28" s="1"/>
  <c r="G45" i="28"/>
  <c r="B49" i="28" s="1"/>
  <c r="G52" i="28"/>
  <c r="B51" i="28" s="1"/>
  <c r="E20" i="28"/>
  <c r="E22" i="28"/>
  <c r="E26" i="28"/>
  <c r="C39" i="28"/>
  <c r="G43" i="28"/>
  <c r="B46" i="28" s="1"/>
  <c r="G44" i="28"/>
  <c r="B62" i="28" s="1"/>
  <c r="F47" i="28"/>
  <c r="G47" i="28" s="1"/>
  <c r="B50" i="28" s="1"/>
  <c r="E28" i="28"/>
  <c r="G50" i="28"/>
  <c r="B52" i="28" s="1"/>
  <c r="B69" i="28"/>
  <c r="F47" i="27"/>
  <c r="G47" i="27" s="1"/>
  <c r="B50" i="27" s="1"/>
  <c r="G50" i="27"/>
  <c r="B52" i="27" s="1"/>
  <c r="G52" i="27"/>
  <c r="B51" i="27" s="1"/>
  <c r="E28" i="27"/>
  <c r="E39" i="27" s="1"/>
  <c r="C39" i="27"/>
  <c r="B70" i="27"/>
  <c r="F46" i="6"/>
  <c r="F45" i="5"/>
  <c r="G45" i="5" s="1"/>
  <c r="G52" i="22"/>
  <c r="B51" i="22" s="1"/>
  <c r="G46" i="22"/>
  <c r="B48" i="22" s="1"/>
  <c r="F47" i="22"/>
  <c r="G47" i="22" s="1"/>
  <c r="B50" i="22" s="1"/>
  <c r="B44" i="1" l="1"/>
  <c r="B46" i="30"/>
  <c r="B56" i="33"/>
  <c r="B44" i="33" s="1"/>
  <c r="B56" i="32"/>
  <c r="B44" i="32" s="1"/>
  <c r="B56" i="31"/>
  <c r="B44" i="31" s="1"/>
  <c r="B56" i="30"/>
  <c r="B44" i="30" s="1"/>
  <c r="B46" i="29"/>
  <c r="B56" i="28"/>
  <c r="B44" i="28" s="1"/>
  <c r="E39" i="28"/>
  <c r="B56" i="27"/>
  <c r="B44" i="27" s="1"/>
  <c r="B42" i="33" l="1"/>
  <c r="B67" i="33"/>
  <c r="B66" i="33" s="1"/>
  <c r="B42" i="32"/>
  <c r="B67" i="32"/>
  <c r="B66" i="32" s="1"/>
  <c r="B42" i="31"/>
  <c r="B67" i="31"/>
  <c r="B66" i="31" s="1"/>
  <c r="B42" i="30"/>
  <c r="B67" i="30"/>
  <c r="B66" i="30" s="1"/>
  <c r="B56" i="29"/>
  <c r="B44" i="29" s="1"/>
  <c r="B42" i="28"/>
  <c r="D42" i="28" s="1"/>
  <c r="B66" i="28"/>
  <c r="B65" i="28" s="1"/>
  <c r="B67" i="27"/>
  <c r="B66" i="27" s="1"/>
  <c r="B42" i="27"/>
  <c r="D42" i="33" l="1"/>
  <c r="B65" i="33"/>
  <c r="B65" i="32"/>
  <c r="D42" i="32"/>
  <c r="D42" i="31"/>
  <c r="B65" i="31"/>
  <c r="D42" i="30"/>
  <c r="B65" i="30"/>
  <c r="B67" i="29"/>
  <c r="B66" i="29" s="1"/>
  <c r="B42" i="29"/>
  <c r="D42" i="27"/>
  <c r="B65" i="27"/>
  <c r="B65" i="29" l="1"/>
  <c r="D42" i="29"/>
  <c r="B43" i="8" l="1"/>
  <c r="B60" i="8"/>
  <c r="B59" i="8"/>
  <c r="C76" i="8"/>
  <c r="C78" i="8" s="1"/>
  <c r="B57" i="8" s="1"/>
  <c r="F52" i="8" l="1"/>
  <c r="F50" i="8"/>
  <c r="F48" i="8"/>
  <c r="F46" i="8"/>
  <c r="F47" i="8" s="1"/>
  <c r="F45" i="8"/>
  <c r="F43" i="8"/>
  <c r="F42" i="8"/>
  <c r="C37" i="8"/>
  <c r="B61" i="8" s="1"/>
  <c r="C35" i="8"/>
  <c r="D35" i="8"/>
  <c r="B35" i="8"/>
  <c r="D37" i="8"/>
  <c r="B37" i="8"/>
  <c r="D33" i="8"/>
  <c r="C33" i="8"/>
  <c r="C31" i="8"/>
  <c r="D31" i="8"/>
  <c r="C30" i="8"/>
  <c r="D30" i="8"/>
  <c r="B30" i="8"/>
  <c r="D29" i="8"/>
  <c r="C29" i="8"/>
  <c r="B29" i="8"/>
  <c r="D22" i="8"/>
  <c r="B22" i="8"/>
  <c r="D20" i="8"/>
  <c r="C20" i="8"/>
  <c r="B60" i="19"/>
  <c r="C77" i="19"/>
  <c r="C78" i="19" s="1"/>
  <c r="B57" i="18"/>
  <c r="B57" i="19"/>
  <c r="F52" i="19"/>
  <c r="F50" i="19"/>
  <c r="F48" i="19"/>
  <c r="F46" i="19"/>
  <c r="F47" i="19" s="1"/>
  <c r="F45" i="19"/>
  <c r="F43" i="19"/>
  <c r="B43" i="19"/>
  <c r="B38" i="19"/>
  <c r="D35" i="19"/>
  <c r="C35" i="19"/>
  <c r="B35" i="19"/>
  <c r="D33" i="19"/>
  <c r="C33" i="19"/>
  <c r="B33" i="19"/>
  <c r="D31" i="19"/>
  <c r="C31" i="19"/>
  <c r="B31" i="19"/>
  <c r="D30" i="19"/>
  <c r="C30" i="19"/>
  <c r="B30" i="19"/>
  <c r="D29" i="19"/>
  <c r="C29" i="19"/>
  <c r="B29" i="19"/>
  <c r="D26" i="19"/>
  <c r="C26" i="19"/>
  <c r="B26" i="19"/>
  <c r="D22" i="19"/>
  <c r="C22" i="19"/>
  <c r="B22" i="19"/>
  <c r="D20" i="19"/>
  <c r="C20" i="19"/>
  <c r="B20" i="19"/>
  <c r="B71" i="18"/>
  <c r="B43" i="18"/>
  <c r="B60" i="18"/>
  <c r="C77" i="18"/>
  <c r="C81" i="18" s="1"/>
  <c r="F52" i="18"/>
  <c r="F50" i="18"/>
  <c r="F48" i="18"/>
  <c r="F46" i="18"/>
  <c r="F45" i="18"/>
  <c r="F43" i="18"/>
  <c r="D35" i="18"/>
  <c r="C35" i="18"/>
  <c r="B35" i="18"/>
  <c r="B38" i="18"/>
  <c r="D33" i="18"/>
  <c r="C33" i="18"/>
  <c r="B32" i="18"/>
  <c r="D31" i="18"/>
  <c r="C31" i="18"/>
  <c r="D30" i="18"/>
  <c r="C30" i="18"/>
  <c r="B30" i="18"/>
  <c r="D29" i="18"/>
  <c r="C29" i="18"/>
  <c r="D26" i="18"/>
  <c r="D22" i="18"/>
  <c r="C22" i="18"/>
  <c r="D20" i="18"/>
  <c r="C20" i="18"/>
  <c r="B68" i="7"/>
  <c r="B59" i="7"/>
  <c r="F52" i="7"/>
  <c r="F50" i="7"/>
  <c r="F48" i="7"/>
  <c r="F46" i="7"/>
  <c r="F47" i="7" s="1"/>
  <c r="F45" i="7"/>
  <c r="F43" i="7"/>
  <c r="F42" i="7"/>
  <c r="D35" i="7"/>
  <c r="D20" i="7"/>
  <c r="D37" i="7"/>
  <c r="C37" i="7"/>
  <c r="B37" i="7"/>
  <c r="D33" i="7"/>
  <c r="C33" i="7"/>
  <c r="C35" i="7"/>
  <c r="B35" i="7"/>
  <c r="C31" i="7"/>
  <c r="D31" i="7"/>
  <c r="C30" i="7"/>
  <c r="D30" i="7"/>
  <c r="D29" i="7"/>
  <c r="C29" i="7"/>
  <c r="D27" i="7"/>
  <c r="C27" i="7"/>
  <c r="B27" i="7"/>
  <c r="D22" i="7"/>
  <c r="C22" i="7"/>
  <c r="C20" i="7"/>
  <c r="B43" i="7"/>
  <c r="B59" i="13"/>
  <c r="F52" i="13"/>
  <c r="F50" i="13"/>
  <c r="F48" i="13"/>
  <c r="F46" i="13"/>
  <c r="F47" i="13" s="1"/>
  <c r="F45" i="13"/>
  <c r="D33" i="13"/>
  <c r="C33" i="13"/>
  <c r="D31" i="13"/>
  <c r="C31" i="13"/>
  <c r="D30" i="13"/>
  <c r="C30" i="13"/>
  <c r="B30" i="13"/>
  <c r="D29" i="13"/>
  <c r="C29" i="13"/>
  <c r="D20" i="13"/>
  <c r="C20" i="13"/>
  <c r="D28" i="7" l="1"/>
  <c r="B28" i="19"/>
  <c r="C28" i="7"/>
  <c r="B69" i="7" s="1"/>
  <c r="C28" i="19"/>
  <c r="C39" i="19" s="1"/>
  <c r="D28" i="19"/>
  <c r="E28" i="19"/>
  <c r="B39" i="19"/>
  <c r="D39" i="19"/>
  <c r="F47" i="18"/>
  <c r="D39" i="7"/>
  <c r="B57" i="11"/>
  <c r="B54" i="11"/>
  <c r="B53" i="11"/>
  <c r="B59" i="11"/>
  <c r="C76" i="11"/>
  <c r="C79" i="11" s="1"/>
  <c r="B70" i="19" l="1"/>
  <c r="C39" i="7"/>
  <c r="F52" i="11"/>
  <c r="F50" i="11"/>
  <c r="G50" i="11" s="1"/>
  <c r="B52" i="11" s="1"/>
  <c r="F48" i="11"/>
  <c r="F46" i="11"/>
  <c r="F47" i="11" s="1"/>
  <c r="F45" i="11"/>
  <c r="F43" i="11"/>
  <c r="F42" i="11"/>
  <c r="D33" i="11"/>
  <c r="C33" i="11"/>
  <c r="B33" i="11"/>
  <c r="D31" i="11"/>
  <c r="C31" i="11"/>
  <c r="D30" i="11"/>
  <c r="C30" i="11"/>
  <c r="B30" i="11"/>
  <c r="C29" i="11"/>
  <c r="D29" i="11"/>
  <c r="D26" i="11"/>
  <c r="C26" i="11"/>
  <c r="D22" i="11" l="1"/>
  <c r="D20" i="11"/>
  <c r="B20" i="11"/>
  <c r="E20" i="11" l="1"/>
  <c r="B54" i="20" l="1"/>
  <c r="B55" i="12" l="1"/>
  <c r="B54" i="10"/>
  <c r="B47" i="4"/>
  <c r="F43" i="17" l="1"/>
  <c r="F43" i="16"/>
  <c r="F43" i="26"/>
  <c r="F42" i="26"/>
  <c r="F41" i="25"/>
  <c r="F44" i="12"/>
  <c r="F43" i="12"/>
  <c r="F43" i="10"/>
  <c r="F42" i="10"/>
  <c r="F43" i="9"/>
  <c r="F42" i="9"/>
  <c r="F42" i="4"/>
  <c r="F43" i="4"/>
  <c r="C78" i="20"/>
  <c r="C82" i="20" s="1"/>
  <c r="C76" i="14"/>
  <c r="C77" i="14" s="1"/>
  <c r="C74" i="24"/>
  <c r="C76" i="24" s="1"/>
  <c r="B59" i="10" l="1"/>
  <c r="B58" i="10"/>
  <c r="F52" i="10"/>
  <c r="F50" i="10"/>
  <c r="G50" i="10" s="1"/>
  <c r="F48" i="10"/>
  <c r="G44" i="10" s="1"/>
  <c r="B62" i="10" s="1"/>
  <c r="F46" i="10"/>
  <c r="G46" i="10" s="1"/>
  <c r="B48" i="10" s="1"/>
  <c r="F45" i="10"/>
  <c r="G45" i="10" s="1"/>
  <c r="B49" i="10" s="1"/>
  <c r="G43" i="10"/>
  <c r="G42" i="10"/>
  <c r="D31" i="10"/>
  <c r="C31" i="10"/>
  <c r="B31" i="10"/>
  <c r="D20" i="10"/>
  <c r="C24" i="10"/>
  <c r="D22" i="10"/>
  <c r="B22" i="10"/>
  <c r="D29" i="10"/>
  <c r="C29" i="10"/>
  <c r="B29" i="10"/>
  <c r="D30" i="10"/>
  <c r="C30" i="10"/>
  <c r="B30" i="10"/>
  <c r="C33" i="10"/>
  <c r="D33" i="10"/>
  <c r="B33" i="10"/>
  <c r="D31" i="26"/>
  <c r="D22" i="26"/>
  <c r="D20" i="26"/>
  <c r="D29" i="26"/>
  <c r="D26" i="26"/>
  <c r="D30" i="26"/>
  <c r="D33" i="26"/>
  <c r="E33" i="26" s="1"/>
  <c r="C31" i="26"/>
  <c r="C22" i="26"/>
  <c r="C20" i="26"/>
  <c r="C29" i="26"/>
  <c r="E29" i="26" s="1"/>
  <c r="C30" i="26"/>
  <c r="C33" i="26"/>
  <c r="C80" i="26"/>
  <c r="B80" i="26"/>
  <c r="B70" i="26"/>
  <c r="B61" i="26"/>
  <c r="B71" i="26" s="1"/>
  <c r="B57" i="26"/>
  <c r="F52" i="26"/>
  <c r="B51" i="26"/>
  <c r="F50" i="26"/>
  <c r="F48" i="26"/>
  <c r="F46" i="26"/>
  <c r="F45" i="26"/>
  <c r="E38" i="26"/>
  <c r="E37" i="26"/>
  <c r="E36" i="26"/>
  <c r="E35" i="26"/>
  <c r="E34" i="26"/>
  <c r="E32" i="26"/>
  <c r="E31" i="26"/>
  <c r="C28" i="26"/>
  <c r="B69" i="26" s="1"/>
  <c r="B28" i="26"/>
  <c r="B39" i="26" s="1"/>
  <c r="E27" i="26"/>
  <c r="B68" i="26"/>
  <c r="E25" i="26"/>
  <c r="E24" i="26"/>
  <c r="E23" i="26"/>
  <c r="E21" i="26"/>
  <c r="D8" i="26"/>
  <c r="C8" i="26"/>
  <c r="F51" i="24"/>
  <c r="F49" i="24"/>
  <c r="F47" i="24"/>
  <c r="F45" i="24"/>
  <c r="F44" i="24"/>
  <c r="B53" i="24"/>
  <c r="D31" i="24"/>
  <c r="D22" i="24"/>
  <c r="D29" i="24"/>
  <c r="D26" i="24"/>
  <c r="D30" i="24"/>
  <c r="E30" i="24" s="1"/>
  <c r="D33" i="24"/>
  <c r="D20" i="24"/>
  <c r="C31" i="24"/>
  <c r="C22" i="24"/>
  <c r="F22" i="24" s="1"/>
  <c r="C20" i="24"/>
  <c r="C26" i="24"/>
  <c r="E26" i="24" s="1"/>
  <c r="C30" i="24"/>
  <c r="C33" i="24"/>
  <c r="E33" i="24" s="1"/>
  <c r="B58" i="25"/>
  <c r="B54" i="25"/>
  <c r="F51" i="25"/>
  <c r="F49" i="25"/>
  <c r="F47" i="25"/>
  <c r="F45" i="25"/>
  <c r="F44" i="25"/>
  <c r="C31" i="25"/>
  <c r="E31" i="25" s="1"/>
  <c r="D31" i="25"/>
  <c r="D33" i="25"/>
  <c r="E33" i="25" s="1"/>
  <c r="C33" i="25"/>
  <c r="D30" i="25"/>
  <c r="D28" i="25" s="1"/>
  <c r="C30" i="25"/>
  <c r="C29" i="25"/>
  <c r="E29" i="25" s="1"/>
  <c r="D29" i="25"/>
  <c r="D26" i="25"/>
  <c r="D39" i="25" s="1"/>
  <c r="C26" i="25"/>
  <c r="B66" i="25" s="1"/>
  <c r="C22" i="25"/>
  <c r="E22" i="25" s="1"/>
  <c r="D22" i="25"/>
  <c r="C20" i="25"/>
  <c r="E20" i="25" s="1"/>
  <c r="D20" i="25"/>
  <c r="B77" i="25"/>
  <c r="B68" i="25"/>
  <c r="B60" i="25"/>
  <c r="B69" i="25" s="1"/>
  <c r="B56" i="25"/>
  <c r="E38" i="25"/>
  <c r="E37" i="25"/>
  <c r="E36" i="25"/>
  <c r="E35" i="25"/>
  <c r="E34" i="25"/>
  <c r="E32" i="25"/>
  <c r="E30" i="25"/>
  <c r="B28" i="25"/>
  <c r="B39" i="25" s="1"/>
  <c r="E27" i="25"/>
  <c r="E26" i="25"/>
  <c r="E25" i="25"/>
  <c r="E24" i="25"/>
  <c r="E23" i="25"/>
  <c r="F22" i="25"/>
  <c r="E21" i="25"/>
  <c r="D8" i="25"/>
  <c r="C8" i="25"/>
  <c r="B56" i="24"/>
  <c r="B76" i="24"/>
  <c r="B68" i="24"/>
  <c r="B60" i="24"/>
  <c r="B69" i="24" s="1"/>
  <c r="E38" i="24"/>
  <c r="E37" i="24"/>
  <c r="E36" i="24"/>
  <c r="E35" i="24"/>
  <c r="E34" i="24"/>
  <c r="E32" i="24"/>
  <c r="E31" i="24"/>
  <c r="E29" i="24"/>
  <c r="B28" i="24"/>
  <c r="B39" i="24" s="1"/>
  <c r="E27" i="24"/>
  <c r="E25" i="24"/>
  <c r="E24" i="24"/>
  <c r="E23" i="24"/>
  <c r="E22" i="24"/>
  <c r="E21" i="24"/>
  <c r="G20" i="24"/>
  <c r="E20" i="24"/>
  <c r="D8" i="24"/>
  <c r="C8" i="24"/>
  <c r="B50" i="24" s="1"/>
  <c r="B59" i="17"/>
  <c r="B47" i="17"/>
  <c r="B53" i="17"/>
  <c r="F52" i="17"/>
  <c r="F50" i="17"/>
  <c r="F48" i="17"/>
  <c r="F46" i="17"/>
  <c r="F47" i="17" s="1"/>
  <c r="F45" i="17"/>
  <c r="B43" i="17"/>
  <c r="C37" i="17"/>
  <c r="D37" i="17"/>
  <c r="C33" i="17"/>
  <c r="D33" i="17"/>
  <c r="D32" i="17"/>
  <c r="B32" i="17"/>
  <c r="D31" i="17"/>
  <c r="C31" i="17"/>
  <c r="B31" i="17"/>
  <c r="D30" i="17"/>
  <c r="C30" i="17"/>
  <c r="B30" i="17"/>
  <c r="D29" i="17"/>
  <c r="C29" i="17"/>
  <c r="B29" i="17"/>
  <c r="D22" i="17"/>
  <c r="C22" i="17"/>
  <c r="D20" i="17"/>
  <c r="C20" i="17"/>
  <c r="B20" i="17"/>
  <c r="B59" i="16"/>
  <c r="B68" i="16"/>
  <c r="F52" i="16"/>
  <c r="F50" i="16"/>
  <c r="F48" i="16"/>
  <c r="F46" i="16"/>
  <c r="F47" i="16" s="1"/>
  <c r="F45" i="16"/>
  <c r="B43" i="16"/>
  <c r="D33" i="16"/>
  <c r="C33" i="16"/>
  <c r="D32" i="16"/>
  <c r="D31" i="16"/>
  <c r="C31" i="16"/>
  <c r="B31" i="16"/>
  <c r="D30" i="16"/>
  <c r="C30" i="16"/>
  <c r="B30" i="16"/>
  <c r="D29" i="16"/>
  <c r="C29" i="16"/>
  <c r="B29" i="16"/>
  <c r="D22" i="16"/>
  <c r="C22" i="16"/>
  <c r="C20" i="16"/>
  <c r="D20" i="16"/>
  <c r="B60" i="21"/>
  <c r="B55" i="21"/>
  <c r="B53" i="21"/>
  <c r="F52" i="21"/>
  <c r="F50" i="21"/>
  <c r="F48" i="21"/>
  <c r="F46" i="21"/>
  <c r="F47" i="21" s="1"/>
  <c r="F45" i="21"/>
  <c r="B43" i="21"/>
  <c r="D33" i="21"/>
  <c r="C33" i="21"/>
  <c r="B33" i="21"/>
  <c r="C31" i="21"/>
  <c r="D31" i="21"/>
  <c r="B31" i="21"/>
  <c r="D22" i="21"/>
  <c r="C22" i="21"/>
  <c r="B22" i="21"/>
  <c r="D20" i="21"/>
  <c r="C20" i="21"/>
  <c r="B55" i="15"/>
  <c r="B53" i="15"/>
  <c r="B59" i="15"/>
  <c r="F52" i="15"/>
  <c r="F50" i="15"/>
  <c r="F48" i="15"/>
  <c r="F46" i="15"/>
  <c r="F47" i="15" s="1"/>
  <c r="F45" i="15"/>
  <c r="B43" i="15"/>
  <c r="C37" i="15"/>
  <c r="B61" i="15" s="1"/>
  <c r="D37" i="15"/>
  <c r="B37" i="15"/>
  <c r="D33" i="15"/>
  <c r="C33" i="15"/>
  <c r="B33" i="15"/>
  <c r="D31" i="15"/>
  <c r="C31" i="15"/>
  <c r="B31" i="15"/>
  <c r="D30" i="15"/>
  <c r="C30" i="15"/>
  <c r="B30" i="15"/>
  <c r="D29" i="15"/>
  <c r="C29" i="15"/>
  <c r="C26" i="15"/>
  <c r="B68" i="15" s="1"/>
  <c r="D26" i="15"/>
  <c r="B26" i="15"/>
  <c r="C24" i="15"/>
  <c r="D24" i="15"/>
  <c r="D22" i="15"/>
  <c r="C22" i="15"/>
  <c r="B22" i="15"/>
  <c r="C20" i="15"/>
  <c r="D20" i="15"/>
  <c r="B20" i="15"/>
  <c r="D8" i="15"/>
  <c r="C8" i="15"/>
  <c r="B68" i="14"/>
  <c r="B59" i="14"/>
  <c r="B55" i="14"/>
  <c r="B53" i="14"/>
  <c r="F52" i="14"/>
  <c r="F50" i="14"/>
  <c r="F48" i="14"/>
  <c r="F46" i="14"/>
  <c r="F47" i="14" s="1"/>
  <c r="F45" i="14"/>
  <c r="D24" i="14"/>
  <c r="C24" i="14"/>
  <c r="C33" i="14"/>
  <c r="D33" i="14"/>
  <c r="B33" i="14"/>
  <c r="C31" i="14"/>
  <c r="D31" i="14"/>
  <c r="B31" i="14"/>
  <c r="C30" i="14"/>
  <c r="D30" i="14"/>
  <c r="B30" i="14"/>
  <c r="C29" i="14"/>
  <c r="D29" i="14"/>
  <c r="B29" i="14"/>
  <c r="D22" i="14"/>
  <c r="C22" i="14"/>
  <c r="B22" i="14"/>
  <c r="D20" i="14"/>
  <c r="C20" i="14"/>
  <c r="B20" i="14"/>
  <c r="B59" i="20"/>
  <c r="B69" i="20" s="1"/>
  <c r="B62" i="20"/>
  <c r="B45" i="20"/>
  <c r="B60" i="20"/>
  <c r="B55" i="20"/>
  <c r="B53" i="20"/>
  <c r="F52" i="20"/>
  <c r="F50" i="20"/>
  <c r="F48" i="20"/>
  <c r="F46" i="20"/>
  <c r="F47" i="20" s="1"/>
  <c r="F45" i="20"/>
  <c r="B43" i="20"/>
  <c r="D33" i="20"/>
  <c r="B33" i="20"/>
  <c r="C33" i="20"/>
  <c r="D31" i="20"/>
  <c r="C31" i="20"/>
  <c r="B31" i="20"/>
  <c r="C30" i="20"/>
  <c r="D30" i="20"/>
  <c r="B30" i="20"/>
  <c r="C29" i="20"/>
  <c r="D29" i="20"/>
  <c r="B29" i="20"/>
  <c r="D22" i="20"/>
  <c r="C22" i="20"/>
  <c r="B22" i="20"/>
  <c r="D20" i="20"/>
  <c r="C20" i="20"/>
  <c r="B20" i="20"/>
  <c r="B43" i="9"/>
  <c r="B60" i="9"/>
  <c r="B59" i="9"/>
  <c r="C76" i="9"/>
  <c r="C77" i="9" s="1"/>
  <c r="B45" i="9"/>
  <c r="F52" i="9"/>
  <c r="F50" i="9"/>
  <c r="F48" i="9"/>
  <c r="F46" i="9"/>
  <c r="F47" i="9" s="1"/>
  <c r="F45" i="9"/>
  <c r="C31" i="9"/>
  <c r="D31" i="9"/>
  <c r="C35" i="9"/>
  <c r="B70" i="9" s="1"/>
  <c r="D35" i="9"/>
  <c r="B35" i="9"/>
  <c r="C37" i="9"/>
  <c r="D37" i="9"/>
  <c r="B37" i="9"/>
  <c r="D33" i="9"/>
  <c r="C33" i="9"/>
  <c r="B33" i="9"/>
  <c r="B31" i="9"/>
  <c r="C30" i="9"/>
  <c r="D30" i="9"/>
  <c r="B30" i="9"/>
  <c r="D29" i="9"/>
  <c r="C29" i="9"/>
  <c r="B29" i="9"/>
  <c r="D22" i="9"/>
  <c r="C22" i="9"/>
  <c r="B22" i="9"/>
  <c r="D20" i="9"/>
  <c r="C20" i="9"/>
  <c r="B20" i="9"/>
  <c r="B60" i="12"/>
  <c r="B61" i="12"/>
  <c r="B71" i="12" s="1"/>
  <c r="B46" i="12"/>
  <c r="B54" i="12"/>
  <c r="B59" i="12"/>
  <c r="F53" i="12"/>
  <c r="F51" i="12"/>
  <c r="F49" i="12"/>
  <c r="F47" i="12"/>
  <c r="F48" i="12" s="1"/>
  <c r="F46" i="12"/>
  <c r="C37" i="12"/>
  <c r="D37" i="12"/>
  <c r="C30" i="12"/>
  <c r="C22" i="12"/>
  <c r="D22" i="12"/>
  <c r="D39" i="12"/>
  <c r="C39" i="12"/>
  <c r="B37" i="12"/>
  <c r="D35" i="12"/>
  <c r="D33" i="12"/>
  <c r="C33" i="12"/>
  <c r="B32" i="12"/>
  <c r="D31" i="12"/>
  <c r="D30" i="12"/>
  <c r="B30" i="12"/>
  <c r="D29" i="12"/>
  <c r="D28" i="12" s="1"/>
  <c r="C29" i="12"/>
  <c r="D26" i="12"/>
  <c r="C26" i="12"/>
  <c r="B26" i="12"/>
  <c r="C20" i="12"/>
  <c r="D20" i="12"/>
  <c r="B20" i="12"/>
  <c r="D28" i="26" l="1"/>
  <c r="C28" i="12"/>
  <c r="B70" i="12" s="1"/>
  <c r="G44" i="15"/>
  <c r="B62" i="15" s="1"/>
  <c r="C28" i="24"/>
  <c r="C39" i="24" s="1"/>
  <c r="C28" i="25"/>
  <c r="E28" i="25" s="1"/>
  <c r="E39" i="25" s="1"/>
  <c r="B69" i="12"/>
  <c r="B61" i="9"/>
  <c r="B71" i="9" s="1"/>
  <c r="G50" i="15"/>
  <c r="B52" i="15" s="1"/>
  <c r="D28" i="24"/>
  <c r="D39" i="24" s="1"/>
  <c r="B46" i="10"/>
  <c r="G41" i="24"/>
  <c r="G44" i="24"/>
  <c r="B48" i="24" s="1"/>
  <c r="G43" i="24"/>
  <c r="B61" i="24" s="1"/>
  <c r="G51" i="24"/>
  <c r="B67" i="26"/>
  <c r="C40" i="12"/>
  <c r="B28" i="12"/>
  <c r="G50" i="14"/>
  <c r="B52" i="14" s="1"/>
  <c r="G45" i="15"/>
  <c r="B49" i="15" s="1"/>
  <c r="G52" i="15"/>
  <c r="B65" i="25"/>
  <c r="G42" i="25"/>
  <c r="G45" i="25"/>
  <c r="B47" i="25" s="1"/>
  <c r="G49" i="25"/>
  <c r="B51" i="25" s="1"/>
  <c r="G43" i="26"/>
  <c r="G46" i="26"/>
  <c r="B48" i="26" s="1"/>
  <c r="G50" i="26"/>
  <c r="B52" i="26" s="1"/>
  <c r="G52" i="26"/>
  <c r="G52" i="10"/>
  <c r="B51" i="10" s="1"/>
  <c r="G41" i="25"/>
  <c r="B45" i="25" s="1"/>
  <c r="G44" i="25"/>
  <c r="B48" i="25" s="1"/>
  <c r="G43" i="25"/>
  <c r="B61" i="25" s="1"/>
  <c r="G51" i="25"/>
  <c r="B50" i="25" s="1"/>
  <c r="G42" i="24"/>
  <c r="B45" i="24" s="1"/>
  <c r="G45" i="24"/>
  <c r="B47" i="24" s="1"/>
  <c r="G49" i="24"/>
  <c r="B51" i="24" s="1"/>
  <c r="G42" i="26"/>
  <c r="G45" i="26"/>
  <c r="B49" i="26" s="1"/>
  <c r="G44" i="26"/>
  <c r="B62" i="26" s="1"/>
  <c r="E29" i="10"/>
  <c r="F47" i="10"/>
  <c r="G47" i="10" s="1"/>
  <c r="B50" i="10" s="1"/>
  <c r="E30" i="26"/>
  <c r="D39" i="26"/>
  <c r="E20" i="26"/>
  <c r="E22" i="26"/>
  <c r="E26" i="26"/>
  <c r="C39" i="26"/>
  <c r="F47" i="26"/>
  <c r="F22" i="26"/>
  <c r="F20" i="26" s="1"/>
  <c r="E28" i="26"/>
  <c r="F46" i="24"/>
  <c r="G46" i="24" s="1"/>
  <c r="B49" i="24" s="1"/>
  <c r="F46" i="25"/>
  <c r="G46" i="25" s="1"/>
  <c r="B49" i="25" s="1"/>
  <c r="F20" i="25"/>
  <c r="C39" i="25"/>
  <c r="F20" i="24"/>
  <c r="G22" i="24" s="1"/>
  <c r="E28" i="24"/>
  <c r="E39" i="24" s="1"/>
  <c r="B66" i="24"/>
  <c r="B65" i="24"/>
  <c r="B67" i="24"/>
  <c r="G42" i="15"/>
  <c r="G46" i="15"/>
  <c r="B48" i="15" s="1"/>
  <c r="G43" i="15"/>
  <c r="G47" i="15"/>
  <c r="B50" i="15" s="1"/>
  <c r="E30" i="9"/>
  <c r="B40" i="12"/>
  <c r="E28" i="12"/>
  <c r="D40" i="12"/>
  <c r="E39" i="12"/>
  <c r="B67" i="25" l="1"/>
  <c r="B46" i="26"/>
  <c r="G47" i="26"/>
  <c r="E39" i="26"/>
  <c r="B55" i="25"/>
  <c r="B43" i="25" s="1"/>
  <c r="B64" i="25" s="1"/>
  <c r="B55" i="24"/>
  <c r="B43" i="24" s="1"/>
  <c r="B46" i="15"/>
  <c r="B56" i="15" s="1"/>
  <c r="B63" i="25" l="1"/>
  <c r="B56" i="26"/>
  <c r="B44" i="26" s="1"/>
  <c r="B66" i="26" s="1"/>
  <c r="B65" i="26" s="1"/>
  <c r="B50" i="26"/>
  <c r="B41" i="25"/>
  <c r="B41" i="24"/>
  <c r="B64" i="24"/>
  <c r="B63" i="24" s="1"/>
  <c r="B42" i="26" l="1"/>
  <c r="D42" i="26" s="1"/>
  <c r="D41" i="25"/>
  <c r="D41" i="24"/>
  <c r="B67" i="4" l="1"/>
  <c r="B69" i="4"/>
  <c r="F48" i="4"/>
  <c r="F52" i="4"/>
  <c r="F50" i="4"/>
  <c r="F46" i="4" l="1"/>
  <c r="F45" i="4"/>
  <c r="F47" i="4" l="1"/>
  <c r="C75" i="4" l="1"/>
  <c r="C76" i="4" s="1"/>
  <c r="B59" i="4"/>
  <c r="B53" i="4"/>
  <c r="B48" i="4"/>
  <c r="B45" i="4" l="1"/>
  <c r="D27" i="4"/>
  <c r="D39" i="4" s="1"/>
  <c r="C27" i="4"/>
  <c r="B27" i="4"/>
  <c r="E35" i="4"/>
  <c r="E32" i="4"/>
  <c r="E30" i="4"/>
  <c r="B20" i="4"/>
  <c r="B39" i="4" s="1"/>
  <c r="C39" i="4" l="1"/>
  <c r="B68" i="4"/>
  <c r="D11" i="22"/>
  <c r="B58" i="22" l="1"/>
  <c r="B78" i="22"/>
  <c r="B71" i="22"/>
  <c r="B69" i="22"/>
  <c r="B62" i="22"/>
  <c r="B72" i="22" s="1"/>
  <c r="E38" i="22"/>
  <c r="E37" i="22"/>
  <c r="E36" i="22"/>
  <c r="E35" i="22"/>
  <c r="E34" i="22"/>
  <c r="E33" i="22"/>
  <c r="E32" i="22"/>
  <c r="E31" i="22"/>
  <c r="E30" i="22"/>
  <c r="E29" i="22"/>
  <c r="D28" i="22"/>
  <c r="D39" i="22" s="1"/>
  <c r="C28" i="22"/>
  <c r="B28" i="22"/>
  <c r="B39" i="22" s="1"/>
  <c r="E27" i="22"/>
  <c r="E26" i="22"/>
  <c r="E25" i="22"/>
  <c r="E24" i="22"/>
  <c r="E23" i="22"/>
  <c r="F22" i="22"/>
  <c r="E22" i="22"/>
  <c r="E21" i="22"/>
  <c r="G20" i="22"/>
  <c r="F20" i="22"/>
  <c r="G22" i="22" s="1"/>
  <c r="E20" i="22" l="1"/>
  <c r="E28" i="22"/>
  <c r="C39" i="22"/>
  <c r="B68" i="22"/>
  <c r="B70" i="22"/>
  <c r="E39" i="22" l="1"/>
  <c r="B56" i="22"/>
  <c r="B44" i="22" s="1"/>
  <c r="B67" i="22" l="1"/>
  <c r="B66" i="22" s="1"/>
  <c r="B42" i="22"/>
  <c r="B65" i="22" l="1"/>
  <c r="D42" i="22"/>
  <c r="E33" i="21" l="1"/>
  <c r="C81" i="21"/>
  <c r="B58" i="21" s="1"/>
  <c r="B68" i="21" s="1"/>
  <c r="B81" i="21"/>
  <c r="B71" i="21"/>
  <c r="B62" i="21"/>
  <c r="B72" i="21" s="1"/>
  <c r="E38" i="21"/>
  <c r="E37" i="21"/>
  <c r="E36" i="21"/>
  <c r="E35" i="21"/>
  <c r="E34" i="21"/>
  <c r="E32" i="21"/>
  <c r="E30" i="21"/>
  <c r="E29" i="21"/>
  <c r="C28" i="21"/>
  <c r="B70" i="21" s="1"/>
  <c r="B28" i="21"/>
  <c r="B39" i="21" s="1"/>
  <c r="E27" i="21"/>
  <c r="E26" i="21"/>
  <c r="E25" i="21"/>
  <c r="E24" i="21"/>
  <c r="E23" i="21"/>
  <c r="F22" i="21"/>
  <c r="F20" i="21" s="1"/>
  <c r="E21" i="21"/>
  <c r="G20" i="21"/>
  <c r="C8" i="21"/>
  <c r="B8" i="21"/>
  <c r="B51" i="21" l="1"/>
  <c r="G50" i="21"/>
  <c r="B52" i="21" s="1"/>
  <c r="G52" i="21"/>
  <c r="E31" i="21"/>
  <c r="D28" i="21"/>
  <c r="D39" i="21" s="1"/>
  <c r="G22" i="21"/>
  <c r="E20" i="21"/>
  <c r="E22" i="21"/>
  <c r="G42" i="21"/>
  <c r="G45" i="21"/>
  <c r="B49" i="21" s="1"/>
  <c r="G47" i="21"/>
  <c r="B50" i="21" s="1"/>
  <c r="C39" i="21"/>
  <c r="G43" i="21"/>
  <c r="G44" i="21"/>
  <c r="B63" i="21" s="1"/>
  <c r="G46" i="21"/>
  <c r="B48" i="21" s="1"/>
  <c r="B69" i="21"/>
  <c r="B46" i="21" l="1"/>
  <c r="B56" i="21" s="1"/>
  <c r="B44" i="21" s="1"/>
  <c r="B67" i="21" s="1"/>
  <c r="B66" i="21" s="1"/>
  <c r="E28" i="21"/>
  <c r="E39" i="21" s="1"/>
  <c r="B42" i="21" l="1"/>
  <c r="B65" i="21" s="1"/>
  <c r="D42" i="21" l="1"/>
  <c r="B58" i="20" l="1"/>
  <c r="B68" i="20" s="1"/>
  <c r="B82" i="20"/>
  <c r="B72" i="20"/>
  <c r="E38" i="20"/>
  <c r="E37" i="20"/>
  <c r="E36" i="20"/>
  <c r="B71" i="20"/>
  <c r="E34" i="20"/>
  <c r="E33" i="20"/>
  <c r="E32" i="20"/>
  <c r="D28" i="20"/>
  <c r="E31" i="20"/>
  <c r="E30" i="20"/>
  <c r="E29" i="20"/>
  <c r="C28" i="20"/>
  <c r="B28" i="20"/>
  <c r="B39" i="20" s="1"/>
  <c r="E27" i="20"/>
  <c r="E25" i="20"/>
  <c r="E24" i="20"/>
  <c r="E23" i="20"/>
  <c r="E22" i="20"/>
  <c r="E21" i="20"/>
  <c r="G20" i="20"/>
  <c r="C8" i="20"/>
  <c r="B8" i="20"/>
  <c r="C39" i="20" l="1"/>
  <c r="B70" i="20"/>
  <c r="G50" i="20"/>
  <c r="B52" i="20" s="1"/>
  <c r="G52" i="20"/>
  <c r="B51" i="20" s="1"/>
  <c r="E28" i="20"/>
  <c r="D39" i="20"/>
  <c r="F22" i="20"/>
  <c r="E26" i="20"/>
  <c r="G43" i="20"/>
  <c r="G44" i="20"/>
  <c r="B63" i="20" s="1"/>
  <c r="G46" i="20"/>
  <c r="B48" i="20" s="1"/>
  <c r="E20" i="20"/>
  <c r="E35" i="20"/>
  <c r="G42" i="20"/>
  <c r="G45" i="20"/>
  <c r="B49" i="20" s="1"/>
  <c r="G47" i="20"/>
  <c r="B50" i="20" s="1"/>
  <c r="B46" i="20" l="1"/>
  <c r="B56" i="20" s="1"/>
  <c r="E39" i="20"/>
  <c r="F20" i="20"/>
  <c r="G22" i="20" s="1"/>
  <c r="B44" i="20" l="1"/>
  <c r="B67" i="20" s="1"/>
  <c r="B66" i="20" s="1"/>
  <c r="B42" i="20" l="1"/>
  <c r="B65" i="20" s="1"/>
  <c r="D42" i="20" l="1"/>
  <c r="C78" i="7"/>
  <c r="B78" i="19" l="1"/>
  <c r="B69" i="19"/>
  <c r="B62" i="19"/>
  <c r="B72" i="19" s="1"/>
  <c r="E38" i="19"/>
  <c r="E37" i="19"/>
  <c r="E36" i="19"/>
  <c r="B71" i="19"/>
  <c r="E34" i="19"/>
  <c r="E33" i="19"/>
  <c r="E32" i="19"/>
  <c r="E31" i="19"/>
  <c r="E30" i="19"/>
  <c r="E29" i="19"/>
  <c r="E27" i="19"/>
  <c r="E26" i="19"/>
  <c r="E25" i="19"/>
  <c r="E24" i="19"/>
  <c r="E23" i="19"/>
  <c r="F22" i="19"/>
  <c r="E22" i="19"/>
  <c r="E21" i="19"/>
  <c r="G20" i="19"/>
  <c r="F20" i="19"/>
  <c r="D8" i="19"/>
  <c r="C8" i="19"/>
  <c r="G44" i="19" l="1"/>
  <c r="B63" i="19" s="1"/>
  <c r="G43" i="19"/>
  <c r="G52" i="19"/>
  <c r="B51" i="19" s="1"/>
  <c r="G46" i="19"/>
  <c r="B48" i="19" s="1"/>
  <c r="G45" i="19"/>
  <c r="B49" i="19" s="1"/>
  <c r="G50" i="19"/>
  <c r="B52" i="19" s="1"/>
  <c r="G47" i="19"/>
  <c r="B50" i="19" s="1"/>
  <c r="G42" i="19"/>
  <c r="B46" i="19" s="1"/>
  <c r="B58" i="19"/>
  <c r="B68" i="19" s="1"/>
  <c r="G22" i="19"/>
  <c r="E20" i="19"/>
  <c r="E35" i="19"/>
  <c r="F54" i="19"/>
  <c r="E39" i="19" l="1"/>
  <c r="B56" i="19"/>
  <c r="B44" i="19" s="1"/>
  <c r="B67" i="19" l="1"/>
  <c r="B66" i="19" s="1"/>
  <c r="B42" i="19"/>
  <c r="B65" i="19" l="1"/>
  <c r="D42" i="19"/>
  <c r="B58" i="18" l="1"/>
  <c r="B68" i="18" s="1"/>
  <c r="B81" i="18"/>
  <c r="B69" i="18"/>
  <c r="B62" i="18"/>
  <c r="B72" i="18" s="1"/>
  <c r="E38" i="18"/>
  <c r="E37" i="18"/>
  <c r="E36" i="18"/>
  <c r="E34" i="18"/>
  <c r="E32" i="18"/>
  <c r="B28" i="18"/>
  <c r="B39" i="18" s="1"/>
  <c r="E27" i="18"/>
  <c r="E26" i="18"/>
  <c r="E25" i="18"/>
  <c r="E24" i="18"/>
  <c r="E23" i="18"/>
  <c r="F22" i="18"/>
  <c r="F20" i="18" s="1"/>
  <c r="E21" i="18"/>
  <c r="G20" i="18"/>
  <c r="D8" i="18"/>
  <c r="C8" i="18"/>
  <c r="E37" i="17"/>
  <c r="E32" i="17"/>
  <c r="E31" i="17"/>
  <c r="E30" i="17"/>
  <c r="B57" i="17"/>
  <c r="B78" i="17"/>
  <c r="B70" i="17"/>
  <c r="B68" i="17"/>
  <c r="B61" i="17"/>
  <c r="B71" i="17" s="1"/>
  <c r="E38" i="17"/>
  <c r="E36" i="17"/>
  <c r="E35" i="17"/>
  <c r="E34" i="17"/>
  <c r="D28" i="17"/>
  <c r="C28" i="17"/>
  <c r="B69" i="17" s="1"/>
  <c r="B28" i="17"/>
  <c r="B39" i="17" s="1"/>
  <c r="E27" i="17"/>
  <c r="E26" i="17"/>
  <c r="E25" i="17"/>
  <c r="E24" i="17"/>
  <c r="E23" i="17"/>
  <c r="F22" i="17"/>
  <c r="E21" i="17"/>
  <c r="G20" i="17"/>
  <c r="D8" i="17"/>
  <c r="C8" i="17"/>
  <c r="G44" i="17" s="1"/>
  <c r="B62" i="17" s="1"/>
  <c r="C28" i="14"/>
  <c r="B69" i="14" s="1"/>
  <c r="C28" i="15"/>
  <c r="B69" i="15" s="1"/>
  <c r="C28" i="16"/>
  <c r="B69" i="16" s="1"/>
  <c r="E33" i="16"/>
  <c r="B57" i="16"/>
  <c r="B67" i="16" s="1"/>
  <c r="B79" i="16"/>
  <c r="B70" i="16"/>
  <c r="B61" i="16"/>
  <c r="B71" i="16" s="1"/>
  <c r="E38" i="16"/>
  <c r="E37" i="16"/>
  <c r="E36" i="16"/>
  <c r="E35" i="16"/>
  <c r="E34" i="16"/>
  <c r="E32" i="16"/>
  <c r="E31" i="16"/>
  <c r="D28" i="16"/>
  <c r="B28" i="16"/>
  <c r="B39" i="16" s="1"/>
  <c r="E27" i="16"/>
  <c r="E25" i="16"/>
  <c r="E24" i="16"/>
  <c r="E23" i="16"/>
  <c r="F22" i="16"/>
  <c r="E21" i="16"/>
  <c r="G20" i="16"/>
  <c r="D8" i="16"/>
  <c r="C8" i="16"/>
  <c r="E31" i="15"/>
  <c r="D28" i="15"/>
  <c r="D39" i="15" s="1"/>
  <c r="E29" i="15"/>
  <c r="E26" i="15"/>
  <c r="B57" i="15"/>
  <c r="B67" i="15" s="1"/>
  <c r="B78" i="15"/>
  <c r="B70" i="15"/>
  <c r="B71" i="15"/>
  <c r="E38" i="15"/>
  <c r="E37" i="15"/>
  <c r="E36" i="15"/>
  <c r="E35" i="15"/>
  <c r="E34" i="15"/>
  <c r="E33" i="15"/>
  <c r="E32" i="15"/>
  <c r="E30" i="15"/>
  <c r="B28" i="15"/>
  <c r="B39" i="15" s="1"/>
  <c r="E27" i="15"/>
  <c r="E25" i="15"/>
  <c r="E24" i="15"/>
  <c r="E23" i="15"/>
  <c r="F22" i="15"/>
  <c r="F20" i="15" s="1"/>
  <c r="E21" i="15"/>
  <c r="G20" i="15"/>
  <c r="E33" i="14"/>
  <c r="B57" i="14"/>
  <c r="B67" i="14" s="1"/>
  <c r="B77" i="14"/>
  <c r="B70" i="14"/>
  <c r="B61" i="14"/>
  <c r="B71" i="14" s="1"/>
  <c r="E38" i="14"/>
  <c r="E37" i="14"/>
  <c r="E36" i="14"/>
  <c r="E35" i="14"/>
  <c r="E34" i="14"/>
  <c r="E32" i="14"/>
  <c r="D28" i="14"/>
  <c r="B28" i="14"/>
  <c r="B39" i="14" s="1"/>
  <c r="E27" i="14"/>
  <c r="E26" i="14"/>
  <c r="E25" i="14"/>
  <c r="E24" i="14"/>
  <c r="E23" i="14"/>
  <c r="F22" i="14"/>
  <c r="E21" i="14"/>
  <c r="G20" i="14"/>
  <c r="D8" i="14"/>
  <c r="C8" i="14"/>
  <c r="G52" i="14" s="1"/>
  <c r="C28" i="13"/>
  <c r="G44" i="18" l="1"/>
  <c r="G42" i="18"/>
  <c r="G50" i="18"/>
  <c r="B52" i="18" s="1"/>
  <c r="G45" i="18"/>
  <c r="B49" i="18" s="1"/>
  <c r="G52" i="18"/>
  <c r="B51" i="18" s="1"/>
  <c r="G43" i="18"/>
  <c r="G46" i="18"/>
  <c r="B48" i="18" s="1"/>
  <c r="G47" i="18"/>
  <c r="B50" i="18" s="1"/>
  <c r="G50" i="17"/>
  <c r="B52" i="17" s="1"/>
  <c r="G52" i="17"/>
  <c r="B51" i="17" s="1"/>
  <c r="G50" i="16"/>
  <c r="B52" i="16" s="1"/>
  <c r="G52" i="16"/>
  <c r="B51" i="16" s="1"/>
  <c r="G44" i="14"/>
  <c r="B62" i="14" s="1"/>
  <c r="G43" i="14"/>
  <c r="B51" i="14"/>
  <c r="G42" i="14"/>
  <c r="B46" i="14" s="1"/>
  <c r="G46" i="14"/>
  <c r="B48" i="14" s="1"/>
  <c r="D28" i="18"/>
  <c r="D39" i="18" s="1"/>
  <c r="E31" i="18"/>
  <c r="C28" i="18"/>
  <c r="E28" i="18" s="1"/>
  <c r="E35" i="18"/>
  <c r="E33" i="18"/>
  <c r="E30" i="18"/>
  <c r="E29" i="18"/>
  <c r="G22" i="18"/>
  <c r="E20" i="18"/>
  <c r="E22" i="18"/>
  <c r="B63" i="18"/>
  <c r="E33" i="17"/>
  <c r="C39" i="17"/>
  <c r="E29" i="17"/>
  <c r="D39" i="17"/>
  <c r="E22" i="17"/>
  <c r="B67" i="17"/>
  <c r="G46" i="17"/>
  <c r="B48" i="17" s="1"/>
  <c r="E20" i="17"/>
  <c r="E28" i="17"/>
  <c r="G42" i="17"/>
  <c r="G45" i="17"/>
  <c r="B49" i="17" s="1"/>
  <c r="G47" i="17"/>
  <c r="B50" i="17" s="1"/>
  <c r="F20" i="17"/>
  <c r="G22" i="17" s="1"/>
  <c r="G43" i="17"/>
  <c r="E30" i="16"/>
  <c r="D39" i="16"/>
  <c r="G46" i="16"/>
  <c r="B48" i="16" s="1"/>
  <c r="E28" i="16"/>
  <c r="E20" i="16"/>
  <c r="E22" i="16"/>
  <c r="E26" i="16"/>
  <c r="E29" i="16"/>
  <c r="G42" i="16"/>
  <c r="G45" i="16"/>
  <c r="B49" i="16" s="1"/>
  <c r="G47" i="16"/>
  <c r="B50" i="16" s="1"/>
  <c r="F20" i="16"/>
  <c r="G22" i="16" s="1"/>
  <c r="C39" i="16"/>
  <c r="G43" i="16"/>
  <c r="G44" i="16"/>
  <c r="B62" i="16" s="1"/>
  <c r="E22" i="15"/>
  <c r="G22" i="15"/>
  <c r="C39" i="15"/>
  <c r="E20" i="15"/>
  <c r="B51" i="15"/>
  <c r="E31" i="14"/>
  <c r="E30" i="14"/>
  <c r="E22" i="14"/>
  <c r="D39" i="14"/>
  <c r="E28" i="14"/>
  <c r="E29" i="14"/>
  <c r="G45" i="14"/>
  <c r="B49" i="14" s="1"/>
  <c r="G47" i="14"/>
  <c r="B50" i="14" s="1"/>
  <c r="E20" i="14"/>
  <c r="F20" i="14"/>
  <c r="G22" i="14" s="1"/>
  <c r="C39" i="14"/>
  <c r="B57" i="13"/>
  <c r="B67" i="13" s="1"/>
  <c r="B79" i="13"/>
  <c r="B68" i="13"/>
  <c r="B61" i="13"/>
  <c r="B71" i="13" s="1"/>
  <c r="E38" i="13"/>
  <c r="E37" i="13"/>
  <c r="E36" i="13"/>
  <c r="B70" i="13"/>
  <c r="E34" i="13"/>
  <c r="E33" i="13"/>
  <c r="E32" i="13"/>
  <c r="E31" i="13"/>
  <c r="E30" i="13"/>
  <c r="D28" i="13"/>
  <c r="D39" i="13" s="1"/>
  <c r="B28" i="13"/>
  <c r="B39" i="13" s="1"/>
  <c r="E27" i="13"/>
  <c r="E26" i="13"/>
  <c r="E25" i="13"/>
  <c r="E24" i="13"/>
  <c r="E23" i="13"/>
  <c r="F22" i="13"/>
  <c r="E22" i="13"/>
  <c r="E21" i="13"/>
  <c r="G20" i="13"/>
  <c r="D8" i="13"/>
  <c r="C8" i="13"/>
  <c r="C39" i="18" l="1"/>
  <c r="B46" i="18"/>
  <c r="B70" i="18"/>
  <c r="G50" i="13"/>
  <c r="B52" i="13" s="1"/>
  <c r="G52" i="13"/>
  <c r="B51" i="13" s="1"/>
  <c r="E39" i="14"/>
  <c r="B46" i="17"/>
  <c r="B46" i="16"/>
  <c r="B56" i="14"/>
  <c r="B44" i="14" s="1"/>
  <c r="B66" i="14" s="1"/>
  <c r="E39" i="18"/>
  <c r="B56" i="18"/>
  <c r="B44" i="18" s="1"/>
  <c r="B67" i="18" s="1"/>
  <c r="E39" i="17"/>
  <c r="E39" i="16"/>
  <c r="E28" i="15"/>
  <c r="E39" i="15" s="1"/>
  <c r="B44" i="15"/>
  <c r="B66" i="15" s="1"/>
  <c r="B65" i="15" s="1"/>
  <c r="G46" i="13"/>
  <c r="B48" i="13" s="1"/>
  <c r="E28" i="13"/>
  <c r="B69" i="13"/>
  <c r="E20" i="13"/>
  <c r="E29" i="13"/>
  <c r="G42" i="13"/>
  <c r="G45" i="13"/>
  <c r="B49" i="13" s="1"/>
  <c r="G47" i="13"/>
  <c r="B50" i="13" s="1"/>
  <c r="F20" i="13"/>
  <c r="G22" i="13" s="1"/>
  <c r="E35" i="13"/>
  <c r="C39" i="13"/>
  <c r="G43" i="13"/>
  <c r="G44" i="13"/>
  <c r="B62" i="13" s="1"/>
  <c r="B46" i="13" l="1"/>
  <c r="B42" i="18"/>
  <c r="B66" i="18"/>
  <c r="B56" i="17"/>
  <c r="B44" i="17" s="1"/>
  <c r="B56" i="16"/>
  <c r="B44" i="16" s="1"/>
  <c r="B66" i="16" s="1"/>
  <c r="B42" i="15"/>
  <c r="B64" i="15" s="1"/>
  <c r="E39" i="13"/>
  <c r="B65" i="18" l="1"/>
  <c r="D42" i="18"/>
  <c r="B42" i="17"/>
  <c r="B66" i="17"/>
  <c r="B65" i="17" s="1"/>
  <c r="B42" i="16"/>
  <c r="B64" i="16" s="1"/>
  <c r="B65" i="16"/>
  <c r="D42" i="15"/>
  <c r="B42" i="14"/>
  <c r="B64" i="14" s="1"/>
  <c r="B65" i="14"/>
  <c r="B56" i="13"/>
  <c r="B44" i="13" s="1"/>
  <c r="B66" i="13" s="1"/>
  <c r="D42" i="17" l="1"/>
  <c r="B64" i="17"/>
  <c r="D42" i="16"/>
  <c r="D42" i="14"/>
  <c r="B42" i="13"/>
  <c r="B65" i="13"/>
  <c r="B64" i="13" l="1"/>
  <c r="D42" i="13"/>
  <c r="E37" i="12" l="1"/>
  <c r="E31" i="12"/>
  <c r="E29" i="12"/>
  <c r="B58" i="12"/>
  <c r="B68" i="12" s="1"/>
  <c r="B80" i="12"/>
  <c r="B62" i="12"/>
  <c r="B72" i="12" s="1"/>
  <c r="E38" i="12"/>
  <c r="E36" i="12"/>
  <c r="E34" i="12"/>
  <c r="E33" i="12"/>
  <c r="E32" i="12"/>
  <c r="E30" i="12"/>
  <c r="E27" i="12"/>
  <c r="E25" i="12"/>
  <c r="E24" i="12"/>
  <c r="E23" i="12"/>
  <c r="F22" i="12"/>
  <c r="F20" i="12" s="1"/>
  <c r="E21" i="12"/>
  <c r="G20" i="12"/>
  <c r="D8" i="12"/>
  <c r="C8" i="12"/>
  <c r="E32" i="11"/>
  <c r="E31" i="11"/>
  <c r="E29" i="11"/>
  <c r="F22" i="11"/>
  <c r="B79" i="11"/>
  <c r="B70" i="11"/>
  <c r="B68" i="11"/>
  <c r="B61" i="11"/>
  <c r="B71" i="11" s="1"/>
  <c r="E38" i="11"/>
  <c r="E37" i="11"/>
  <c r="E36" i="11"/>
  <c r="E35" i="11"/>
  <c r="E34" i="11"/>
  <c r="E33" i="11"/>
  <c r="B28" i="11"/>
  <c r="B39" i="11" s="1"/>
  <c r="E27" i="11"/>
  <c r="E25" i="11"/>
  <c r="E24" i="11"/>
  <c r="E23" i="11"/>
  <c r="E22" i="11"/>
  <c r="E21" i="11"/>
  <c r="G20" i="11"/>
  <c r="D8" i="11"/>
  <c r="C8" i="11"/>
  <c r="G52" i="11" l="1"/>
  <c r="B51" i="11" s="1"/>
  <c r="G47" i="12"/>
  <c r="B49" i="12" s="1"/>
  <c r="G45" i="12"/>
  <c r="G43" i="12"/>
  <c r="G51" i="12"/>
  <c r="B53" i="12" s="1"/>
  <c r="G44" i="12"/>
  <c r="G48" i="12"/>
  <c r="B51" i="12" s="1"/>
  <c r="G46" i="12"/>
  <c r="B50" i="12" s="1"/>
  <c r="G53" i="12"/>
  <c r="B52" i="12" s="1"/>
  <c r="D28" i="11"/>
  <c r="D39" i="11" s="1"/>
  <c r="E35" i="12"/>
  <c r="G22" i="12"/>
  <c r="E20" i="12"/>
  <c r="E22" i="12"/>
  <c r="E26" i="12"/>
  <c r="B63" i="12"/>
  <c r="F55" i="12"/>
  <c r="C28" i="11"/>
  <c r="E30" i="11"/>
  <c r="E26" i="11"/>
  <c r="F20" i="11"/>
  <c r="G22" i="11" s="1"/>
  <c r="C39" i="11"/>
  <c r="G43" i="11"/>
  <c r="G44" i="11"/>
  <c r="B62" i="11" s="1"/>
  <c r="G46" i="11"/>
  <c r="B48" i="11" s="1"/>
  <c r="G42" i="11"/>
  <c r="B46" i="11" s="1"/>
  <c r="G45" i="11"/>
  <c r="B49" i="11" s="1"/>
  <c r="G47" i="11"/>
  <c r="B50" i="11" s="1"/>
  <c r="B67" i="11"/>
  <c r="E24" i="10"/>
  <c r="C78" i="10"/>
  <c r="B78" i="10"/>
  <c r="B68" i="10"/>
  <c r="B57" i="10"/>
  <c r="E38" i="10"/>
  <c r="E36" i="10"/>
  <c r="B70" i="10"/>
  <c r="E34" i="10"/>
  <c r="E33" i="10"/>
  <c r="E31" i="10"/>
  <c r="E30" i="10"/>
  <c r="D28" i="10"/>
  <c r="B28" i="10"/>
  <c r="B39" i="10" s="1"/>
  <c r="E27" i="10"/>
  <c r="E25" i="10"/>
  <c r="E23" i="10"/>
  <c r="F22" i="10"/>
  <c r="E21" i="10"/>
  <c r="G20" i="10"/>
  <c r="D8" i="10"/>
  <c r="C8" i="10"/>
  <c r="E33" i="9"/>
  <c r="E29" i="9"/>
  <c r="F22" i="9"/>
  <c r="B57" i="9"/>
  <c r="B67" i="9" s="1"/>
  <c r="B68" i="9"/>
  <c r="E38" i="9"/>
  <c r="E36" i="9"/>
  <c r="E34" i="9"/>
  <c r="B28" i="9"/>
  <c r="E27" i="9"/>
  <c r="E26" i="9"/>
  <c r="E25" i="9"/>
  <c r="E24" i="9"/>
  <c r="E23" i="9"/>
  <c r="E22" i="9"/>
  <c r="E21" i="9"/>
  <c r="G20" i="9"/>
  <c r="D8" i="9"/>
  <c r="C8" i="9"/>
  <c r="B67" i="8"/>
  <c r="D28" i="8"/>
  <c r="D39" i="8" s="1"/>
  <c r="B78" i="8"/>
  <c r="B68" i="8"/>
  <c r="E38" i="8"/>
  <c r="E36" i="8"/>
  <c r="E34" i="8"/>
  <c r="C28" i="8"/>
  <c r="B28" i="8"/>
  <c r="B39" i="8" s="1"/>
  <c r="E27" i="8"/>
  <c r="E26" i="8"/>
  <c r="E25" i="8"/>
  <c r="E24" i="8"/>
  <c r="E23" i="8"/>
  <c r="F22" i="8"/>
  <c r="E22" i="8"/>
  <c r="E21" i="8"/>
  <c r="G20" i="8"/>
  <c r="D8" i="8"/>
  <c r="C8" i="8"/>
  <c r="B70" i="7"/>
  <c r="E27" i="7"/>
  <c r="B61" i="7"/>
  <c r="E30" i="7"/>
  <c r="E33" i="7"/>
  <c r="B57" i="7"/>
  <c r="B67" i="7" s="1"/>
  <c r="B78" i="7"/>
  <c r="E38" i="7"/>
  <c r="E36" i="7"/>
  <c r="E34" i="7"/>
  <c r="E29" i="7"/>
  <c r="B28" i="7"/>
  <c r="E26" i="7"/>
  <c r="E25" i="7"/>
  <c r="E24" i="7"/>
  <c r="E23" i="7"/>
  <c r="F22" i="7"/>
  <c r="E22" i="7"/>
  <c r="E21" i="7"/>
  <c r="G20" i="7"/>
  <c r="F20" i="7"/>
  <c r="E20" i="7"/>
  <c r="D8" i="7"/>
  <c r="C8" i="7"/>
  <c r="B56" i="11" l="1"/>
  <c r="B44" i="11" s="1"/>
  <c r="E40" i="12"/>
  <c r="G44" i="8"/>
  <c r="G50" i="8"/>
  <c r="B52" i="8" s="1"/>
  <c r="G46" i="8"/>
  <c r="B48" i="8" s="1"/>
  <c r="G47" i="8"/>
  <c r="B50" i="8" s="1"/>
  <c r="G45" i="8"/>
  <c r="B49" i="8" s="1"/>
  <c r="G42" i="8"/>
  <c r="G43" i="8"/>
  <c r="G52" i="8"/>
  <c r="B51" i="8" s="1"/>
  <c r="G52" i="7"/>
  <c r="B51" i="7" s="1"/>
  <c r="G50" i="7"/>
  <c r="E28" i="11"/>
  <c r="G52" i="9"/>
  <c r="B51" i="9" s="1"/>
  <c r="G44" i="9"/>
  <c r="B62" i="9" s="1"/>
  <c r="G45" i="9"/>
  <c r="B49" i="9" s="1"/>
  <c r="G47" i="9"/>
  <c r="B50" i="9" s="1"/>
  <c r="G42" i="9"/>
  <c r="G50" i="9"/>
  <c r="B52" i="9" s="1"/>
  <c r="G46" i="9"/>
  <c r="B48" i="9" s="1"/>
  <c r="G43" i="9"/>
  <c r="B47" i="12"/>
  <c r="E30" i="8"/>
  <c r="E29" i="8"/>
  <c r="E31" i="7"/>
  <c r="B69" i="11"/>
  <c r="E39" i="11"/>
  <c r="D39" i="10"/>
  <c r="B52" i="10"/>
  <c r="B56" i="10" s="1"/>
  <c r="E20" i="10"/>
  <c r="E22" i="10"/>
  <c r="E35" i="10"/>
  <c r="B67" i="10"/>
  <c r="F20" i="10"/>
  <c r="G22" i="10" s="1"/>
  <c r="C28" i="10"/>
  <c r="C39" i="10" s="1"/>
  <c r="E37" i="10"/>
  <c r="B61" i="10"/>
  <c r="B71" i="10" s="1"/>
  <c r="E35" i="9"/>
  <c r="E31" i="9"/>
  <c r="D28" i="9"/>
  <c r="D39" i="9" s="1"/>
  <c r="C28" i="9"/>
  <c r="F20" i="9"/>
  <c r="G22" i="9" s="1"/>
  <c r="B39" i="9"/>
  <c r="E20" i="9"/>
  <c r="E37" i="9"/>
  <c r="F54" i="9"/>
  <c r="B69" i="8"/>
  <c r="E20" i="8"/>
  <c r="E31" i="8"/>
  <c r="E35" i="8"/>
  <c r="E33" i="8"/>
  <c r="F20" i="8"/>
  <c r="G22" i="8" s="1"/>
  <c r="E37" i="8"/>
  <c r="B71" i="8"/>
  <c r="B70" i="8"/>
  <c r="E28" i="8"/>
  <c r="C39" i="8"/>
  <c r="B62" i="8"/>
  <c r="B39" i="7"/>
  <c r="G22" i="7"/>
  <c r="B52" i="7"/>
  <c r="E35" i="7"/>
  <c r="G43" i="7"/>
  <c r="G44" i="7"/>
  <c r="B62" i="7" s="1"/>
  <c r="G46" i="7"/>
  <c r="B48" i="7" s="1"/>
  <c r="B71" i="7"/>
  <c r="E37" i="7"/>
  <c r="G42" i="7"/>
  <c r="B46" i="7" s="1"/>
  <c r="G45" i="7"/>
  <c r="B49" i="7" s="1"/>
  <c r="G47" i="7"/>
  <c r="B50" i="7" s="1"/>
  <c r="B46" i="8" l="1"/>
  <c r="C39" i="9"/>
  <c r="B69" i="9"/>
  <c r="B46" i="9"/>
  <c r="B56" i="9" s="1"/>
  <c r="B44" i="10"/>
  <c r="B66" i="10" s="1"/>
  <c r="B57" i="12"/>
  <c r="B45" i="12" s="1"/>
  <c r="B42" i="11"/>
  <c r="B64" i="11" s="1"/>
  <c r="B66" i="11"/>
  <c r="B65" i="11" s="1"/>
  <c r="E28" i="10"/>
  <c r="E39" i="10" s="1"/>
  <c r="B69" i="10"/>
  <c r="E28" i="9"/>
  <c r="E39" i="9" s="1"/>
  <c r="E39" i="8"/>
  <c r="E28" i="7"/>
  <c r="E39" i="7" s="1"/>
  <c r="B56" i="7"/>
  <c r="B44" i="7" s="1"/>
  <c r="B66" i="7" s="1"/>
  <c r="B67" i="12" l="1"/>
  <c r="B66" i="12" s="1"/>
  <c r="B43" i="12"/>
  <c r="B65" i="12" s="1"/>
  <c r="D42" i="11"/>
  <c r="B42" i="10"/>
  <c r="B64" i="10" s="1"/>
  <c r="B65" i="10"/>
  <c r="B44" i="9"/>
  <c r="B66" i="9" s="1"/>
  <c r="B65" i="9" s="1"/>
  <c r="B56" i="8"/>
  <c r="B44" i="8" s="1"/>
  <c r="B66" i="8" s="1"/>
  <c r="B65" i="8" s="1"/>
  <c r="B65" i="7"/>
  <c r="B42" i="7"/>
  <c r="D43" i="12" l="1"/>
  <c r="D42" i="10"/>
  <c r="B42" i="9"/>
  <c r="B42" i="8"/>
  <c r="B64" i="8" s="1"/>
  <c r="B64" i="7"/>
  <c r="D42" i="7"/>
  <c r="B64" i="9" l="1"/>
  <c r="D42" i="9"/>
  <c r="D42" i="8"/>
  <c r="E28" i="6" l="1"/>
  <c r="B69" i="6"/>
  <c r="D8" i="6"/>
  <c r="B56" i="6"/>
  <c r="B77" i="6"/>
  <c r="B67" i="6"/>
  <c r="B60" i="6"/>
  <c r="B70" i="6" s="1"/>
  <c r="E37" i="6"/>
  <c r="E35" i="6"/>
  <c r="E33" i="6"/>
  <c r="E30" i="6"/>
  <c r="D27" i="6"/>
  <c r="B27" i="6"/>
  <c r="B38" i="6" s="1"/>
  <c r="E26" i="6"/>
  <c r="E25" i="6"/>
  <c r="E24" i="6"/>
  <c r="E23" i="6"/>
  <c r="F22" i="6"/>
  <c r="E22" i="6"/>
  <c r="E21" i="6"/>
  <c r="G20" i="6"/>
  <c r="F20" i="6"/>
  <c r="E20" i="6"/>
  <c r="C8" i="6"/>
  <c r="B69" i="5"/>
  <c r="G43" i="6" l="1"/>
  <c r="G41" i="6"/>
  <c r="G49" i="6"/>
  <c r="B51" i="6" s="1"/>
  <c r="G51" i="6"/>
  <c r="B50" i="6" s="1"/>
  <c r="G45" i="6"/>
  <c r="B47" i="6" s="1"/>
  <c r="G42" i="6"/>
  <c r="G44" i="6"/>
  <c r="B48" i="6" s="1"/>
  <c r="G46" i="6"/>
  <c r="E29" i="6"/>
  <c r="C27" i="6"/>
  <c r="C38" i="6" s="1"/>
  <c r="E36" i="6"/>
  <c r="E32" i="6"/>
  <c r="G22" i="6"/>
  <c r="D38" i="6"/>
  <c r="B49" i="6"/>
  <c r="B66" i="6"/>
  <c r="E34" i="6"/>
  <c r="B61" i="6"/>
  <c r="E27" i="6" l="1"/>
  <c r="E38" i="6" s="1"/>
  <c r="B68" i="6"/>
  <c r="B45" i="6"/>
  <c r="B55" i="6"/>
  <c r="B43" i="6" l="1"/>
  <c r="B65" i="6" s="1"/>
  <c r="B64" i="6" l="1"/>
  <c r="B41" i="6"/>
  <c r="B63" i="6" s="1"/>
  <c r="D41" i="6" l="1"/>
  <c r="C75" i="5" l="1"/>
  <c r="B75" i="5"/>
  <c r="B68" i="5"/>
  <c r="B55" i="5"/>
  <c r="E36" i="5"/>
  <c r="E35" i="5"/>
  <c r="E34" i="5"/>
  <c r="E33" i="5"/>
  <c r="E32" i="5"/>
  <c r="E31" i="5"/>
  <c r="E29" i="5"/>
  <c r="E28" i="5"/>
  <c r="E27" i="5"/>
  <c r="D26" i="5"/>
  <c r="D37" i="5" s="1"/>
  <c r="B26" i="5"/>
  <c r="B37" i="5" s="1"/>
  <c r="B66" i="5"/>
  <c r="E24" i="5"/>
  <c r="E23" i="5"/>
  <c r="E22" i="5"/>
  <c r="E21" i="5"/>
  <c r="E20" i="5"/>
  <c r="G19" i="5"/>
  <c r="B50" i="5" l="1"/>
  <c r="F21" i="5"/>
  <c r="F19" i="5" s="1"/>
  <c r="E25" i="5"/>
  <c r="C26" i="5"/>
  <c r="C37" i="5" s="1"/>
  <c r="B60" i="5"/>
  <c r="B65" i="5"/>
  <c r="E19" i="5"/>
  <c r="B48" i="5"/>
  <c r="B54" i="5" l="1"/>
  <c r="B42" i="5" s="1"/>
  <c r="B67" i="5"/>
  <c r="E26" i="5"/>
  <c r="E37" i="5" s="1"/>
  <c r="G21" i="5"/>
  <c r="B64" i="5" l="1"/>
  <c r="B63" i="5" s="1"/>
  <c r="B40" i="5"/>
  <c r="B62" i="5" s="1"/>
  <c r="D40" i="5" l="1"/>
  <c r="B57" i="4"/>
  <c r="B66" i="4" s="1"/>
  <c r="B76" i="4"/>
  <c r="E38" i="4"/>
  <c r="E37" i="4"/>
  <c r="E36" i="4"/>
  <c r="E34" i="4"/>
  <c r="E25" i="4"/>
  <c r="E24" i="4"/>
  <c r="E23" i="4"/>
  <c r="E21" i="4"/>
  <c r="G20" i="4"/>
  <c r="E20" i="4"/>
  <c r="C8" i="4"/>
  <c r="G44" i="4" l="1"/>
  <c r="B61" i="4" s="1"/>
  <c r="G52" i="4"/>
  <c r="B51" i="4" s="1"/>
  <c r="G50" i="4"/>
  <c r="B52" i="4" s="1"/>
  <c r="G46" i="4"/>
  <c r="G45" i="4"/>
  <c r="B49" i="4" s="1"/>
  <c r="G43" i="4"/>
  <c r="G42" i="4"/>
  <c r="G47" i="4"/>
  <c r="B50" i="4" s="1"/>
  <c r="E31" i="4"/>
  <c r="E28" i="4"/>
  <c r="E29" i="4"/>
  <c r="E33" i="4"/>
  <c r="E22" i="4"/>
  <c r="F22" i="4"/>
  <c r="B46" i="4" l="1"/>
  <c r="E27" i="4"/>
  <c r="E39" i="4" s="1"/>
  <c r="F20" i="4"/>
  <c r="G22" i="4" s="1"/>
  <c r="B56" i="4" l="1"/>
  <c r="B44" i="4" s="1"/>
  <c r="B65" i="4" l="1"/>
  <c r="B64" i="4" s="1"/>
  <c r="B42" i="4"/>
  <c r="B63" i="4" l="1"/>
  <c r="D42" i="4"/>
  <c r="B75" i="1" l="1"/>
  <c r="C22" i="1"/>
  <c r="E31" i="1"/>
  <c r="B27" i="1"/>
  <c r="B37" i="1" s="1"/>
  <c r="B67" i="1"/>
  <c r="B65" i="1"/>
  <c r="E36" i="1"/>
  <c r="E35" i="1"/>
  <c r="E34" i="1"/>
  <c r="E33" i="1"/>
  <c r="E32" i="1"/>
  <c r="E28" i="1"/>
  <c r="E26" i="1"/>
  <c r="E25" i="1"/>
  <c r="E24" i="1"/>
  <c r="E23" i="1"/>
  <c r="E22" i="1"/>
  <c r="E21" i="1"/>
  <c r="G20" i="1"/>
  <c r="D11" i="1"/>
  <c r="C8" i="1"/>
  <c r="B50" i="1" s="1"/>
  <c r="D27" i="1" l="1"/>
  <c r="D37" i="1" s="1"/>
  <c r="C27" i="1"/>
  <c r="B66" i="1" s="1"/>
  <c r="F22" i="1"/>
  <c r="F20" i="1" s="1"/>
  <c r="E30" i="1"/>
  <c r="G22" i="1"/>
  <c r="E29" i="1"/>
  <c r="B55" i="1"/>
  <c r="E20" i="1"/>
  <c r="B59" i="1"/>
  <c r="B48" i="1"/>
  <c r="C37" i="1" l="1"/>
  <c r="E27" i="1"/>
  <c r="E37" i="1" s="1"/>
  <c r="B64" i="1"/>
  <c r="B54" i="1" l="1"/>
  <c r="B42" i="1" l="1"/>
  <c r="B63" i="1" s="1"/>
  <c r="B62" i="1" s="1"/>
  <c r="B40" i="1" l="1"/>
  <c r="B61" i="1" s="1"/>
  <c r="D40" i="1" l="1"/>
</calcChain>
</file>

<file path=xl/sharedStrings.xml><?xml version="1.0" encoding="utf-8"?>
<sst xmlns="http://schemas.openxmlformats.org/spreadsheetml/2006/main" count="3618" uniqueCount="238">
  <si>
    <t>1.Техническая характеристика.</t>
  </si>
  <si>
    <t>Адрес</t>
  </si>
  <si>
    <t xml:space="preserve"> Общая площадь, м2</t>
  </si>
  <si>
    <t>кол-во проживающих чел.</t>
  </si>
  <si>
    <t>4 Железнодорожная 46б</t>
  </si>
  <si>
    <t>Итого:</t>
  </si>
  <si>
    <t>руб/м2</t>
  </si>
  <si>
    <t>2.1. Управление многоквартирным домом и содержание общего имущества</t>
  </si>
  <si>
    <t>2.2.Текущий ремонт общего имущества</t>
  </si>
  <si>
    <t xml:space="preserve">2.3.Содержание общедомового прибора учета </t>
  </si>
  <si>
    <t>2.4.Капитальный ремонт</t>
  </si>
  <si>
    <t>Статьи</t>
  </si>
  <si>
    <t>Управленческие</t>
  </si>
  <si>
    <t>Содержание общего имущества</t>
  </si>
  <si>
    <t>Содержание общего имущества (нежилые)</t>
  </si>
  <si>
    <t>Текущий ремонт</t>
  </si>
  <si>
    <t>Текущий ремонт ( нежилые)</t>
  </si>
  <si>
    <t>Капитальный ремонт</t>
  </si>
  <si>
    <t>РКО</t>
  </si>
  <si>
    <t>Капитальный ремонт (нежилые)</t>
  </si>
  <si>
    <t>Приборы учета</t>
  </si>
  <si>
    <t>Коммунальные ,всего, в том числе:</t>
  </si>
  <si>
    <t>Отопление</t>
  </si>
  <si>
    <t>ГВС</t>
  </si>
  <si>
    <t>ХВС</t>
  </si>
  <si>
    <t>Стоки</t>
  </si>
  <si>
    <t>Электорэнергия</t>
  </si>
  <si>
    <t>Наем</t>
  </si>
  <si>
    <t>пени</t>
  </si>
  <si>
    <t xml:space="preserve">Итого </t>
  </si>
  <si>
    <t>4.Расходы управляющей компании, всего</t>
  </si>
  <si>
    <t>руб.</t>
  </si>
  <si>
    <t xml:space="preserve">ФОТ </t>
  </si>
  <si>
    <t>ЕСН</t>
  </si>
  <si>
    <t>1.Содержание общего имущества</t>
  </si>
  <si>
    <t>УСН</t>
  </si>
  <si>
    <t>1.1. Вывоз ТБО</t>
  </si>
  <si>
    <t>1.2.Техническое обслуживание (ФОТ,ЕСН)</t>
  </si>
  <si>
    <t>Охрана труда</t>
  </si>
  <si>
    <t>1.3.Автоуслуги</t>
  </si>
  <si>
    <t>1.4. Материальные затраты, охрана труда</t>
  </si>
  <si>
    <t>Средняя площадь</t>
  </si>
  <si>
    <t>1.5.РКО</t>
  </si>
  <si>
    <t xml:space="preserve">1.6.Управление УК" Ангара" </t>
  </si>
  <si>
    <t>1.7.Плата за загрязнение окр. среды.</t>
  </si>
  <si>
    <t>1.8.Информационные услуги паспортного стола</t>
  </si>
  <si>
    <t>1.9. Освещение мест общего пользования</t>
  </si>
  <si>
    <t>1.10. Поверка манометров</t>
  </si>
  <si>
    <t>1.11.Услуги аварийной организации</t>
  </si>
  <si>
    <t>1.12.Рентабельность УК</t>
  </si>
  <si>
    <t>2.Текущий ремонт</t>
  </si>
  <si>
    <t>3.Обслуживание приборов учета</t>
  </si>
  <si>
    <t>4.Коммунальные услуги</t>
  </si>
  <si>
    <t>4.Электроэнергия</t>
  </si>
  <si>
    <t xml:space="preserve">руб. </t>
  </si>
  <si>
    <t>5.Налог УСН</t>
  </si>
  <si>
    <t>1.Содержание общего имущества,руб.</t>
  </si>
  <si>
    <t>2.Текущий ремонт общего имущества,руб.</t>
  </si>
  <si>
    <t>3.Обслуживание приборов учета,руб.</t>
  </si>
  <si>
    <t>4.Коммунальные услуги,руб.</t>
  </si>
  <si>
    <t>5.Электроэнергия,руб.</t>
  </si>
  <si>
    <t>Утверждено протоколом общего собрания</t>
  </si>
  <si>
    <t>Наименование</t>
  </si>
  <si>
    <t>Директор ООО УК "Ангара"</t>
  </si>
  <si>
    <t>%</t>
  </si>
  <si>
    <t>площадь ангары</t>
  </si>
  <si>
    <t>Д.А. Днепровский</t>
  </si>
  <si>
    <t xml:space="preserve">Выполненно работ согласно актов выполненных работ  </t>
  </si>
  <si>
    <t>в т.ч. Финансовый результат за 2012год</t>
  </si>
  <si>
    <t>окруж среда за 12г.</t>
  </si>
  <si>
    <t>пасп.стол</t>
  </si>
  <si>
    <t>Горького, 29</t>
  </si>
  <si>
    <t>ХВС с 01.01.09-01.08.09 г</t>
  </si>
  <si>
    <t>Уборка, сброс, вывоз снега</t>
  </si>
  <si>
    <t>Электроэнергия</t>
  </si>
  <si>
    <t>2 Железнодорожная, 4</t>
  </si>
  <si>
    <t>1.1. Вывоз ТБО, ЖБО</t>
  </si>
  <si>
    <t>5.Наем</t>
  </si>
  <si>
    <t>6.Налог УСН</t>
  </si>
  <si>
    <t>6.Наем</t>
  </si>
  <si>
    <t>Выполненные работы за отчетный год по текущему ремонту</t>
  </si>
  <si>
    <t>4-я Железнодорожная, 14а</t>
  </si>
  <si>
    <t>Джамбула, 4</t>
  </si>
  <si>
    <t>Домофон</t>
  </si>
  <si>
    <t>Пушкина, 13</t>
  </si>
  <si>
    <t>Румянцева, 15а</t>
  </si>
  <si>
    <t>румянцева15</t>
  </si>
  <si>
    <t>Российская, 25</t>
  </si>
  <si>
    <t>11,03  /  9,34</t>
  </si>
  <si>
    <t>Воронежская, 23</t>
  </si>
  <si>
    <t>сальдо на 01.01.09.</t>
  </si>
  <si>
    <t>Дератизация</t>
  </si>
  <si>
    <t>Лапина, 17</t>
  </si>
  <si>
    <t>лапина 17</t>
  </si>
  <si>
    <t>Гоголя, 42б</t>
  </si>
  <si>
    <t>14,50 / 12,50</t>
  </si>
  <si>
    <t>Чайковского, 14</t>
  </si>
  <si>
    <t>Чайковского, 9</t>
  </si>
  <si>
    <t>Чайковского, 9 (нежилые)</t>
  </si>
  <si>
    <t>Гашека, 4а</t>
  </si>
  <si>
    <t>сальдо на 31.08.12.</t>
  </si>
  <si>
    <t>Гашека, 7</t>
  </si>
  <si>
    <t>Мичурина, 7</t>
  </si>
  <si>
    <t>1.13.Обслуживание лифта</t>
  </si>
  <si>
    <t>Мичурина, 7/1</t>
  </si>
  <si>
    <t>мичурина 7-1</t>
  </si>
  <si>
    <t>Замена старых канализационных труб в санузле</t>
  </si>
  <si>
    <t>Ремонт вентиляции</t>
  </si>
  <si>
    <t>Свердлова, 1</t>
  </si>
  <si>
    <t>Шмидта,32</t>
  </si>
  <si>
    <t>Р.Люксембург, 5</t>
  </si>
  <si>
    <t>Отчет  по обслуживанию жилого дома ул. Горького, 29   за  2013 год</t>
  </si>
  <si>
    <t>2.Тарифы, действующие в 2013 году</t>
  </si>
  <si>
    <t>3.Информация по начислению ЖКУ  за  2013 год</t>
  </si>
  <si>
    <t>Задолженность  на 01.01.2013г.</t>
  </si>
  <si>
    <t>Начислено, руб. за  2013г.</t>
  </si>
  <si>
    <t>Оплачено квартиросъемщиками, руб. за  2013 г.</t>
  </si>
  <si>
    <t xml:space="preserve"> Задолженность   на 31.12.13г.</t>
  </si>
  <si>
    <t>Содержание и управление общего имущества</t>
  </si>
  <si>
    <t>Коммунальные, в том числе:</t>
  </si>
  <si>
    <t>ГВС, м3</t>
  </si>
  <si>
    <t>ГВС, Гкал</t>
  </si>
  <si>
    <t>ОДН ГВС</t>
  </si>
  <si>
    <t>ОДН ХВС</t>
  </si>
  <si>
    <t>Финансовый результат 2012г.</t>
  </si>
  <si>
    <t>окруж среда за 13г.</t>
  </si>
  <si>
    <t>1.2.Содержание (ФОТ,ЕСН)</t>
  </si>
  <si>
    <t>1.6.Управление</t>
  </si>
  <si>
    <t>Финансовый результат за 2013 год с учетом 2012 год</t>
  </si>
  <si>
    <t>Начислено+ФР2012-Расходы</t>
  </si>
  <si>
    <t>в т.ч. Финансовый результат за 2013 год</t>
  </si>
  <si>
    <t>1.3.Услуги подрядных организаций (Иркутскоблгаз, ТехноСервиркутск,Электросвязь)</t>
  </si>
  <si>
    <t>Исп. экономист Беликова М.И.</t>
  </si>
  <si>
    <t>Согласовано гл.бухгалтер Данилова Ю.В.</t>
  </si>
  <si>
    <t>_________</t>
  </si>
  <si>
    <t>Обслуживание приборов учета</t>
  </si>
  <si>
    <t>5.Работы выполненные по текущему ремонту в 2013 году</t>
  </si>
  <si>
    <t>Отчет  по обслуживанию жилого дома ул. Лапина, 17  за  2013 год</t>
  </si>
  <si>
    <t>ТБО</t>
  </si>
  <si>
    <t>Финансовый результат 2012 г.</t>
  </si>
  <si>
    <t>3.Приборы учета</t>
  </si>
  <si>
    <t xml:space="preserve">1.6.Управление ООО УК "Ангара" </t>
  </si>
  <si>
    <t>Финансовый результат за 2013 год с учетом 2012г.</t>
  </si>
  <si>
    <t>Отчет  по обслуживанию жилого дома ул. Румянцева, 15а  за  2013 год</t>
  </si>
  <si>
    <t>1.10. Услуги сторонних организаций (ТехноСервИркутск, Электросязь)</t>
  </si>
  <si>
    <t>Проектирование и монтаж прибора учёта тепловой энергии</t>
  </si>
  <si>
    <t>5.Работы, выполненные по текущему ремонту в 2013 году</t>
  </si>
  <si>
    <t xml:space="preserve"> Финансовый результат за 2012 год</t>
  </si>
  <si>
    <t>в т.ч. Финансовый результат за 2012 год</t>
  </si>
  <si>
    <t>Отчет  по обслуживанию жилого дома ул. Свердлова, 1 за  2013 год</t>
  </si>
  <si>
    <t>Вывоз снега</t>
  </si>
  <si>
    <t>Отчет  по обслуживанию жилого дома ул. Чайковского, 14 за  2013 год</t>
  </si>
  <si>
    <t>Финансовый результат за 2012год</t>
  </si>
  <si>
    <t>Отчет  по обслуживанию жилого дома ул. Чайковского, 9 за  2013 год</t>
  </si>
  <si>
    <t>5.Найм</t>
  </si>
  <si>
    <t>Найм</t>
  </si>
  <si>
    <t>Финансовый результат за 2013  год с учетом 2012г.</t>
  </si>
  <si>
    <t>6.Найм</t>
  </si>
  <si>
    <t>Отчет  по обслуживанию жилого дома ул. Шмидта, 32 за  2013 год</t>
  </si>
  <si>
    <t>Отчет  по обслуживанию жилого дома ул. Гашека, 4а за  2013 год</t>
  </si>
  <si>
    <t>Отчет  по обслуживанию жилого дома ул. Гашека, 7 за  2013 год</t>
  </si>
  <si>
    <t>1.10. Услуги сторонних организаций (ТехноСервИркутск, Электросязь, Иркутскоблгаз)</t>
  </si>
  <si>
    <t>Отчет  по обслуживанию жилого дома ул. Карла Маркса, 32  за  2013 год</t>
  </si>
  <si>
    <t>Карла Маркса,32</t>
  </si>
  <si>
    <t>Отчет  по обслуживанию жилого дома ул. Пушкина, 6  за  2013 год</t>
  </si>
  <si>
    <t>Пушкина,6</t>
  </si>
  <si>
    <t>Финансовый результат за 2013 год</t>
  </si>
  <si>
    <t>Отчет  по обслуживанию жилого дома ул. Профсоюзная,15  за  2013 год</t>
  </si>
  <si>
    <t>Профсоюзная, 15</t>
  </si>
  <si>
    <t>Отчет  по обслуживанию жилого дома ул. Российская, 25  за  2013 год</t>
  </si>
  <si>
    <t>Ремонт тамбуров</t>
  </si>
  <si>
    <t>Утепление кровли</t>
  </si>
  <si>
    <t>Ремонт ИТП</t>
  </si>
  <si>
    <t>Ремонт системы отопления</t>
  </si>
  <si>
    <t>Материалы (песок, трубы ит.д.)</t>
  </si>
  <si>
    <t>Ремонт лестницы</t>
  </si>
  <si>
    <t>Шпатлёвка,штукатурка, работы</t>
  </si>
  <si>
    <t>Материалы,работы</t>
  </si>
  <si>
    <t>Работы</t>
  </si>
  <si>
    <t>Подключение к системе АСКУТЭ</t>
  </si>
  <si>
    <t>Переделки после кап.ремонта</t>
  </si>
  <si>
    <t>Монтаж, демонтаж теплосчётчиков</t>
  </si>
  <si>
    <t>Электромонтажные работы</t>
  </si>
  <si>
    <t>Демонтаж,монтаж теплосчётчика</t>
  </si>
  <si>
    <t>Противоаврийные работы по обрушению фасада дома</t>
  </si>
  <si>
    <t>Земельные работы на вводе ХВС</t>
  </si>
  <si>
    <t>Отчет  по обслуживанию жилого дома ул. Воронежская, 23  за  2013 год</t>
  </si>
  <si>
    <t>Отчет  по обслуживанию жилого дома ул. Гоголя,42б  за  2013 год</t>
  </si>
  <si>
    <t>Замена м/схемы интерфейса</t>
  </si>
  <si>
    <t>Дезинсекция</t>
  </si>
  <si>
    <t>Отчет  по обслуживанию жилого дома ул. Джамбула, 4  за  2013 год</t>
  </si>
  <si>
    <t>2.Тарифы, действующие в 2013году</t>
  </si>
  <si>
    <t>Финансовый результат за 2012 год</t>
  </si>
  <si>
    <t>Установка и обслуживание магн.замка</t>
  </si>
  <si>
    <t>Финансовый результат за 2013 год с учетом 2012 г.</t>
  </si>
  <si>
    <t>Отчет  по обслуживанию жилого дома ул. Мичурина, 7 за  2013 год</t>
  </si>
  <si>
    <t>Замена трансформаторов тока и приборов учёта электроэнергии, ТМЦ</t>
  </si>
  <si>
    <t>Отчет  по обслуживанию жилого дома ул. Мичурина, 7/1 за  2013 год</t>
  </si>
  <si>
    <t>Установка оконных рам по адресу ул. Мичурина 7/1</t>
  </si>
  <si>
    <t>Отчет  по обслуживанию жилого дома ул. Пушкина, 13  за  2013 год</t>
  </si>
  <si>
    <t>Проверка проектов на узлы учёта</t>
  </si>
  <si>
    <t>Отчет  по обслуживанию жилого дома ул. Р.Люксембург, 5 за  2013 год</t>
  </si>
  <si>
    <t xml:space="preserve">Финансовый результат за 2013 год </t>
  </si>
  <si>
    <t>Демонтаж печных труб</t>
  </si>
  <si>
    <t>Отчет  по обслуживанию жилого дома ул.2 Железнодорожная, 4  за  2013 год</t>
  </si>
  <si>
    <t>Отчет  по обслуживанию жилого дома ул.4 Железнодорожная, 46б за  2013 год</t>
  </si>
  <si>
    <t>1.10.Услуги подрядных организаций (ТехноСервиркутск,Электросвязь)</t>
  </si>
  <si>
    <t>Разработка и составление проекта внутридомовой разводки отопления, ГВС, ХВС, водоотведения</t>
  </si>
  <si>
    <t>Ремонт эркера жилого дома</t>
  </si>
  <si>
    <t>1.10. Услуги сторонних организаций (Электросязь)</t>
  </si>
  <si>
    <t>1.10. Услуги сторонних организаций (Электросязь, Иркутскоблгаз)</t>
  </si>
  <si>
    <t>1.10. Услуги сторонних организаций (ИГТСК)</t>
  </si>
  <si>
    <t>Отчет  по обслуживанию жилого дома ул.4-я Железнодорожная,14а  за  2013 год</t>
  </si>
  <si>
    <t>Замена, поверка термометров</t>
  </si>
  <si>
    <t>Монтаж, демонтаж, госповерка теплосчётчика</t>
  </si>
  <si>
    <t>Отчет  по обслуживанию жилого дома ул. Румянцева, 26 за  2013 год</t>
  </si>
  <si>
    <t>с 01.07.13</t>
  </si>
  <si>
    <t>Румянцева, 26</t>
  </si>
  <si>
    <t>Подключение в системе АСКУТЭ</t>
  </si>
  <si>
    <t>Отчет  по обслуживанию жилого дома ул. Мичурина, 7/2  за  2013 год</t>
  </si>
  <si>
    <t>с 01.09.13</t>
  </si>
  <si>
    <t>Мичурина, 7/2</t>
  </si>
  <si>
    <t>1.10. Услуги сторонних организаций (Электросязь,Контактор)</t>
  </si>
  <si>
    <t>Отчет  по обслуживанию жилого дома ул. Воронежская, 13 за  2013 год</t>
  </si>
  <si>
    <t>Воронежская,13</t>
  </si>
  <si>
    <t>1.10. Услуги сторонних организаций (Электросвязь)</t>
  </si>
  <si>
    <t>Отчет  по обслуживанию жилого дома ул. Воронежская, 17 за  2013 год</t>
  </si>
  <si>
    <t>Воронежская,17</t>
  </si>
  <si>
    <t>Отчет  по обслуживанию жилого дома ул. Воронежская, 19 за  2013 год</t>
  </si>
  <si>
    <t>Воронежская,19</t>
  </si>
  <si>
    <t>Отчет  по обслуживанию жилого дома ул.Севастопольская, 145 за  2013 год</t>
  </si>
  <si>
    <t>с 01.10.13</t>
  </si>
  <si>
    <t>Севастопольская, 145</t>
  </si>
  <si>
    <t>Теплоизоляционные работы</t>
  </si>
  <si>
    <t>Замена,поверка термометров</t>
  </si>
  <si>
    <t>Отчет  по обслуживанию жилого дома ул.Севастопольская, 147 за  2013 год</t>
  </si>
  <si>
    <t>Севастопольская, 147</t>
  </si>
  <si>
    <t>2.Тарифы действующие в 2013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</si>
</sst>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9"/>
      <color theme="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0">
    <xf numFmtId="0" fontId="0" fillId="0" borderId="0" xfId="0"/>
    <xf numFmtId="0" fontId="3" fillId="0" borderId="0" xfId="0" applyFont="1"/>
    <xf numFmtId="4" fontId="3" fillId="0" borderId="0" xfId="0" applyNumberFormat="1" applyFont="1"/>
    <xf numFmtId="4" fontId="0" fillId="0" borderId="0" xfId="0" applyNumberFormat="1"/>
    <xf numFmtId="0" fontId="3" fillId="2" borderId="0" xfId="0" applyFont="1" applyFill="1"/>
    <xf numFmtId="4" fontId="0" fillId="2" borderId="0" xfId="0" applyNumberFormat="1" applyFill="1"/>
    <xf numFmtId="0" fontId="3" fillId="0" borderId="1" xfId="0" applyFont="1" applyBorder="1"/>
    <xf numFmtId="4" fontId="3" fillId="0" borderId="2" xfId="0" applyNumberFormat="1" applyFont="1" applyBorder="1"/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/>
    <xf numFmtId="4" fontId="3" fillId="0" borderId="6" xfId="0" applyNumberFormat="1" applyFont="1" applyBorder="1"/>
    <xf numFmtId="3" fontId="3" fillId="0" borderId="7" xfId="0" applyNumberFormat="1" applyFont="1" applyBorder="1"/>
    <xf numFmtId="0" fontId="3" fillId="0" borderId="8" xfId="0" applyFont="1" applyBorder="1"/>
    <xf numFmtId="4" fontId="3" fillId="0" borderId="9" xfId="0" applyNumberFormat="1" applyFont="1" applyBorder="1"/>
    <xf numFmtId="3" fontId="3" fillId="0" borderId="10" xfId="0" applyNumberFormat="1" applyFont="1" applyBorder="1"/>
    <xf numFmtId="0" fontId="3" fillId="0" borderId="11" xfId="0" applyFont="1" applyBorder="1"/>
    <xf numFmtId="4" fontId="3" fillId="0" borderId="12" xfId="0" applyNumberFormat="1" applyFont="1" applyBorder="1"/>
    <xf numFmtId="3" fontId="3" fillId="0" borderId="13" xfId="0" applyNumberFormat="1" applyFont="1" applyBorder="1"/>
    <xf numFmtId="0" fontId="3" fillId="0" borderId="0" xfId="0" applyFont="1" applyBorder="1"/>
    <xf numFmtId="4" fontId="3" fillId="0" borderId="0" xfId="0" applyNumberFormat="1" applyFont="1" applyBorder="1"/>
    <xf numFmtId="3" fontId="3" fillId="0" borderId="0" xfId="0" applyNumberFormat="1" applyFont="1" applyBorder="1"/>
    <xf numFmtId="0" fontId="3" fillId="2" borderId="14" xfId="0" applyFont="1" applyFill="1" applyBorder="1"/>
    <xf numFmtId="4" fontId="3" fillId="2" borderId="15" xfId="0" applyNumberFormat="1" applyFont="1" applyFill="1" applyBorder="1"/>
    <xf numFmtId="3" fontId="3" fillId="2" borderId="16" xfId="0" applyNumberFormat="1" applyFont="1" applyFill="1" applyBorder="1" applyAlignment="1">
      <alignment horizontal="right"/>
    </xf>
    <xf numFmtId="0" fontId="3" fillId="0" borderId="17" xfId="0" applyFont="1" applyBorder="1"/>
    <xf numFmtId="4" fontId="3" fillId="0" borderId="18" xfId="0" applyNumberFormat="1" applyFont="1" applyBorder="1"/>
    <xf numFmtId="4" fontId="3" fillId="0" borderId="18" xfId="0" applyNumberFormat="1" applyFont="1" applyBorder="1" applyAlignment="1">
      <alignment horizontal="right"/>
    </xf>
    <xf numFmtId="0" fontId="3" fillId="0" borderId="19" xfId="0" applyFont="1" applyBorder="1"/>
    <xf numFmtId="4" fontId="0" fillId="0" borderId="20" xfId="0" applyNumberFormat="1" applyBorder="1"/>
    <xf numFmtId="4" fontId="3" fillId="0" borderId="21" xfId="0" applyNumberFormat="1" applyFont="1" applyBorder="1"/>
    <xf numFmtId="0" fontId="0" fillId="0" borderId="0" xfId="0" applyBorder="1"/>
    <xf numFmtId="0" fontId="0" fillId="0" borderId="17" xfId="0" applyBorder="1"/>
    <xf numFmtId="4" fontId="0" fillId="0" borderId="0" xfId="0" applyNumberFormat="1" applyBorder="1"/>
    <xf numFmtId="0" fontId="3" fillId="2" borderId="17" xfId="0" applyFont="1" applyFill="1" applyBorder="1"/>
    <xf numFmtId="4" fontId="0" fillId="2" borderId="0" xfId="0" applyNumberFormat="1" applyFill="1" applyBorder="1"/>
    <xf numFmtId="0" fontId="3" fillId="0" borderId="22" xfId="0" applyFont="1" applyBorder="1"/>
    <xf numFmtId="4" fontId="3" fillId="0" borderId="22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/>
    <xf numFmtId="4" fontId="4" fillId="0" borderId="6" xfId="0" applyNumberFormat="1" applyFont="1" applyBorder="1"/>
    <xf numFmtId="4" fontId="4" fillId="0" borderId="7" xfId="0" applyNumberFormat="1" applyFont="1" applyFill="1" applyBorder="1"/>
    <xf numFmtId="4" fontId="4" fillId="0" borderId="9" xfId="0" applyNumberFormat="1" applyFont="1" applyFill="1" applyBorder="1"/>
    <xf numFmtId="4" fontId="4" fillId="0" borderId="9" xfId="0" applyNumberFormat="1" applyFont="1" applyBorder="1"/>
    <xf numFmtId="4" fontId="4" fillId="0" borderId="10" xfId="0" applyNumberFormat="1" applyFont="1" applyFill="1" applyBorder="1"/>
    <xf numFmtId="4" fontId="4" fillId="0" borderId="12" xfId="0" applyNumberFormat="1" applyFont="1" applyBorder="1"/>
    <xf numFmtId="4" fontId="4" fillId="0" borderId="13" xfId="0" applyNumberFormat="1" applyFont="1" applyFill="1" applyBorder="1"/>
    <xf numFmtId="0" fontId="3" fillId="0" borderId="23" xfId="0" applyFont="1" applyBorder="1"/>
    <xf numFmtId="4" fontId="3" fillId="0" borderId="24" xfId="0" applyNumberFormat="1" applyFont="1" applyFill="1" applyBorder="1"/>
    <xf numFmtId="4" fontId="5" fillId="0" borderId="24" xfId="0" applyNumberFormat="1" applyFont="1" applyBorder="1"/>
    <xf numFmtId="4" fontId="4" fillId="0" borderId="25" xfId="0" applyNumberFormat="1" applyFont="1" applyFill="1" applyBorder="1"/>
    <xf numFmtId="0" fontId="0" fillId="0" borderId="5" xfId="0" applyBorder="1"/>
    <xf numFmtId="0" fontId="0" fillId="0" borderId="8" xfId="0" applyBorder="1"/>
    <xf numFmtId="4" fontId="6" fillId="0" borderId="9" xfId="0" applyNumberFormat="1" applyFont="1" applyFill="1" applyBorder="1"/>
    <xf numFmtId="4" fontId="5" fillId="0" borderId="9" xfId="0" applyNumberFormat="1" applyFont="1" applyBorder="1"/>
    <xf numFmtId="4" fontId="5" fillId="0" borderId="0" xfId="0" applyNumberFormat="1" applyFont="1" applyBorder="1"/>
    <xf numFmtId="0" fontId="3" fillId="0" borderId="26" xfId="0" applyFont="1" applyFill="1" applyBorder="1"/>
    <xf numFmtId="4" fontId="3" fillId="0" borderId="27" xfId="0" applyNumberFormat="1" applyFont="1" applyFill="1" applyBorder="1"/>
    <xf numFmtId="0" fontId="3" fillId="0" borderId="0" xfId="0" applyFont="1" applyFill="1" applyBorder="1"/>
    <xf numFmtId="4" fontId="3" fillId="0" borderId="0" xfId="0" applyNumberFormat="1" applyFont="1" applyFill="1" applyBorder="1"/>
    <xf numFmtId="0" fontId="3" fillId="2" borderId="29" xfId="0" applyFont="1" applyFill="1" applyBorder="1"/>
    <xf numFmtId="4" fontId="3" fillId="2" borderId="30" xfId="0" applyNumberFormat="1" applyFont="1" applyFill="1" applyBorder="1"/>
    <xf numFmtId="4" fontId="5" fillId="2" borderId="31" xfId="0" applyNumberFormat="1" applyFont="1" applyFill="1" applyBorder="1"/>
    <xf numFmtId="0" fontId="3" fillId="0" borderId="32" xfId="0" applyFont="1" applyFill="1" applyBorder="1"/>
    <xf numFmtId="4" fontId="3" fillId="0" borderId="33" xfId="0" applyNumberFormat="1" applyFont="1" applyFill="1" applyBorder="1"/>
    <xf numFmtId="4" fontId="5" fillId="0" borderId="34" xfId="0" applyNumberFormat="1" applyFont="1" applyBorder="1"/>
    <xf numFmtId="0" fontId="3" fillId="0" borderId="8" xfId="0" applyFont="1" applyFill="1" applyBorder="1"/>
    <xf numFmtId="4" fontId="3" fillId="0" borderId="9" xfId="0" applyNumberFormat="1" applyFont="1" applyFill="1" applyBorder="1"/>
    <xf numFmtId="4" fontId="5" fillId="0" borderId="10" xfId="0" applyNumberFormat="1" applyFont="1" applyBorder="1"/>
    <xf numFmtId="0" fontId="7" fillId="0" borderId="8" xfId="0" applyFont="1" applyFill="1" applyBorder="1"/>
    <xf numFmtId="4" fontId="8" fillId="0" borderId="10" xfId="0" applyNumberFormat="1" applyFont="1" applyBorder="1"/>
    <xf numFmtId="0" fontId="7" fillId="0" borderId="8" xfId="0" applyFont="1" applyFill="1" applyBorder="1" applyAlignment="1">
      <alignment horizontal="left" vertical="center" wrapText="1"/>
    </xf>
    <xf numFmtId="0" fontId="3" fillId="0" borderId="11" xfId="0" applyFont="1" applyFill="1" applyBorder="1"/>
    <xf numFmtId="4" fontId="3" fillId="0" borderId="12" xfId="0" applyNumberFormat="1" applyFont="1" applyFill="1" applyBorder="1"/>
    <xf numFmtId="4" fontId="5" fillId="0" borderId="13" xfId="0" applyNumberFormat="1" applyFont="1" applyBorder="1"/>
    <xf numFmtId="0" fontId="0" fillId="0" borderId="9" xfId="0" applyBorder="1"/>
    <xf numFmtId="0" fontId="7" fillId="0" borderId="0" xfId="0" applyFont="1" applyFill="1" applyBorder="1"/>
    <xf numFmtId="4" fontId="7" fillId="0" borderId="0" xfId="0" applyNumberFormat="1" applyFont="1"/>
    <xf numFmtId="0" fontId="3" fillId="0" borderId="29" xfId="0" applyFont="1" applyBorder="1" applyAlignment="1">
      <alignment horizontal="center" vertical="center" wrapText="1"/>
    </xf>
    <xf numFmtId="4" fontId="3" fillId="0" borderId="30" xfId="0" applyNumberFormat="1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29" xfId="0" applyFont="1" applyBorder="1"/>
    <xf numFmtId="4" fontId="3" fillId="0" borderId="36" xfId="0" applyNumberFormat="1" applyFont="1" applyBorder="1"/>
    <xf numFmtId="4" fontId="5" fillId="0" borderId="31" xfId="0" applyNumberFormat="1" applyFont="1" applyFill="1" applyBorder="1"/>
    <xf numFmtId="4" fontId="3" fillId="0" borderId="33" xfId="0" applyNumberFormat="1" applyFont="1" applyBorder="1"/>
    <xf numFmtId="4" fontId="4" fillId="0" borderId="0" xfId="0" applyNumberFormat="1" applyFont="1" applyFill="1" applyBorder="1"/>
    <xf numFmtId="4" fontId="4" fillId="3" borderId="0" xfId="0" applyNumberFormat="1" applyFont="1" applyFill="1" applyBorder="1"/>
    <xf numFmtId="4" fontId="4" fillId="0" borderId="0" xfId="0" applyNumberFormat="1" applyFont="1" applyBorder="1"/>
    <xf numFmtId="4" fontId="5" fillId="3" borderId="0" xfId="0" applyNumberFormat="1" applyFont="1" applyFill="1" applyBorder="1"/>
    <xf numFmtId="0" fontId="7" fillId="0" borderId="0" xfId="0" applyFont="1" applyBorder="1"/>
    <xf numFmtId="4" fontId="7" fillId="0" borderId="0" xfId="0" applyNumberFormat="1" applyFont="1" applyBorder="1"/>
    <xf numFmtId="4" fontId="8" fillId="0" borderId="0" xfId="0" applyNumberFormat="1" applyFont="1" applyFill="1" applyBorder="1"/>
    <xf numFmtId="2" fontId="0" fillId="0" borderId="0" xfId="0" applyNumberFormat="1"/>
    <xf numFmtId="0" fontId="0" fillId="0" borderId="0" xfId="0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  <xf numFmtId="0" fontId="1" fillId="0" borderId="0" xfId="0" applyFont="1"/>
    <xf numFmtId="4" fontId="9" fillId="0" borderId="0" xfId="0" applyNumberFormat="1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wrapText="1"/>
    </xf>
    <xf numFmtId="4" fontId="9" fillId="0" borderId="0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Border="1"/>
    <xf numFmtId="4" fontId="12" fillId="0" borderId="0" xfId="0" applyNumberFormat="1" applyFont="1" applyFill="1" applyBorder="1"/>
    <xf numFmtId="4" fontId="12" fillId="0" borderId="0" xfId="0" applyNumberFormat="1" applyFont="1" applyBorder="1"/>
    <xf numFmtId="0" fontId="10" fillId="0" borderId="0" xfId="0" applyFont="1" applyBorder="1"/>
    <xf numFmtId="4" fontId="12" fillId="3" borderId="0" xfId="0" applyNumberFormat="1" applyFont="1" applyFill="1" applyBorder="1"/>
    <xf numFmtId="4" fontId="9" fillId="0" borderId="0" xfId="0" applyNumberFormat="1" applyFont="1" applyBorder="1"/>
    <xf numFmtId="4" fontId="8" fillId="0" borderId="10" xfId="0" applyNumberFormat="1" applyFont="1" applyFill="1" applyBorder="1"/>
    <xf numFmtId="0" fontId="0" fillId="4" borderId="0" xfId="0" applyFill="1" applyBorder="1"/>
    <xf numFmtId="0" fontId="3" fillId="4" borderId="0" xfId="0" applyFont="1" applyFill="1" applyBorder="1"/>
    <xf numFmtId="4" fontId="3" fillId="4" borderId="0" xfId="0" applyNumberFormat="1" applyFont="1" applyFill="1" applyBorder="1"/>
    <xf numFmtId="4" fontId="0" fillId="4" borderId="0" xfId="0" applyNumberFormat="1" applyFill="1" applyBorder="1"/>
    <xf numFmtId="4" fontId="5" fillId="0" borderId="0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0" fontId="2" fillId="0" borderId="0" xfId="0" applyFont="1"/>
    <xf numFmtId="4" fontId="13" fillId="0" borderId="0" xfId="0" applyNumberFormat="1" applyFont="1"/>
    <xf numFmtId="0" fontId="13" fillId="0" borderId="0" xfId="0" applyFont="1"/>
    <xf numFmtId="2" fontId="13" fillId="0" borderId="0" xfId="0" applyNumberFormat="1" applyFont="1"/>
    <xf numFmtId="4" fontId="14" fillId="0" borderId="0" xfId="0" applyNumberFormat="1" applyFont="1" applyBorder="1"/>
    <xf numFmtId="4" fontId="2" fillId="0" borderId="0" xfId="0" applyNumberFormat="1" applyFont="1" applyBorder="1"/>
    <xf numFmtId="0" fontId="2" fillId="0" borderId="0" xfId="0" applyFont="1" applyBorder="1"/>
    <xf numFmtId="4" fontId="15" fillId="0" borderId="0" xfId="0" applyNumberFormat="1" applyFont="1" applyBorder="1"/>
    <xf numFmtId="4" fontId="0" fillId="0" borderId="0" xfId="0" applyNumberFormat="1" applyFont="1"/>
    <xf numFmtId="0" fontId="0" fillId="0" borderId="0" xfId="0" applyFont="1"/>
    <xf numFmtId="4" fontId="1" fillId="0" borderId="0" xfId="0" applyNumberFormat="1" applyFont="1"/>
    <xf numFmtId="4" fontId="0" fillId="2" borderId="15" xfId="0" applyNumberFormat="1" applyFill="1" applyBorder="1"/>
    <xf numFmtId="4" fontId="0" fillId="2" borderId="16" xfId="0" applyNumberFormat="1" applyFill="1" applyBorder="1"/>
    <xf numFmtId="0" fontId="3" fillId="5" borderId="14" xfId="0" applyFont="1" applyFill="1" applyBorder="1"/>
    <xf numFmtId="4" fontId="0" fillId="5" borderId="15" xfId="0" applyNumberFormat="1" applyFill="1" applyBorder="1"/>
    <xf numFmtId="4" fontId="0" fillId="5" borderId="16" xfId="0" applyNumberFormat="1" applyFill="1" applyBorder="1"/>
    <xf numFmtId="4" fontId="1" fillId="0" borderId="0" xfId="0" applyNumberFormat="1" applyFont="1" applyBorder="1"/>
    <xf numFmtId="0" fontId="1" fillId="0" borderId="0" xfId="0" applyFont="1" applyBorder="1"/>
    <xf numFmtId="0" fontId="3" fillId="0" borderId="37" xfId="0" applyFont="1" applyFill="1" applyBorder="1"/>
    <xf numFmtId="4" fontId="3" fillId="0" borderId="35" xfId="0" applyNumberFormat="1" applyFont="1" applyFill="1" applyBorder="1"/>
    <xf numFmtId="4" fontId="5" fillId="0" borderId="38" xfId="0" applyNumberFormat="1" applyFont="1" applyBorder="1"/>
    <xf numFmtId="4" fontId="17" fillId="0" borderId="0" xfId="0" applyNumberFormat="1" applyFont="1"/>
    <xf numFmtId="0" fontId="17" fillId="0" borderId="0" xfId="0" applyFont="1"/>
    <xf numFmtId="4" fontId="2" fillId="0" borderId="0" xfId="0" applyNumberFormat="1" applyFont="1"/>
    <xf numFmtId="4" fontId="0" fillId="0" borderId="18" xfId="0" applyNumberFormat="1" applyBorder="1"/>
    <xf numFmtId="0" fontId="0" fillId="0" borderId="23" xfId="0" applyBorder="1"/>
    <xf numFmtId="4" fontId="4" fillId="0" borderId="39" xfId="0" applyNumberFormat="1" applyFont="1" applyFill="1" applyBorder="1"/>
    <xf numFmtId="4" fontId="8" fillId="0" borderId="25" xfId="0" applyNumberFormat="1" applyFont="1" applyFill="1" applyBorder="1"/>
    <xf numFmtId="4" fontId="16" fillId="0" borderId="0" xfId="0" applyNumberFormat="1" applyFont="1"/>
    <xf numFmtId="4" fontId="8" fillId="0" borderId="9" xfId="0" applyNumberFormat="1" applyFont="1" applyFill="1" applyBorder="1"/>
    <xf numFmtId="0" fontId="3" fillId="0" borderId="26" xfId="0" applyFont="1" applyBorder="1"/>
    <xf numFmtId="4" fontId="3" fillId="0" borderId="27" xfId="0" applyNumberFormat="1" applyFont="1" applyBorder="1"/>
    <xf numFmtId="4" fontId="5" fillId="0" borderId="28" xfId="0" applyNumberFormat="1" applyFont="1" applyFill="1" applyBorder="1"/>
    <xf numFmtId="0" fontId="18" fillId="0" borderId="8" xfId="0" applyFont="1" applyBorder="1" applyAlignment="1">
      <alignment wrapText="1"/>
    </xf>
    <xf numFmtId="4" fontId="18" fillId="0" borderId="0" xfId="0" applyNumberFormat="1" applyFont="1" applyBorder="1"/>
    <xf numFmtId="4" fontId="18" fillId="0" borderId="0" xfId="0" applyNumberFormat="1" applyFont="1"/>
    <xf numFmtId="0" fontId="3" fillId="0" borderId="40" xfId="0" applyFont="1" applyBorder="1"/>
    <xf numFmtId="3" fontId="3" fillId="0" borderId="34" xfId="0" applyNumberFormat="1" applyFont="1" applyBorder="1"/>
    <xf numFmtId="4" fontId="3" fillId="0" borderId="29" xfId="0" applyNumberFormat="1" applyFont="1" applyBorder="1"/>
    <xf numFmtId="3" fontId="3" fillId="0" borderId="31" xfId="0" applyNumberFormat="1" applyFont="1" applyBorder="1"/>
    <xf numFmtId="0" fontId="0" fillId="0" borderId="9" xfId="0" applyBorder="1" applyAlignment="1"/>
    <xf numFmtId="4" fontId="17" fillId="0" borderId="0" xfId="0" applyNumberFormat="1" applyFont="1" applyBorder="1"/>
    <xf numFmtId="0" fontId="17" fillId="0" borderId="0" xfId="0" applyFont="1" applyBorder="1"/>
    <xf numFmtId="4" fontId="3" fillId="4" borderId="6" xfId="0" applyNumberFormat="1" applyFont="1" applyFill="1" applyBorder="1"/>
    <xf numFmtId="3" fontId="3" fillId="4" borderId="7" xfId="0" applyNumberFormat="1" applyFont="1" applyFill="1" applyBorder="1"/>
    <xf numFmtId="4" fontId="3" fillId="4" borderId="9" xfId="0" applyNumberFormat="1" applyFont="1" applyFill="1" applyBorder="1"/>
    <xf numFmtId="3" fontId="3" fillId="4" borderId="10" xfId="0" applyNumberFormat="1" applyFont="1" applyFill="1" applyBorder="1"/>
    <xf numFmtId="4" fontId="3" fillId="4" borderId="12" xfId="0" applyNumberFormat="1" applyFont="1" applyFill="1" applyBorder="1"/>
    <xf numFmtId="3" fontId="3" fillId="4" borderId="13" xfId="0" applyNumberFormat="1" applyFont="1" applyFill="1" applyBorder="1"/>
    <xf numFmtId="0" fontId="19" fillId="0" borderId="0" xfId="0" applyFont="1" applyFill="1" applyBorder="1"/>
    <xf numFmtId="0" fontId="20" fillId="0" borderId="0" xfId="0" applyFont="1" applyFill="1" applyBorder="1"/>
    <xf numFmtId="4" fontId="17" fillId="4" borderId="0" xfId="0" applyNumberFormat="1" applyFont="1" applyFill="1"/>
    <xf numFmtId="4" fontId="3" fillId="4" borderId="18" xfId="0" applyNumberFormat="1" applyFont="1" applyFill="1" applyBorder="1"/>
    <xf numFmtId="4" fontId="3" fillId="4" borderId="18" xfId="0" applyNumberFormat="1" applyFont="1" applyFill="1" applyBorder="1" applyAlignment="1">
      <alignment horizontal="right"/>
    </xf>
    <xf numFmtId="4" fontId="0" fillId="4" borderId="20" xfId="0" applyNumberFormat="1" applyFill="1" applyBorder="1"/>
    <xf numFmtId="4" fontId="3" fillId="4" borderId="21" xfId="0" applyNumberFormat="1" applyFont="1" applyFill="1" applyBorder="1"/>
    <xf numFmtId="4" fontId="4" fillId="4" borderId="6" xfId="0" applyNumberFormat="1" applyFont="1" applyFill="1" applyBorder="1"/>
    <xf numFmtId="4" fontId="4" fillId="4" borderId="7" xfId="0" applyNumberFormat="1" applyFont="1" applyFill="1" applyBorder="1"/>
    <xf numFmtId="4" fontId="4" fillId="4" borderId="9" xfId="0" applyNumberFormat="1" applyFont="1" applyFill="1" applyBorder="1"/>
    <xf numFmtId="4" fontId="4" fillId="4" borderId="10" xfId="0" applyNumberFormat="1" applyFont="1" applyFill="1" applyBorder="1"/>
    <xf numFmtId="4" fontId="4" fillId="4" borderId="12" xfId="0" applyNumberFormat="1" applyFont="1" applyFill="1" applyBorder="1"/>
    <xf numFmtId="4" fontId="4" fillId="4" borderId="13" xfId="0" applyNumberFormat="1" applyFont="1" applyFill="1" applyBorder="1"/>
    <xf numFmtId="4" fontId="3" fillId="4" borderId="24" xfId="0" applyNumberFormat="1" applyFont="1" applyFill="1" applyBorder="1"/>
    <xf numFmtId="4" fontId="4" fillId="4" borderId="25" xfId="0" applyNumberFormat="1" applyFont="1" applyFill="1" applyBorder="1"/>
    <xf numFmtId="4" fontId="6" fillId="4" borderId="9" xfId="0" applyNumberFormat="1" applyFont="1" applyFill="1" applyBorder="1"/>
    <xf numFmtId="4" fontId="5" fillId="4" borderId="9" xfId="0" applyNumberFormat="1" applyFont="1" applyFill="1" applyBorder="1"/>
    <xf numFmtId="4" fontId="3" fillId="4" borderId="27" xfId="0" applyNumberFormat="1" applyFont="1" applyFill="1" applyBorder="1"/>
    <xf numFmtId="4" fontId="5" fillId="4" borderId="28" xfId="0" applyNumberFormat="1" applyFont="1" applyFill="1" applyBorder="1"/>
    <xf numFmtId="4" fontId="3" fillId="4" borderId="33" xfId="0" applyNumberFormat="1" applyFont="1" applyFill="1" applyBorder="1"/>
    <xf numFmtId="4" fontId="7" fillId="4" borderId="9" xfId="0" applyNumberFormat="1" applyFont="1" applyFill="1" applyBorder="1"/>
    <xf numFmtId="4" fontId="8" fillId="4" borderId="10" xfId="0" applyNumberFormat="1" applyFont="1" applyFill="1" applyBorder="1"/>
    <xf numFmtId="4" fontId="5" fillId="0" borderId="9" xfId="0" applyNumberFormat="1" applyFont="1" applyFill="1" applyBorder="1"/>
    <xf numFmtId="4" fontId="5" fillId="0" borderId="10" xfId="0" applyNumberFormat="1" applyFont="1" applyFill="1" applyBorder="1"/>
    <xf numFmtId="4" fontId="3" fillId="0" borderId="21" xfId="0" applyNumberFormat="1" applyFont="1" applyFill="1" applyBorder="1"/>
    <xf numFmtId="4" fontId="5" fillId="0" borderId="25" xfId="0" applyNumberFormat="1" applyFont="1" applyFill="1" applyBorder="1"/>
    <xf numFmtId="4" fontId="17" fillId="4" borderId="0" xfId="0" applyNumberFormat="1" applyFont="1" applyFill="1" applyBorder="1"/>
    <xf numFmtId="0" fontId="7" fillId="0" borderId="8" xfId="0" applyFont="1" applyFill="1" applyBorder="1" applyAlignment="1">
      <alignment wrapText="1"/>
    </xf>
    <xf numFmtId="0" fontId="0" fillId="0" borderId="23" xfId="0" applyBorder="1" applyAlignment="1">
      <alignment wrapText="1"/>
    </xf>
    <xf numFmtId="4" fontId="17" fillId="0" borderId="20" xfId="0" applyNumberFormat="1" applyFont="1" applyBorder="1"/>
    <xf numFmtId="0" fontId="9" fillId="0" borderId="0" xfId="0" applyFont="1" applyBorder="1"/>
    <xf numFmtId="3" fontId="9" fillId="0" borderId="0" xfId="0" applyNumberFormat="1" applyFont="1" applyBorder="1"/>
    <xf numFmtId="0" fontId="9" fillId="0" borderId="17" xfId="0" applyFont="1" applyBorder="1"/>
    <xf numFmtId="4" fontId="5" fillId="4" borderId="24" xfId="0" applyNumberFormat="1" applyFont="1" applyFill="1" applyBorder="1"/>
    <xf numFmtId="4" fontId="5" fillId="0" borderId="33" xfId="0" applyNumberFormat="1" applyFont="1" applyBorder="1" applyAlignment="1">
      <alignment horizontal="center"/>
    </xf>
    <xf numFmtId="0" fontId="7" fillId="0" borderId="32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8" xfId="0" applyBorder="1" applyAlignment="1">
      <alignment wrapText="1"/>
    </xf>
    <xf numFmtId="4" fontId="17" fillId="2" borderId="15" xfId="0" applyNumberFormat="1" applyFont="1" applyFill="1" applyBorder="1"/>
    <xf numFmtId="4" fontId="17" fillId="2" borderId="16" xfId="0" applyNumberFormat="1" applyFont="1" applyFill="1" applyBorder="1"/>
    <xf numFmtId="0" fontId="17" fillId="0" borderId="5" xfId="0" applyFont="1" applyBorder="1"/>
    <xf numFmtId="0" fontId="17" fillId="0" borderId="8" xfId="0" applyFont="1" applyBorder="1"/>
    <xf numFmtId="4" fontId="1" fillId="2" borderId="15" xfId="0" applyNumberFormat="1" applyFont="1" applyFill="1" applyBorder="1"/>
    <xf numFmtId="4" fontId="1" fillId="2" borderId="16" xfId="0" applyNumberFormat="1" applyFont="1" applyFill="1" applyBorder="1"/>
    <xf numFmtId="4" fontId="1" fillId="4" borderId="0" xfId="0" applyNumberFormat="1" applyFont="1" applyFill="1" applyBorder="1"/>
    <xf numFmtId="0" fontId="1" fillId="0" borderId="17" xfId="0" applyFont="1" applyBorder="1"/>
    <xf numFmtId="4" fontId="1" fillId="0" borderId="18" xfId="0" applyNumberFormat="1" applyFont="1" applyBorder="1"/>
    <xf numFmtId="0" fontId="0" fillId="0" borderId="9" xfId="0" applyBorder="1" applyAlignment="1">
      <alignment wrapText="1"/>
    </xf>
    <xf numFmtId="0" fontId="7" fillId="0" borderId="9" xfId="0" applyFont="1" applyBorder="1" applyAlignment="1">
      <alignment horizontal="left"/>
    </xf>
    <xf numFmtId="0" fontId="9" fillId="0" borderId="0" xfId="0" applyFont="1" applyFill="1" applyBorder="1"/>
    <xf numFmtId="4" fontId="9" fillId="0" borderId="0" xfId="0" applyNumberFormat="1" applyFont="1" applyFill="1" applyBorder="1"/>
    <xf numFmtId="4" fontId="21" fillId="0" borderId="0" xfId="0" applyNumberFormat="1" applyFont="1" applyFill="1" applyBorder="1"/>
    <xf numFmtId="4" fontId="22" fillId="3" borderId="0" xfId="0" applyNumberFormat="1" applyFont="1" applyFill="1" applyBorder="1"/>
    <xf numFmtId="0" fontId="23" fillId="0" borderId="0" xfId="0" applyFont="1" applyFill="1" applyBorder="1"/>
    <xf numFmtId="4" fontId="24" fillId="3" borderId="0" xfId="0" applyNumberFormat="1" applyFont="1" applyFill="1" applyBorder="1"/>
    <xf numFmtId="4" fontId="25" fillId="0" borderId="0" xfId="0" applyNumberFormat="1" applyFont="1" applyFill="1" applyBorder="1"/>
    <xf numFmtId="0" fontId="23" fillId="0" borderId="0" xfId="0" applyFont="1" applyBorder="1"/>
    <xf numFmtId="4" fontId="23" fillId="0" borderId="0" xfId="0" applyNumberFormat="1" applyFont="1" applyBorder="1"/>
    <xf numFmtId="0" fontId="18" fillId="0" borderId="0" xfId="0" applyFont="1" applyBorder="1"/>
    <xf numFmtId="0" fontId="26" fillId="0" borderId="0" xfId="0" applyFont="1" applyBorder="1"/>
    <xf numFmtId="4" fontId="27" fillId="0" borderId="0" xfId="0" applyNumberFormat="1" applyFont="1" applyBorder="1"/>
    <xf numFmtId="4" fontId="28" fillId="0" borderId="0" xfId="0" applyNumberFormat="1" applyFont="1" applyFill="1" applyBorder="1"/>
    <xf numFmtId="4" fontId="26" fillId="0" borderId="0" xfId="0" applyNumberFormat="1" applyFont="1" applyBorder="1" applyAlignment="1">
      <alignment horizontal="center"/>
    </xf>
    <xf numFmtId="0" fontId="23" fillId="5" borderId="14" xfId="0" applyFont="1" applyFill="1" applyBorder="1"/>
    <xf numFmtId="4" fontId="18" fillId="5" borderId="15" xfId="0" applyNumberFormat="1" applyFont="1" applyFill="1" applyBorder="1"/>
    <xf numFmtId="4" fontId="18" fillId="5" borderId="16" xfId="0" applyNumberFormat="1" applyFont="1" applyFill="1" applyBorder="1"/>
    <xf numFmtId="0" fontId="23" fillId="0" borderId="29" xfId="0" applyFont="1" applyBorder="1" applyAlignment="1">
      <alignment horizontal="center" vertical="center" wrapText="1"/>
    </xf>
    <xf numFmtId="4" fontId="23" fillId="0" borderId="30" xfId="0" applyNumberFormat="1" applyFont="1" applyBorder="1" applyAlignment="1">
      <alignment horizontal="center" vertical="center" wrapText="1"/>
    </xf>
    <xf numFmtId="4" fontId="23" fillId="0" borderId="31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/>
    </xf>
    <xf numFmtId="4" fontId="25" fillId="0" borderId="6" xfId="0" applyNumberFormat="1" applyFont="1" applyBorder="1" applyAlignment="1">
      <alignment horizontal="center"/>
    </xf>
    <xf numFmtId="4" fontId="25" fillId="0" borderId="7" xfId="0" applyNumberFormat="1" applyFont="1" applyBorder="1" applyAlignment="1">
      <alignment horizontal="center"/>
    </xf>
    <xf numFmtId="4" fontId="21" fillId="0" borderId="9" xfId="0" applyNumberFormat="1" applyFont="1" applyFill="1" applyBorder="1"/>
    <xf numFmtId="4" fontId="21" fillId="0" borderId="10" xfId="0" applyNumberFormat="1" applyFont="1" applyFill="1" applyBorder="1"/>
    <xf numFmtId="0" fontId="18" fillId="0" borderId="9" xfId="0" applyFont="1" applyBorder="1" applyAlignment="1"/>
    <xf numFmtId="0" fontId="23" fillId="0" borderId="26" xfId="0" applyFont="1" applyBorder="1"/>
    <xf numFmtId="4" fontId="23" fillId="0" borderId="27" xfId="0" applyNumberFormat="1" applyFont="1" applyBorder="1"/>
    <xf numFmtId="0" fontId="3" fillId="4" borderId="22" xfId="0" applyFont="1" applyFill="1" applyBorder="1"/>
    <xf numFmtId="4" fontId="3" fillId="4" borderId="22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/>
    <xf numFmtId="0" fontId="3" fillId="4" borderId="8" xfId="0" applyFont="1" applyFill="1" applyBorder="1"/>
    <xf numFmtId="0" fontId="3" fillId="4" borderId="23" xfId="0" applyFont="1" applyFill="1" applyBorder="1"/>
    <xf numFmtId="0" fontId="0" fillId="4" borderId="5" xfId="0" applyFill="1" applyBorder="1"/>
    <xf numFmtId="0" fontId="0" fillId="4" borderId="8" xfId="0" applyFill="1" applyBorder="1"/>
    <xf numFmtId="0" fontId="3" fillId="4" borderId="32" xfId="0" applyFont="1" applyFill="1" applyBorder="1"/>
    <xf numFmtId="4" fontId="5" fillId="4" borderId="10" xfId="0" applyNumberFormat="1" applyFont="1" applyFill="1" applyBorder="1"/>
    <xf numFmtId="0" fontId="7" fillId="4" borderId="8" xfId="0" applyFont="1" applyFill="1" applyBorder="1"/>
    <xf numFmtId="0" fontId="7" fillId="4" borderId="8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wrapText="1"/>
    </xf>
    <xf numFmtId="0" fontId="3" fillId="4" borderId="5" xfId="0" applyFont="1" applyFill="1" applyBorder="1" applyAlignment="1">
      <alignment horizontal="center"/>
    </xf>
    <xf numFmtId="4" fontId="5" fillId="4" borderId="6" xfId="0" applyNumberFormat="1" applyFont="1" applyFill="1" applyBorder="1" applyAlignment="1">
      <alignment horizontal="center"/>
    </xf>
    <xf numFmtId="4" fontId="5" fillId="4" borderId="7" xfId="0" applyNumberFormat="1" applyFont="1" applyFill="1" applyBorder="1" applyAlignment="1">
      <alignment horizontal="center"/>
    </xf>
    <xf numFmtId="4" fontId="3" fillId="4" borderId="35" xfId="0" applyNumberFormat="1" applyFont="1" applyFill="1" applyBorder="1"/>
    <xf numFmtId="4" fontId="21" fillId="4" borderId="10" xfId="0" applyNumberFormat="1" applyFont="1" applyFill="1" applyBorder="1"/>
    <xf numFmtId="4" fontId="25" fillId="4" borderId="28" xfId="0" applyNumberFormat="1" applyFont="1" applyFill="1" applyBorder="1"/>
    <xf numFmtId="0" fontId="3" fillId="4" borderId="11" xfId="0" applyFont="1" applyFill="1" applyBorder="1"/>
    <xf numFmtId="0" fontId="3" fillId="4" borderId="37" xfId="0" applyFont="1" applyFill="1" applyBorder="1"/>
    <xf numFmtId="4" fontId="5" fillId="4" borderId="38" xfId="0" applyNumberFormat="1" applyFont="1" applyFill="1" applyBorder="1"/>
    <xf numFmtId="4" fontId="5" fillId="4" borderId="13" xfId="0" applyNumberFormat="1" applyFont="1" applyFill="1" applyBorder="1"/>
    <xf numFmtId="4" fontId="21" fillId="4" borderId="9" xfId="0" applyNumberFormat="1" applyFont="1" applyFill="1" applyBorder="1"/>
    <xf numFmtId="0" fontId="18" fillId="0" borderId="9" xfId="0" applyFont="1" applyBorder="1" applyAlignment="1">
      <alignment wrapText="1"/>
    </xf>
    <xf numFmtId="4" fontId="17" fillId="2" borderId="0" xfId="0" applyNumberFormat="1" applyFont="1" applyFill="1"/>
    <xf numFmtId="0" fontId="17" fillId="0" borderId="17" xfId="0" applyFont="1" applyBorder="1"/>
    <xf numFmtId="4" fontId="17" fillId="2" borderId="0" xfId="0" applyNumberFormat="1" applyFont="1" applyFill="1" applyBorder="1"/>
    <xf numFmtId="4" fontId="5" fillId="0" borderId="28" xfId="0" applyNumberFormat="1" applyFont="1" applyBorder="1"/>
    <xf numFmtId="4" fontId="17" fillId="0" borderId="18" xfId="0" applyNumberFormat="1" applyFont="1" applyBorder="1"/>
    <xf numFmtId="4" fontId="14" fillId="3" borderId="0" xfId="0" applyNumberFormat="1" applyFont="1" applyFill="1" applyBorder="1"/>
    <xf numFmtId="4" fontId="13" fillId="4" borderId="0" xfId="0" applyNumberFormat="1" applyFont="1" applyFill="1" applyBorder="1"/>
    <xf numFmtId="4" fontId="13" fillId="3" borderId="0" xfId="0" applyNumberFormat="1" applyFont="1" applyFill="1" applyBorder="1"/>
    <xf numFmtId="4" fontId="29" fillId="3" borderId="0" xfId="0" applyNumberFormat="1" applyFont="1" applyFill="1" applyBorder="1"/>
    <xf numFmtId="0" fontId="29" fillId="3" borderId="0" xfId="0" applyFont="1" applyFill="1" applyBorder="1"/>
    <xf numFmtId="0" fontId="13" fillId="4" borderId="0" xfId="0" applyFont="1" applyFill="1" applyBorder="1"/>
    <xf numFmtId="0" fontId="13" fillId="3" borderId="0" xfId="0" applyFont="1" applyFill="1" applyBorder="1"/>
    <xf numFmtId="0" fontId="13" fillId="0" borderId="0" xfId="0" applyFont="1" applyBorder="1"/>
    <xf numFmtId="4" fontId="2" fillId="4" borderId="0" xfId="0" applyNumberFormat="1" applyFont="1" applyFill="1" applyBorder="1"/>
    <xf numFmtId="4" fontId="8" fillId="4" borderId="9" xfId="0" applyNumberFormat="1" applyFont="1" applyFill="1" applyBorder="1"/>
    <xf numFmtId="4" fontId="2" fillId="4" borderId="0" xfId="0" applyNumberFormat="1" applyFont="1" applyFill="1"/>
    <xf numFmtId="4" fontId="5" fillId="4" borderId="31" xfId="0" applyNumberFormat="1" applyFont="1" applyFill="1" applyBorder="1"/>
    <xf numFmtId="4" fontId="4" fillId="4" borderId="34" xfId="0" applyNumberFormat="1" applyFont="1" applyFill="1" applyBorder="1" applyAlignment="1">
      <alignment horizontal="right"/>
    </xf>
    <xf numFmtId="4" fontId="3" fillId="4" borderId="0" xfId="0" applyNumberFormat="1" applyFont="1" applyFill="1"/>
    <xf numFmtId="4" fontId="8" fillId="4" borderId="25" xfId="0" applyNumberFormat="1" applyFont="1" applyFill="1" applyBorder="1"/>
    <xf numFmtId="0" fontId="3" fillId="4" borderId="14" xfId="0" applyFont="1" applyFill="1" applyBorder="1"/>
    <xf numFmtId="4" fontId="17" fillId="4" borderId="15" xfId="0" applyNumberFormat="1" applyFont="1" applyFill="1" applyBorder="1"/>
    <xf numFmtId="4" fontId="17" fillId="4" borderId="16" xfId="0" applyNumberFormat="1" applyFont="1" applyFill="1" applyBorder="1"/>
    <xf numFmtId="0" fontId="3" fillId="4" borderId="1" xfId="0" applyFont="1" applyFill="1" applyBorder="1"/>
    <xf numFmtId="4" fontId="3" fillId="4" borderId="2" xfId="0" applyNumberFormat="1" applyFont="1" applyFill="1" applyBorder="1"/>
    <xf numFmtId="4" fontId="3" fillId="4" borderId="3" xfId="0" applyNumberFormat="1" applyFont="1" applyFill="1" applyBorder="1" applyAlignment="1">
      <alignment horizontal="center" vertical="center" wrapText="1"/>
    </xf>
    <xf numFmtId="3" fontId="3" fillId="4" borderId="0" xfId="0" applyNumberFormat="1" applyFont="1" applyFill="1" applyBorder="1"/>
    <xf numFmtId="4" fontId="3" fillId="4" borderId="15" xfId="0" applyNumberFormat="1" applyFont="1" applyFill="1" applyBorder="1"/>
    <xf numFmtId="3" fontId="3" fillId="4" borderId="16" xfId="0" applyNumberFormat="1" applyFont="1" applyFill="1" applyBorder="1" applyAlignment="1">
      <alignment horizontal="right"/>
    </xf>
    <xf numFmtId="0" fontId="3" fillId="4" borderId="17" xfId="0" applyFont="1" applyFill="1" applyBorder="1"/>
    <xf numFmtId="0" fontId="3" fillId="4" borderId="19" xfId="0" applyFont="1" applyFill="1" applyBorder="1"/>
    <xf numFmtId="4" fontId="17" fillId="4" borderId="20" xfId="0" applyNumberFormat="1" applyFont="1" applyFill="1" applyBorder="1"/>
    <xf numFmtId="0" fontId="18" fillId="4" borderId="8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V103"/>
  <sheetViews>
    <sheetView view="pageBreakPreview" topLeftCell="A35" zoomScaleNormal="100" zoomScaleSheetLayoutView="100" workbookViewId="0">
      <selection activeCell="A73" sqref="A73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204</v>
      </c>
      <c r="B2" s="2"/>
      <c r="C2" s="2"/>
      <c r="D2" s="2"/>
      <c r="E2" s="125"/>
    </row>
    <row r="3" spans="1:22" ht="15.75" thickBot="1" x14ac:dyDescent="0.3">
      <c r="A3" s="1"/>
      <c r="B3" s="2"/>
      <c r="C3" s="2"/>
      <c r="D3" s="2"/>
      <c r="E3" s="125"/>
      <c r="L3" s="108"/>
      <c r="M3" s="108"/>
      <c r="N3" s="108"/>
      <c r="O3" s="108"/>
    </row>
    <row r="4" spans="1:22" ht="15.75" thickBot="1" x14ac:dyDescent="0.3">
      <c r="A4" s="22" t="s">
        <v>0</v>
      </c>
      <c r="B4" s="202"/>
      <c r="C4" s="202"/>
      <c r="D4" s="203"/>
      <c r="E4" s="125"/>
      <c r="L4" s="108"/>
      <c r="M4" s="108"/>
      <c r="N4" s="108"/>
      <c r="O4" s="108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E5" s="125"/>
      <c r="L5" s="108"/>
      <c r="M5" s="108"/>
      <c r="N5" s="108"/>
      <c r="O5" s="108"/>
    </row>
    <row r="6" spans="1:22" x14ac:dyDescent="0.25">
      <c r="A6" s="10" t="s">
        <v>75</v>
      </c>
      <c r="B6" s="11"/>
      <c r="C6" s="11">
        <v>175.6</v>
      </c>
      <c r="D6" s="12">
        <v>13</v>
      </c>
      <c r="E6" s="125"/>
      <c r="L6" s="108"/>
      <c r="M6" s="108"/>
      <c r="N6" s="108"/>
      <c r="O6" s="108"/>
    </row>
    <row r="7" spans="1:22" ht="15.75" thickBot="1" x14ac:dyDescent="0.3">
      <c r="A7" s="16" t="s">
        <v>5</v>
      </c>
      <c r="B7" s="17"/>
      <c r="C7" s="17">
        <f>C6</f>
        <v>175.6</v>
      </c>
      <c r="D7" s="18">
        <v>13</v>
      </c>
      <c r="E7" s="125"/>
      <c r="L7" s="108"/>
      <c r="M7" s="108"/>
      <c r="N7" s="108"/>
      <c r="O7" s="108"/>
    </row>
    <row r="8" spans="1:22" ht="15.75" thickBot="1" x14ac:dyDescent="0.3">
      <c r="A8" s="19"/>
      <c r="B8" s="20"/>
      <c r="C8" s="20"/>
      <c r="D8" s="21"/>
      <c r="E8" s="125"/>
      <c r="L8" s="108"/>
      <c r="M8" s="108"/>
      <c r="N8" s="108"/>
      <c r="O8" s="108"/>
    </row>
    <row r="9" spans="1:22" ht="15.75" thickBot="1" x14ac:dyDescent="0.3">
      <c r="A9" s="22" t="s">
        <v>112</v>
      </c>
      <c r="B9" s="23"/>
      <c r="C9" s="23"/>
      <c r="D9" s="24" t="s">
        <v>6</v>
      </c>
      <c r="E9" s="125"/>
      <c r="F9" s="97"/>
      <c r="G9" s="97"/>
      <c r="H9" s="97"/>
      <c r="I9" s="97"/>
      <c r="J9" s="97"/>
      <c r="K9" s="97"/>
      <c r="L9" s="108"/>
      <c r="M9" s="108"/>
      <c r="N9" s="108"/>
      <c r="O9" s="108"/>
    </row>
    <row r="10" spans="1:22" x14ac:dyDescent="0.25">
      <c r="A10" s="25" t="s">
        <v>7</v>
      </c>
      <c r="B10" s="20"/>
      <c r="C10" s="20"/>
      <c r="D10" s="26">
        <v>26.22</v>
      </c>
      <c r="E10" s="125"/>
      <c r="F10" s="97"/>
      <c r="G10" s="97"/>
      <c r="H10" s="97"/>
      <c r="I10" s="97"/>
      <c r="J10" s="97"/>
      <c r="K10" s="97"/>
      <c r="L10" s="108"/>
      <c r="M10" s="108"/>
      <c r="N10" s="108"/>
      <c r="O10" s="108"/>
    </row>
    <row r="11" spans="1:22" x14ac:dyDescent="0.25">
      <c r="A11" s="25" t="s">
        <v>8</v>
      </c>
      <c r="B11" s="20"/>
      <c r="C11" s="20"/>
      <c r="D11" s="27"/>
      <c r="E11" s="125"/>
      <c r="F11" s="97"/>
      <c r="G11" s="97"/>
      <c r="H11" s="97"/>
      <c r="I11" s="97"/>
      <c r="J11" s="97"/>
      <c r="K11" s="97"/>
      <c r="L11" s="108"/>
      <c r="M11" s="108"/>
      <c r="N11" s="108"/>
      <c r="O11" s="108"/>
    </row>
    <row r="12" spans="1:22" x14ac:dyDescent="0.25">
      <c r="A12" s="25" t="s">
        <v>9</v>
      </c>
      <c r="B12" s="20"/>
      <c r="C12" s="20"/>
      <c r="D12" s="26"/>
      <c r="E12" s="125"/>
      <c r="F12" s="97"/>
      <c r="G12" s="97"/>
      <c r="H12" s="97"/>
      <c r="I12" s="97"/>
      <c r="J12" s="97"/>
      <c r="K12" s="97"/>
      <c r="L12" s="108"/>
      <c r="M12" s="108"/>
      <c r="N12" s="108"/>
      <c r="O12" s="108"/>
    </row>
    <row r="13" spans="1:22" ht="15.75" thickBot="1" x14ac:dyDescent="0.3">
      <c r="A13" s="28" t="s">
        <v>10</v>
      </c>
      <c r="B13" s="193"/>
      <c r="C13" s="193"/>
      <c r="D13" s="30">
        <v>0</v>
      </c>
      <c r="E13" s="125"/>
      <c r="F13" s="97"/>
      <c r="G13" s="97"/>
      <c r="H13" s="97"/>
      <c r="I13" s="97"/>
      <c r="J13" s="97"/>
      <c r="K13" s="97"/>
      <c r="L13" s="108"/>
      <c r="M13" s="108"/>
      <c r="N13" s="108"/>
      <c r="O13" s="108"/>
      <c r="P13" s="31"/>
      <c r="Q13" s="31"/>
      <c r="R13" s="31"/>
      <c r="S13" s="31"/>
      <c r="T13" s="31"/>
      <c r="U13" s="31"/>
      <c r="V13" s="31"/>
    </row>
    <row r="14" spans="1:22" ht="15.75" thickBot="1" x14ac:dyDescent="0.3">
      <c r="A14" s="209"/>
      <c r="B14" s="131"/>
      <c r="C14" s="131"/>
      <c r="D14" s="131"/>
      <c r="E14" s="125"/>
      <c r="F14" s="97"/>
      <c r="G14" s="97"/>
      <c r="H14" s="97"/>
      <c r="I14" s="97"/>
      <c r="J14" s="97"/>
      <c r="K14" s="97"/>
      <c r="L14" s="108"/>
      <c r="M14" s="108"/>
      <c r="N14" s="108"/>
      <c r="O14" s="108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22" t="s">
        <v>113</v>
      </c>
      <c r="B15" s="202"/>
      <c r="C15" s="202"/>
      <c r="D15" s="202"/>
      <c r="E15" s="203"/>
      <c r="F15" s="97"/>
      <c r="G15" s="97"/>
      <c r="H15" s="97"/>
      <c r="I15" s="97"/>
      <c r="J15" s="97"/>
      <c r="K15" s="97"/>
      <c r="L15" s="108"/>
      <c r="M15" s="109"/>
      <c r="N15" s="109"/>
      <c r="O15" s="108"/>
      <c r="P15" s="31"/>
      <c r="Q15" s="31"/>
      <c r="R15" s="31"/>
      <c r="S15" s="31"/>
      <c r="T15" s="31"/>
      <c r="U15" s="31"/>
      <c r="V15" s="31"/>
    </row>
    <row r="16" spans="1:22" ht="15.75" hidden="1" thickBot="1" x14ac:dyDescent="0.3">
      <c r="A16" s="25"/>
      <c r="B16" s="156"/>
      <c r="C16" s="156"/>
      <c r="D16" s="156"/>
      <c r="E16" s="136"/>
      <c r="F16" s="97"/>
      <c r="G16" s="97"/>
      <c r="H16" s="97"/>
      <c r="I16" s="97"/>
      <c r="J16" s="97"/>
      <c r="K16" s="97"/>
      <c r="L16" s="109"/>
      <c r="M16" s="110"/>
      <c r="N16" s="109"/>
      <c r="O16" s="108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156"/>
      <c r="C17" s="156"/>
      <c r="D17" s="156"/>
      <c r="E17" s="136"/>
      <c r="F17" s="97"/>
      <c r="G17" s="97"/>
      <c r="H17" s="97"/>
      <c r="I17" s="97"/>
      <c r="J17" s="97"/>
      <c r="K17" s="97"/>
      <c r="L17" s="108"/>
      <c r="M17" s="108"/>
      <c r="N17" s="108"/>
      <c r="O17" s="108"/>
      <c r="P17" s="31"/>
      <c r="Q17" s="31"/>
      <c r="R17" s="31"/>
      <c r="S17" s="31"/>
      <c r="T17" s="31"/>
      <c r="U17" s="31"/>
      <c r="V17" s="31"/>
    </row>
    <row r="18" spans="1:22" ht="65.25" customHeight="1" thickBot="1" x14ac:dyDescent="0.3">
      <c r="A18" s="36" t="s">
        <v>11</v>
      </c>
      <c r="B18" s="37" t="s">
        <v>114</v>
      </c>
      <c r="C18" s="38" t="s">
        <v>115</v>
      </c>
      <c r="D18" s="38" t="s">
        <v>116</v>
      </c>
      <c r="E18" s="39" t="s">
        <v>117</v>
      </c>
      <c r="F18" s="97"/>
      <c r="G18" s="97"/>
      <c r="H18" s="97"/>
      <c r="I18" s="97"/>
      <c r="J18" s="97"/>
      <c r="K18" s="97"/>
      <c r="L18" s="108"/>
      <c r="M18" s="111"/>
      <c r="N18" s="111"/>
      <c r="O18" s="108"/>
      <c r="P18" s="31"/>
      <c r="Q18" s="31"/>
      <c r="R18" s="31"/>
      <c r="S18" s="31"/>
      <c r="T18" s="31"/>
      <c r="U18" s="31"/>
      <c r="V18" s="31"/>
    </row>
    <row r="19" spans="1:22" x14ac:dyDescent="0.25">
      <c r="A19" s="10" t="s">
        <v>13</v>
      </c>
      <c r="B19" s="40">
        <v>27136.75</v>
      </c>
      <c r="C19" s="41">
        <f>55292.6-11.24</f>
        <v>55281.36</v>
      </c>
      <c r="D19" s="40">
        <f>46575.6+263.34</f>
        <v>46838.939999999995</v>
      </c>
      <c r="E19" s="42">
        <f t="shared" ref="E19:E36" si="0">C19-D19+B19</f>
        <v>35579.170000000006</v>
      </c>
      <c r="F19" s="116">
        <f>C19+F21</f>
        <v>55282.840000000004</v>
      </c>
      <c r="G19" s="117">
        <f>100</f>
        <v>100</v>
      </c>
      <c r="H19" s="115" t="s">
        <v>64</v>
      </c>
      <c r="I19" s="97"/>
      <c r="J19" s="97"/>
      <c r="K19" s="97"/>
      <c r="L19" s="108"/>
      <c r="M19" s="108"/>
      <c r="N19" s="108"/>
      <c r="O19" s="108"/>
      <c r="P19" s="31"/>
      <c r="Q19" s="31"/>
      <c r="R19" s="31"/>
      <c r="S19" s="31"/>
      <c r="T19" s="31"/>
      <c r="U19" s="31"/>
      <c r="V19" s="31"/>
    </row>
    <row r="20" spans="1:22" hidden="1" x14ac:dyDescent="0.25">
      <c r="A20" s="13" t="s">
        <v>14</v>
      </c>
      <c r="B20" s="43"/>
      <c r="C20" s="44"/>
      <c r="D20" s="43"/>
      <c r="E20" s="45">
        <f t="shared" si="0"/>
        <v>0</v>
      </c>
      <c r="F20" s="116"/>
      <c r="G20" s="117"/>
      <c r="H20" s="115"/>
      <c r="I20" s="97"/>
      <c r="J20" s="97"/>
      <c r="K20" s="97"/>
      <c r="L20" s="108"/>
      <c r="M20" s="108"/>
      <c r="N20" s="108"/>
      <c r="O20" s="108"/>
      <c r="P20" s="31"/>
      <c r="Q20" s="31"/>
      <c r="R20" s="31"/>
      <c r="S20" s="31"/>
      <c r="T20" s="31"/>
      <c r="U20" s="31"/>
      <c r="V20" s="31"/>
    </row>
    <row r="21" spans="1:22" x14ac:dyDescent="0.25">
      <c r="A21" s="13" t="s">
        <v>15</v>
      </c>
      <c r="B21" s="43">
        <f>-124.13</f>
        <v>-124.13</v>
      </c>
      <c r="C21" s="44">
        <v>1.48</v>
      </c>
      <c r="D21" s="43"/>
      <c r="E21" s="45">
        <f t="shared" si="0"/>
        <v>-122.64999999999999</v>
      </c>
      <c r="F21" s="116">
        <f>C21</f>
        <v>1.48</v>
      </c>
      <c r="G21" s="118">
        <f>F21*G19/F19</f>
        <v>2.6771417676805316E-3</v>
      </c>
      <c r="H21" s="115" t="s">
        <v>64</v>
      </c>
      <c r="I21" s="97"/>
      <c r="J21" s="97"/>
      <c r="K21" s="97"/>
      <c r="L21" s="108"/>
      <c r="M21" s="108"/>
      <c r="N21" s="111"/>
      <c r="O21" s="108"/>
      <c r="P21" s="31"/>
      <c r="Q21" s="31"/>
      <c r="R21" s="31"/>
      <c r="S21" s="31"/>
      <c r="T21" s="31"/>
      <c r="U21" s="31"/>
      <c r="V21" s="31"/>
    </row>
    <row r="22" spans="1:22" hidden="1" x14ac:dyDescent="0.25">
      <c r="A22" s="13" t="s">
        <v>16</v>
      </c>
      <c r="B22" s="43"/>
      <c r="C22" s="44"/>
      <c r="D22" s="44"/>
      <c r="E22" s="45">
        <f t="shared" si="0"/>
        <v>0</v>
      </c>
      <c r="F22" s="97"/>
      <c r="G22" s="97"/>
      <c r="H22" s="97"/>
      <c r="I22" s="97"/>
      <c r="J22" s="97"/>
      <c r="K22" s="97"/>
      <c r="L22" s="108"/>
      <c r="M22" s="108"/>
      <c r="N22" s="108"/>
      <c r="O22" s="108"/>
      <c r="P22" s="31"/>
      <c r="Q22" s="31"/>
      <c r="R22" s="31"/>
      <c r="S22" s="31"/>
      <c r="T22" s="31"/>
      <c r="U22" s="31"/>
      <c r="V22" s="31"/>
    </row>
    <row r="23" spans="1:22" x14ac:dyDescent="0.25">
      <c r="A23" s="13" t="s">
        <v>17</v>
      </c>
      <c r="B23" s="44"/>
      <c r="C23" s="44"/>
      <c r="D23" s="44"/>
      <c r="E23" s="45">
        <f t="shared" si="0"/>
        <v>0</v>
      </c>
      <c r="F23" s="97"/>
      <c r="G23" s="97"/>
      <c r="H23" s="97"/>
      <c r="I23" s="97"/>
      <c r="J23" s="97"/>
      <c r="K23" s="97"/>
      <c r="L23" s="108"/>
      <c r="M23" s="108"/>
      <c r="N23" s="108"/>
      <c r="O23" s="108"/>
      <c r="P23" s="31"/>
      <c r="Q23" s="31"/>
      <c r="R23" s="31"/>
      <c r="S23" s="31"/>
      <c r="T23" s="31"/>
      <c r="U23" s="31"/>
      <c r="V23" s="31"/>
    </row>
    <row r="24" spans="1:22" hidden="1" x14ac:dyDescent="0.25">
      <c r="A24" s="13" t="s">
        <v>19</v>
      </c>
      <c r="B24" s="44"/>
      <c r="C24" s="44"/>
      <c r="D24" s="44"/>
      <c r="E24" s="45">
        <f t="shared" si="0"/>
        <v>0</v>
      </c>
      <c r="F24" s="97"/>
      <c r="G24" s="97"/>
      <c r="H24" s="97"/>
      <c r="I24" s="97"/>
      <c r="J24" s="97"/>
      <c r="K24" s="97"/>
      <c r="L24" s="108"/>
      <c r="M24" s="108"/>
      <c r="N24" s="108"/>
      <c r="O24" s="108"/>
      <c r="P24" s="31"/>
      <c r="Q24" s="31"/>
      <c r="R24" s="31"/>
      <c r="S24" s="31"/>
      <c r="T24" s="31"/>
      <c r="U24" s="31"/>
      <c r="V24" s="31"/>
    </row>
    <row r="25" spans="1:22" ht="15.75" thickBot="1" x14ac:dyDescent="0.3">
      <c r="A25" s="16" t="s">
        <v>20</v>
      </c>
      <c r="B25" s="46"/>
      <c r="C25" s="46"/>
      <c r="D25" s="46"/>
      <c r="E25" s="47">
        <f t="shared" si="0"/>
        <v>0</v>
      </c>
      <c r="F25" s="97"/>
      <c r="G25" s="97"/>
      <c r="H25" s="97"/>
      <c r="I25" s="97"/>
      <c r="J25" s="97"/>
      <c r="K25" s="97"/>
      <c r="L25" s="108"/>
      <c r="M25" s="108"/>
      <c r="N25" s="108"/>
      <c r="O25" s="108"/>
      <c r="P25" s="31"/>
      <c r="Q25" s="31"/>
      <c r="R25" s="31"/>
      <c r="S25" s="31"/>
      <c r="T25" s="31"/>
      <c r="U25" s="31"/>
      <c r="V25" s="31"/>
    </row>
    <row r="26" spans="1:22" ht="15.75" thickBot="1" x14ac:dyDescent="0.3">
      <c r="A26" s="48" t="s">
        <v>21</v>
      </c>
      <c r="B26" s="49">
        <f>B27+B28+B29+B31+B30</f>
        <v>47388.51</v>
      </c>
      <c r="C26" s="50">
        <f>C27+C28+C29+C31</f>
        <v>87983.459999999992</v>
      </c>
      <c r="D26" s="50">
        <f>D27+D28+D29+D31</f>
        <v>89299.12</v>
      </c>
      <c r="E26" s="51">
        <f>C26-D26+B26</f>
        <v>46072.85</v>
      </c>
      <c r="F26" s="97"/>
      <c r="G26" s="97"/>
      <c r="H26" s="97"/>
      <c r="I26" s="97"/>
      <c r="J26" s="97"/>
      <c r="K26" s="97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1:22" x14ac:dyDescent="0.25">
      <c r="A27" s="204" t="s">
        <v>22</v>
      </c>
      <c r="B27" s="40">
        <f>25914.8</f>
        <v>25914.799999999999</v>
      </c>
      <c r="C27" s="40">
        <f>61321.1-11622.62</f>
        <v>49698.479999999996</v>
      </c>
      <c r="D27" s="40">
        <f>48570.14+310.59</f>
        <v>48880.729999999996</v>
      </c>
      <c r="E27" s="42">
        <f t="shared" si="0"/>
        <v>26732.55</v>
      </c>
      <c r="F27" s="97"/>
      <c r="G27" s="97"/>
      <c r="H27" s="97"/>
      <c r="I27" s="97"/>
      <c r="J27" s="97"/>
      <c r="K27" s="97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spans="1:22" x14ac:dyDescent="0.25">
      <c r="A28" s="205" t="s">
        <v>23</v>
      </c>
      <c r="B28" s="43">
        <f>238.17+12681.03</f>
        <v>12919.2</v>
      </c>
      <c r="C28" s="43">
        <f>1923.18+25033.68+368.82-3772.31-6645.23-54.43-16.33-49.98</f>
        <v>16787.399999999998</v>
      </c>
      <c r="D28" s="43">
        <f>1004.15+19889.19+417.32+157.14+1.47</f>
        <v>21469.27</v>
      </c>
      <c r="E28" s="45">
        <f t="shared" si="0"/>
        <v>8237.3299999999981</v>
      </c>
      <c r="F28" s="97"/>
      <c r="G28" s="97"/>
      <c r="H28" s="97"/>
      <c r="I28" s="97"/>
      <c r="J28" s="97"/>
      <c r="K28" s="97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205" t="s">
        <v>24</v>
      </c>
      <c r="B29" s="43">
        <f>2983.68</f>
        <v>2983.68</v>
      </c>
      <c r="C29" s="43">
        <f>7996.76-146.66+52.74</f>
        <v>7902.84</v>
      </c>
      <c r="D29" s="43">
        <f>6732.72+85.73+28.39+0.21</f>
        <v>6847.05</v>
      </c>
      <c r="E29" s="45">
        <f t="shared" si="0"/>
        <v>4039.47</v>
      </c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hidden="1" x14ac:dyDescent="0.25">
      <c r="A30" s="205" t="s">
        <v>72</v>
      </c>
      <c r="B30" s="43"/>
      <c r="C30" s="43"/>
      <c r="D30" s="43"/>
      <c r="E30" s="45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205" t="s">
        <v>25</v>
      </c>
      <c r="B31" s="43">
        <f>5570.83</f>
        <v>5570.83</v>
      </c>
      <c r="C31" s="43">
        <f>13827.08-232.34</f>
        <v>13594.74</v>
      </c>
      <c r="D31" s="43">
        <f>11951.91+150.16</f>
        <v>12102.07</v>
      </c>
      <c r="E31" s="45">
        <f t="shared" si="0"/>
        <v>7063.5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hidden="1" x14ac:dyDescent="0.25">
      <c r="A32" s="205"/>
      <c r="B32" s="43"/>
      <c r="C32" s="44"/>
      <c r="D32" s="44"/>
      <c r="E32" s="45">
        <f t="shared" si="0"/>
        <v>0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13" t="s">
        <v>74</v>
      </c>
      <c r="B33" s="186">
        <f>11342.27</f>
        <v>11342.27</v>
      </c>
      <c r="C33" s="55">
        <f>32087.61+446.34</f>
        <v>32533.95</v>
      </c>
      <c r="D33" s="55">
        <f>27860.51+458.57</f>
        <v>28319.079999999998</v>
      </c>
      <c r="E33" s="45">
        <f t="shared" si="0"/>
        <v>15557.140000000003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13"/>
      <c r="B34" s="44"/>
      <c r="C34" s="44"/>
      <c r="D34" s="44"/>
      <c r="E34" s="45">
        <f>C34-D34+B34</f>
        <v>0</v>
      </c>
      <c r="J34" s="56"/>
      <c r="K34" s="56"/>
      <c r="L34" s="3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155</v>
      </c>
      <c r="B35" s="44">
        <f>1728.49</f>
        <v>1728.49</v>
      </c>
      <c r="C35" s="44">
        <f>2313.16+803.66-389.57-917.17-14.68</f>
        <v>1795.3999999999994</v>
      </c>
      <c r="D35" s="44">
        <f>2616.56+1474.35+60.3+12.61</f>
        <v>4163.82</v>
      </c>
      <c r="E35" s="45">
        <f t="shared" si="0"/>
        <v>-639.93000000000006</v>
      </c>
      <c r="J35" s="56"/>
      <c r="K35" s="56"/>
      <c r="L35" s="3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t="15.75" thickBot="1" x14ac:dyDescent="0.3">
      <c r="A36" s="16" t="s">
        <v>28</v>
      </c>
      <c r="B36" s="46"/>
      <c r="C36" s="46"/>
      <c r="D36" s="46"/>
      <c r="E36" s="47">
        <f t="shared" si="0"/>
        <v>0</v>
      </c>
      <c r="K36" s="3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ht="15.75" thickBot="1" x14ac:dyDescent="0.3">
      <c r="A37" s="57" t="s">
        <v>29</v>
      </c>
      <c r="B37" s="58">
        <f>B19+B20+B21+B22+B23+B24+B25+B26+B33+B34+B35+B36</f>
        <v>87471.890000000014</v>
      </c>
      <c r="C37" s="58">
        <f>C19+C20+C21+C22+C23+C24+C25+C26+C33+C34+C35+C36</f>
        <v>177595.65</v>
      </c>
      <c r="D37" s="58">
        <f>D19+D20+D21+D22+D23+D24+D25+D26+D33+D34+D35+D36</f>
        <v>168620.96</v>
      </c>
      <c r="E37" s="270">
        <f>E19+E20+E21+E22+E23+E24+E26+E33+E34+E35+E36+E25</f>
        <v>96446.58</v>
      </c>
      <c r="F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x14ac:dyDescent="0.25">
      <c r="A38" s="59"/>
      <c r="B38" s="60"/>
      <c r="C38" s="56"/>
      <c r="D38" s="56"/>
      <c r="E38" s="56"/>
      <c r="F38" s="125"/>
      <c r="G38" s="97"/>
      <c r="H38" s="97"/>
      <c r="I38" s="97"/>
      <c r="J38" s="97"/>
      <c r="K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9"/>
      <c r="B39" s="60"/>
      <c r="C39" s="56"/>
      <c r="D39" s="119"/>
      <c r="E39" s="119"/>
      <c r="F39" s="138"/>
      <c r="G39" s="115"/>
      <c r="H39" s="115"/>
      <c r="I39" s="137"/>
      <c r="J39" s="137"/>
    </row>
    <row r="40" spans="1:22" ht="15.75" thickBot="1" x14ac:dyDescent="0.3">
      <c r="A40" s="61" t="s">
        <v>30</v>
      </c>
      <c r="B40" s="62">
        <f>B42+B57+B58+B55+B60+B56+B59</f>
        <v>172047.19594494568</v>
      </c>
      <c r="C40" s="63" t="s">
        <v>31</v>
      </c>
      <c r="D40" s="119">
        <f>C37-B40-B60</f>
        <v>5282.8406096761655</v>
      </c>
      <c r="E40" s="272" t="s">
        <v>32</v>
      </c>
      <c r="F40" s="273">
        <f>5096881.69+20000+6411+3448+4517+151158.72+4598+11494.25+4600+19078+7905+18316.38+1149.44+163169.97</f>
        <v>5512727.4500000002</v>
      </c>
      <c r="G40" s="274">
        <f>F40/F46*C7</f>
        <v>8134.7473968067225</v>
      </c>
      <c r="H40" s="115"/>
      <c r="I40" s="137"/>
      <c r="J40" s="137"/>
    </row>
    <row r="41" spans="1:22" x14ac:dyDescent="0.25">
      <c r="A41" s="59" t="s">
        <v>192</v>
      </c>
      <c r="B41" s="183">
        <f>33905.9</f>
        <v>33905.9</v>
      </c>
      <c r="C41" s="66"/>
      <c r="D41" s="119"/>
      <c r="E41" s="272" t="s">
        <v>33</v>
      </c>
      <c r="F41" s="273">
        <f>1181202.5+4180+859.2+720.63+944.05+1647.45+31592.16+960.98+2402.31+929.2+3928.41+3828.02+240.22+31515.96</f>
        <v>1264951.0899999996</v>
      </c>
      <c r="G41" s="274">
        <f>F41/F46*C7</f>
        <v>1866.6000958319321</v>
      </c>
      <c r="H41" s="115"/>
      <c r="I41" s="137"/>
      <c r="J41" s="137"/>
    </row>
    <row r="42" spans="1:22" x14ac:dyDescent="0.25">
      <c r="A42" s="67" t="s">
        <v>34</v>
      </c>
      <c r="B42" s="160">
        <f>B43+B44+B46+B47+B48+B49+B50+B51+B52+B53+B54+B45</f>
        <v>90045.846421136142</v>
      </c>
      <c r="C42" s="69" t="s">
        <v>31</v>
      </c>
      <c r="D42" s="119"/>
      <c r="E42" s="272" t="s">
        <v>35</v>
      </c>
      <c r="F42" s="273">
        <v>180000</v>
      </c>
      <c r="G42" s="274">
        <f>F42/F46*C7</f>
        <v>265.61344537815125</v>
      </c>
      <c r="H42" s="115"/>
      <c r="I42" s="137"/>
      <c r="J42" s="137"/>
    </row>
    <row r="43" spans="1:22" x14ac:dyDescent="0.25">
      <c r="A43" s="70" t="s">
        <v>76</v>
      </c>
      <c r="B43" s="184">
        <v>48507.6</v>
      </c>
      <c r="C43" s="71" t="s">
        <v>31</v>
      </c>
      <c r="D43" s="119"/>
      <c r="E43" s="272" t="s">
        <v>18</v>
      </c>
      <c r="F43" s="273">
        <f>299837.27</f>
        <v>299837.27</v>
      </c>
      <c r="G43" s="274">
        <f>F43/F46*C7</f>
        <v>442.44894631932777</v>
      </c>
      <c r="H43" s="115"/>
      <c r="I43" s="137"/>
      <c r="J43" s="137"/>
    </row>
    <row r="44" spans="1:22" x14ac:dyDescent="0.25">
      <c r="A44" s="72" t="s">
        <v>37</v>
      </c>
      <c r="B44" s="184">
        <f>G40+G41</f>
        <v>10001.347492638655</v>
      </c>
      <c r="C44" s="71" t="s">
        <v>31</v>
      </c>
      <c r="D44" s="119"/>
      <c r="E44" s="275" t="s">
        <v>38</v>
      </c>
      <c r="F44" s="273">
        <f>7000+1260+30890+4200</f>
        <v>43350</v>
      </c>
      <c r="G44" s="274">
        <f>F44/F46*C7</f>
        <v>63.968571428571423</v>
      </c>
      <c r="H44" s="115"/>
      <c r="I44" s="137"/>
      <c r="J44" s="137"/>
    </row>
    <row r="45" spans="1:22" x14ac:dyDescent="0.25">
      <c r="A45" s="72" t="s">
        <v>39</v>
      </c>
      <c r="B45" s="184">
        <v>10080</v>
      </c>
      <c r="C45" s="71" t="s">
        <v>31</v>
      </c>
      <c r="D45" s="119"/>
      <c r="E45" s="274" t="s">
        <v>12</v>
      </c>
      <c r="F45" s="273">
        <f>8022857.59-F44</f>
        <v>7979507.5899999999</v>
      </c>
      <c r="G45" s="274">
        <f>F45/F46*C7</f>
        <v>11774.802796672268</v>
      </c>
      <c r="H45" s="115"/>
      <c r="I45" s="137"/>
      <c r="J45" s="137"/>
    </row>
    <row r="46" spans="1:22" x14ac:dyDescent="0.25">
      <c r="A46" s="70" t="s">
        <v>40</v>
      </c>
      <c r="B46" s="184">
        <f>G44</f>
        <v>63.968571428571423</v>
      </c>
      <c r="C46" s="71" t="s">
        <v>31</v>
      </c>
      <c r="D46" s="119"/>
      <c r="E46" s="276" t="s">
        <v>41</v>
      </c>
      <c r="F46" s="277">
        <f>119000</f>
        <v>119000</v>
      </c>
      <c r="G46" s="274"/>
      <c r="H46" s="115"/>
      <c r="I46" s="137"/>
      <c r="J46" s="137"/>
    </row>
    <row r="47" spans="1:22" x14ac:dyDescent="0.25">
      <c r="A47" s="70" t="s">
        <v>42</v>
      </c>
      <c r="B47" s="184">
        <f>G43</f>
        <v>442.44894631932777</v>
      </c>
      <c r="C47" s="71" t="s">
        <v>31</v>
      </c>
      <c r="D47" s="119"/>
      <c r="E47" s="278"/>
      <c r="F47" s="273"/>
      <c r="G47" s="274"/>
      <c r="H47" s="115"/>
      <c r="I47" s="137"/>
      <c r="J47" s="137"/>
    </row>
    <row r="48" spans="1:22" x14ac:dyDescent="0.25">
      <c r="A48" s="70" t="s">
        <v>141</v>
      </c>
      <c r="B48" s="184">
        <f>G45</f>
        <v>11774.802796672268</v>
      </c>
      <c r="C48" s="71" t="s">
        <v>31</v>
      </c>
      <c r="D48" s="119"/>
      <c r="E48" s="279" t="s">
        <v>70</v>
      </c>
      <c r="F48" s="277">
        <f>1910.32</f>
        <v>1910.32</v>
      </c>
      <c r="G48" s="279">
        <f>F48/F46*C7</f>
        <v>2.8189259831932771</v>
      </c>
      <c r="H48" s="115"/>
      <c r="I48" s="137"/>
      <c r="J48" s="137"/>
    </row>
    <row r="49" spans="1:11" x14ac:dyDescent="0.25">
      <c r="A49" s="70" t="s">
        <v>44</v>
      </c>
      <c r="B49" s="184">
        <f>G50</f>
        <v>24.244014789915962</v>
      </c>
      <c r="C49" s="71" t="s">
        <v>31</v>
      </c>
      <c r="D49" s="119"/>
      <c r="E49" s="119"/>
      <c r="F49" s="280"/>
      <c r="G49" s="279"/>
      <c r="H49" s="115"/>
      <c r="I49" s="137"/>
      <c r="J49" s="137"/>
    </row>
    <row r="50" spans="1:11" x14ac:dyDescent="0.25">
      <c r="A50" s="70" t="s">
        <v>45</v>
      </c>
      <c r="B50" s="184">
        <f>G48</f>
        <v>2.8189259831932771</v>
      </c>
      <c r="C50" s="71" t="s">
        <v>31</v>
      </c>
      <c r="D50" s="119"/>
      <c r="E50" s="119" t="s">
        <v>125</v>
      </c>
      <c r="F50" s="280">
        <f>16429.6</f>
        <v>16429.599999999999</v>
      </c>
      <c r="G50" s="279">
        <f>F50/F46*C7</f>
        <v>24.244014789915962</v>
      </c>
      <c r="H50" s="115"/>
      <c r="I50" s="137"/>
      <c r="J50" s="137"/>
      <c r="K50" s="137"/>
    </row>
    <row r="51" spans="1:11" x14ac:dyDescent="0.25">
      <c r="A51" s="70" t="s">
        <v>46</v>
      </c>
      <c r="B51" s="184">
        <f>4787.27</f>
        <v>4787.2700000000004</v>
      </c>
      <c r="C51" s="71" t="s">
        <v>31</v>
      </c>
      <c r="D51" s="119"/>
      <c r="E51" s="119"/>
      <c r="F51" s="120"/>
      <c r="G51" s="121"/>
      <c r="H51" s="115"/>
      <c r="I51" s="137"/>
      <c r="J51" s="137"/>
      <c r="K51" s="137"/>
    </row>
    <row r="52" spans="1:11" x14ac:dyDescent="0.25">
      <c r="A52" s="70" t="s">
        <v>47</v>
      </c>
      <c r="B52" s="184"/>
      <c r="C52" s="71" t="s">
        <v>31</v>
      </c>
      <c r="D52" s="119"/>
      <c r="E52" s="119"/>
      <c r="F52" s="120"/>
      <c r="G52" s="121"/>
      <c r="H52" s="115"/>
      <c r="I52" s="137"/>
      <c r="J52" s="137"/>
      <c r="K52" s="137"/>
    </row>
    <row r="53" spans="1:11" x14ac:dyDescent="0.25">
      <c r="A53" s="70" t="s">
        <v>48</v>
      </c>
      <c r="B53" s="184">
        <v>646.08000000000004</v>
      </c>
      <c r="C53" s="71" t="s">
        <v>31</v>
      </c>
      <c r="D53" s="119"/>
      <c r="E53" s="119"/>
      <c r="F53" s="138"/>
      <c r="G53" s="115"/>
      <c r="H53" s="115"/>
      <c r="I53" s="137"/>
      <c r="J53" s="137"/>
      <c r="K53" s="137"/>
    </row>
    <row r="54" spans="1:11" x14ac:dyDescent="0.25">
      <c r="A54" s="70" t="s">
        <v>49</v>
      </c>
      <c r="B54" s="184">
        <f>(B44+B45+B46+B47+B48+B50+B51+B52)*0.1</f>
        <v>3715.2656733042008</v>
      </c>
      <c r="C54" s="71" t="s">
        <v>31</v>
      </c>
      <c r="D54" s="119"/>
      <c r="E54" s="119"/>
      <c r="F54" s="138"/>
      <c r="G54" s="115"/>
      <c r="H54" s="115"/>
      <c r="I54" s="137"/>
      <c r="J54" s="137"/>
      <c r="K54" s="137"/>
    </row>
    <row r="55" spans="1:11" x14ac:dyDescent="0.25">
      <c r="A55" s="67" t="s">
        <v>50</v>
      </c>
      <c r="B55" s="160">
        <f>C75</f>
        <v>0</v>
      </c>
      <c r="C55" s="69" t="s">
        <v>31</v>
      </c>
      <c r="D55" s="119"/>
      <c r="E55" s="119"/>
      <c r="F55" s="138"/>
      <c r="G55" s="115"/>
      <c r="H55" s="115"/>
      <c r="I55" s="137"/>
      <c r="J55" s="137"/>
      <c r="K55" s="137"/>
    </row>
    <row r="56" spans="1:11" x14ac:dyDescent="0.25">
      <c r="A56" s="67" t="s">
        <v>51</v>
      </c>
      <c r="B56" s="160"/>
      <c r="C56" s="69" t="s">
        <v>31</v>
      </c>
      <c r="D56" s="56"/>
      <c r="E56" s="56"/>
      <c r="F56" s="3"/>
      <c r="H56" s="115"/>
      <c r="I56" s="137"/>
      <c r="J56" s="137"/>
      <c r="K56" s="137"/>
    </row>
    <row r="57" spans="1:11" x14ac:dyDescent="0.25">
      <c r="A57" s="67" t="s">
        <v>52</v>
      </c>
      <c r="B57" s="160">
        <f>12135.68+35829.57+3550.67+806.02</f>
        <v>52321.939999999995</v>
      </c>
      <c r="C57" s="69" t="s">
        <v>31</v>
      </c>
      <c r="D57" s="56"/>
      <c r="E57" s="56"/>
      <c r="F57" s="3"/>
      <c r="H57" s="115"/>
      <c r="I57" s="137"/>
      <c r="J57" s="137"/>
      <c r="K57" s="137"/>
    </row>
    <row r="58" spans="1:11" x14ac:dyDescent="0.25">
      <c r="A58" s="67" t="s">
        <v>53</v>
      </c>
      <c r="B58" s="160">
        <f>27653.6</f>
        <v>27653.599999999999</v>
      </c>
      <c r="C58" s="69" t="s">
        <v>54</v>
      </c>
      <c r="D58" s="56"/>
      <c r="E58" s="56"/>
      <c r="F58" s="3"/>
      <c r="H58" s="115"/>
      <c r="I58" s="137"/>
      <c r="J58" s="137"/>
      <c r="K58" s="137"/>
    </row>
    <row r="59" spans="1:11" x14ac:dyDescent="0.25">
      <c r="A59" s="133" t="s">
        <v>154</v>
      </c>
      <c r="B59" s="134">
        <f>C35/1.02</f>
        <v>1760.1960784313719</v>
      </c>
      <c r="C59" s="135"/>
      <c r="D59" s="56"/>
      <c r="E59" s="56"/>
      <c r="F59" s="3"/>
      <c r="H59" s="115"/>
      <c r="I59" s="137"/>
      <c r="J59" s="137"/>
      <c r="K59" s="137"/>
    </row>
    <row r="60" spans="1:11" ht="15.75" thickBot="1" x14ac:dyDescent="0.3">
      <c r="A60" s="73" t="s">
        <v>78</v>
      </c>
      <c r="B60" s="74">
        <f>G42</f>
        <v>265.61344537815125</v>
      </c>
      <c r="C60" s="75" t="s">
        <v>31</v>
      </c>
      <c r="D60" s="56"/>
      <c r="E60" s="56"/>
      <c r="F60" s="3"/>
      <c r="H60" s="115"/>
      <c r="I60" s="137"/>
      <c r="J60" s="137"/>
      <c r="K60" s="137"/>
    </row>
    <row r="61" spans="1:11" x14ac:dyDescent="0.25">
      <c r="A61" s="59"/>
      <c r="B61" s="60"/>
      <c r="C61" s="56"/>
      <c r="D61" s="56"/>
      <c r="E61" s="56"/>
      <c r="F61" s="3"/>
      <c r="H61" s="115"/>
      <c r="I61" s="137"/>
      <c r="J61" s="137"/>
      <c r="K61" s="137"/>
    </row>
    <row r="62" spans="1:11" x14ac:dyDescent="0.25">
      <c r="A62" s="59" t="s">
        <v>142</v>
      </c>
      <c r="B62" s="3">
        <f>C37+B41-B40</f>
        <v>39454.354055054311</v>
      </c>
      <c r="C62" s="56" t="s">
        <v>31</v>
      </c>
      <c r="D62" s="56"/>
      <c r="E62" s="56"/>
      <c r="F62" s="3"/>
      <c r="H62" s="115"/>
      <c r="I62" s="137"/>
      <c r="J62" s="137"/>
      <c r="K62" s="137"/>
    </row>
    <row r="63" spans="1:11" x14ac:dyDescent="0.25">
      <c r="A63" s="59" t="s">
        <v>130</v>
      </c>
      <c r="B63" s="2">
        <f>B64+B65+B66+B67+B68+B69</f>
        <v>5548.4540550543388</v>
      </c>
      <c r="C63" s="56" t="s">
        <v>31</v>
      </c>
      <c r="D63" s="56"/>
      <c r="E63" s="56"/>
      <c r="F63" s="3"/>
      <c r="H63" s="115"/>
      <c r="I63" s="137"/>
      <c r="J63" s="137"/>
      <c r="K63" s="137"/>
    </row>
    <row r="64" spans="1:11" x14ac:dyDescent="0.25">
      <c r="A64" s="77" t="s">
        <v>56</v>
      </c>
      <c r="B64" s="78">
        <f>C19-B42-B60</f>
        <v>-35030.099866514291</v>
      </c>
      <c r="C64" s="56" t="s">
        <v>31</v>
      </c>
      <c r="D64" s="56"/>
      <c r="E64" s="56"/>
      <c r="F64" s="3"/>
      <c r="H64" s="115"/>
      <c r="I64" s="137"/>
      <c r="J64" s="137"/>
      <c r="K64" s="137"/>
    </row>
    <row r="65" spans="1:11" x14ac:dyDescent="0.25">
      <c r="A65" s="77" t="s">
        <v>57</v>
      </c>
      <c r="B65" s="78">
        <f>C21-B55</f>
        <v>1.48</v>
      </c>
      <c r="C65" s="56" t="s">
        <v>31</v>
      </c>
      <c r="D65" s="56"/>
      <c r="E65" s="56"/>
      <c r="F65" s="3"/>
      <c r="H65" s="115"/>
      <c r="I65" s="137"/>
      <c r="J65" s="137"/>
      <c r="K65" s="137"/>
    </row>
    <row r="66" spans="1:11" x14ac:dyDescent="0.25">
      <c r="A66" s="77" t="s">
        <v>58</v>
      </c>
      <c r="B66" s="78">
        <f>C25-B56</f>
        <v>0</v>
      </c>
      <c r="C66" s="56" t="s">
        <v>31</v>
      </c>
      <c r="D66" s="56"/>
      <c r="E66" s="56"/>
      <c r="F66" s="3"/>
      <c r="H66" s="115"/>
      <c r="I66" s="137"/>
      <c r="J66" s="137"/>
      <c r="K66" s="137"/>
    </row>
    <row r="67" spans="1:11" x14ac:dyDescent="0.25">
      <c r="A67" s="77" t="s">
        <v>59</v>
      </c>
      <c r="B67" s="78">
        <f>C26-B57</f>
        <v>35661.519999999997</v>
      </c>
      <c r="C67" s="56" t="s">
        <v>31</v>
      </c>
      <c r="D67" s="56"/>
      <c r="E67" s="56"/>
      <c r="F67" s="3"/>
      <c r="H67" s="115"/>
      <c r="I67" s="137"/>
      <c r="J67" s="137"/>
      <c r="K67" s="137"/>
    </row>
    <row r="68" spans="1:11" x14ac:dyDescent="0.25">
      <c r="A68" s="77" t="s">
        <v>60</v>
      </c>
      <c r="B68" s="78">
        <f>C33-B58</f>
        <v>4880.3500000000022</v>
      </c>
      <c r="C68" s="56" t="s">
        <v>31</v>
      </c>
      <c r="D68" s="56"/>
      <c r="E68" s="56"/>
      <c r="F68" s="3"/>
      <c r="H68" s="115"/>
      <c r="I68" s="137"/>
      <c r="J68" s="137"/>
      <c r="K68" s="137"/>
    </row>
    <row r="69" spans="1:11" x14ac:dyDescent="0.25">
      <c r="A69" s="77" t="s">
        <v>157</v>
      </c>
      <c r="B69" s="78">
        <f>C35-B59</f>
        <v>35.203921568627493</v>
      </c>
      <c r="C69" s="56" t="s">
        <v>31</v>
      </c>
      <c r="H69" s="115"/>
      <c r="I69" s="137"/>
      <c r="J69" s="137"/>
      <c r="K69" s="137"/>
    </row>
    <row r="70" spans="1:11" ht="15.75" thickBot="1" x14ac:dyDescent="0.3">
      <c r="A70" s="77"/>
      <c r="B70" s="78"/>
      <c r="C70" s="56"/>
      <c r="D70" s="98"/>
      <c r="E70" s="99"/>
      <c r="F70" s="100"/>
      <c r="G70" s="97"/>
      <c r="H70" s="115"/>
      <c r="I70" s="137"/>
      <c r="J70" s="137"/>
      <c r="K70" s="137"/>
    </row>
    <row r="71" spans="1:11" ht="15.75" thickBot="1" x14ac:dyDescent="0.3">
      <c r="A71" s="128" t="s">
        <v>136</v>
      </c>
      <c r="B71" s="129"/>
      <c r="C71" s="130"/>
      <c r="D71" s="101"/>
      <c r="E71" s="101"/>
      <c r="F71" s="101"/>
      <c r="G71" s="97"/>
      <c r="H71" s="115"/>
      <c r="I71" s="137"/>
      <c r="J71" s="137"/>
      <c r="K71" s="137"/>
    </row>
    <row r="72" spans="1:11" ht="51.75" thickBot="1" x14ac:dyDescent="0.3">
      <c r="A72" s="79" t="s">
        <v>80</v>
      </c>
      <c r="B72" s="80" t="s">
        <v>61</v>
      </c>
      <c r="C72" s="81" t="s">
        <v>67</v>
      </c>
      <c r="D72" s="102"/>
      <c r="E72" s="103"/>
      <c r="F72" s="104"/>
      <c r="G72" s="97"/>
      <c r="H72" s="115"/>
      <c r="I72" s="137"/>
      <c r="J72" s="137"/>
      <c r="K72" s="137"/>
    </row>
    <row r="73" spans="1:11" x14ac:dyDescent="0.25">
      <c r="A73" s="82" t="s">
        <v>62</v>
      </c>
      <c r="B73" s="113" t="s">
        <v>31</v>
      </c>
      <c r="C73" s="114" t="s">
        <v>31</v>
      </c>
      <c r="D73" s="102"/>
      <c r="E73" s="103"/>
      <c r="F73" s="104"/>
      <c r="G73" s="97"/>
      <c r="H73" s="115"/>
      <c r="I73" s="137"/>
      <c r="J73" s="137"/>
      <c r="K73" s="137"/>
    </row>
    <row r="74" spans="1:11" ht="15.75" thickBot="1" x14ac:dyDescent="0.3">
      <c r="A74" s="53"/>
      <c r="B74" s="43"/>
      <c r="C74" s="107"/>
      <c r="D74" s="102"/>
      <c r="E74" s="103"/>
      <c r="F74" s="104"/>
      <c r="G74" s="97"/>
      <c r="H74" s="115"/>
      <c r="I74" s="137"/>
      <c r="J74" s="137"/>
      <c r="K74" s="137"/>
    </row>
    <row r="75" spans="1:11" ht="15.75" thickBot="1" x14ac:dyDescent="0.3">
      <c r="A75" s="83" t="s">
        <v>5</v>
      </c>
      <c r="B75" s="84">
        <f>B74</f>
        <v>0</v>
      </c>
      <c r="C75" s="85">
        <f>C74</f>
        <v>0</v>
      </c>
      <c r="D75" s="105"/>
      <c r="E75" s="103"/>
      <c r="F75" s="104"/>
      <c r="G75" s="97"/>
      <c r="H75" s="115"/>
      <c r="I75" s="137"/>
      <c r="J75" s="137"/>
      <c r="K75" s="137"/>
    </row>
    <row r="76" spans="1:11" x14ac:dyDescent="0.25">
      <c r="A76" s="31"/>
      <c r="B76" s="33"/>
      <c r="C76" s="87"/>
      <c r="D76" s="105"/>
      <c r="E76" s="103"/>
      <c r="F76" s="104"/>
      <c r="G76" s="97"/>
      <c r="H76" s="115"/>
      <c r="I76" s="137"/>
      <c r="J76" s="137"/>
      <c r="K76" s="137"/>
    </row>
    <row r="77" spans="1:11" x14ac:dyDescent="0.25">
      <c r="A77" s="164" t="s">
        <v>132</v>
      </c>
      <c r="B77" s="149"/>
      <c r="C77" s="215"/>
      <c r="D77" s="216"/>
      <c r="E77" s="89"/>
      <c r="H77" s="115"/>
      <c r="I77" s="137"/>
      <c r="J77" s="137"/>
      <c r="K77" s="137"/>
    </row>
    <row r="78" spans="1:11" x14ac:dyDescent="0.25">
      <c r="A78" s="217"/>
      <c r="B78" s="149"/>
      <c r="C78" s="215"/>
      <c r="D78" s="218"/>
      <c r="E78" s="89"/>
      <c r="H78" s="115"/>
      <c r="I78" s="137"/>
      <c r="J78" s="137"/>
      <c r="K78" s="137"/>
    </row>
    <row r="79" spans="1:11" x14ac:dyDescent="0.25">
      <c r="A79" s="165" t="s">
        <v>133</v>
      </c>
      <c r="B79" s="149" t="s">
        <v>134</v>
      </c>
      <c r="C79" s="219"/>
      <c r="D79" s="216"/>
      <c r="E79" s="56"/>
      <c r="H79" s="115"/>
      <c r="I79" s="137"/>
      <c r="J79" s="137"/>
      <c r="K79" s="137"/>
    </row>
    <row r="80" spans="1:11" x14ac:dyDescent="0.25">
      <c r="A80" s="165"/>
      <c r="B80" s="149"/>
      <c r="C80" s="219"/>
      <c r="D80" s="216"/>
      <c r="E80" s="56"/>
    </row>
    <row r="81" spans="1:6" x14ac:dyDescent="0.25">
      <c r="A81" s="220"/>
      <c r="B81" s="221"/>
      <c r="C81" s="219"/>
      <c r="D81" s="150"/>
      <c r="E81" s="89"/>
    </row>
    <row r="82" spans="1:6" ht="15.75" x14ac:dyDescent="0.25">
      <c r="A82" s="223" t="s">
        <v>63</v>
      </c>
      <c r="B82" s="224" t="s">
        <v>134</v>
      </c>
      <c r="C82" s="225"/>
      <c r="D82" s="226" t="s">
        <v>66</v>
      </c>
      <c r="E82" s="89"/>
    </row>
    <row r="83" spans="1:6" x14ac:dyDescent="0.25">
      <c r="A83" s="222"/>
      <c r="B83" s="149"/>
      <c r="C83" s="215"/>
      <c r="D83" s="216"/>
      <c r="E83" s="89"/>
    </row>
    <row r="84" spans="1:6" x14ac:dyDescent="0.25">
      <c r="A84" s="95"/>
      <c r="B84" s="96"/>
      <c r="C84" s="89"/>
      <c r="D84" s="93"/>
      <c r="E84" s="89"/>
    </row>
    <row r="85" spans="1:6" x14ac:dyDescent="0.25">
      <c r="A85" s="95"/>
      <c r="B85" s="96"/>
      <c r="C85" s="89"/>
      <c r="D85" s="93"/>
      <c r="E85" s="89"/>
      <c r="F85" s="94"/>
    </row>
    <row r="86" spans="1:6" x14ac:dyDescent="0.25">
      <c r="A86" s="31"/>
      <c r="B86" s="33"/>
      <c r="C86" s="89"/>
      <c r="D86" s="93"/>
      <c r="E86" s="89"/>
    </row>
    <row r="87" spans="1:6" x14ac:dyDescent="0.25">
      <c r="A87" s="31"/>
      <c r="B87" s="33"/>
      <c r="C87" s="56"/>
      <c r="D87" s="87"/>
      <c r="E87" s="89"/>
    </row>
    <row r="88" spans="1:6" x14ac:dyDescent="0.25">
      <c r="A88" s="19"/>
      <c r="B88" s="20"/>
      <c r="C88" s="89"/>
      <c r="D88" s="87"/>
      <c r="E88" s="89"/>
    </row>
    <row r="89" spans="1:6" x14ac:dyDescent="0.25">
      <c r="A89" s="31"/>
      <c r="B89" s="33"/>
      <c r="C89" s="89"/>
      <c r="D89" s="56"/>
      <c r="E89" s="56"/>
      <c r="F89" s="3"/>
    </row>
    <row r="90" spans="1:6" x14ac:dyDescent="0.25">
      <c r="A90" s="31"/>
      <c r="B90" s="33"/>
      <c r="C90" s="33"/>
      <c r="D90" s="56"/>
      <c r="E90" s="89"/>
    </row>
    <row r="91" spans="1:6" x14ac:dyDescent="0.25">
      <c r="A91" s="31"/>
      <c r="B91" s="33"/>
      <c r="C91" s="33"/>
      <c r="D91" s="56"/>
      <c r="E91" s="56"/>
    </row>
    <row r="92" spans="1:6" x14ac:dyDescent="0.25">
      <c r="A92" s="31"/>
      <c r="B92" s="33"/>
      <c r="C92" s="33"/>
      <c r="D92" s="89"/>
      <c r="E92" s="89"/>
    </row>
    <row r="93" spans="1:6" x14ac:dyDescent="0.25">
      <c r="A93" s="31"/>
      <c r="B93" s="33"/>
      <c r="D93" s="89"/>
      <c r="E93" s="89"/>
    </row>
    <row r="94" spans="1:6" x14ac:dyDescent="0.25">
      <c r="D94" s="89"/>
      <c r="E94" s="89"/>
    </row>
    <row r="95" spans="1:6" x14ac:dyDescent="0.25">
      <c r="D95" s="89"/>
      <c r="E95" s="89"/>
    </row>
    <row r="96" spans="1:6" x14ac:dyDescent="0.25">
      <c r="D96" s="89"/>
      <c r="E96" s="89"/>
    </row>
    <row r="97" spans="2:6" x14ac:dyDescent="0.25">
      <c r="D97" s="89"/>
      <c r="E97" s="89"/>
    </row>
    <row r="98" spans="2:6" x14ac:dyDescent="0.25">
      <c r="B98"/>
      <c r="C98"/>
      <c r="D98" s="56"/>
      <c r="E98" s="56"/>
      <c r="F98" s="3"/>
    </row>
    <row r="99" spans="2:6" x14ac:dyDescent="0.25">
      <c r="B99"/>
      <c r="C99"/>
      <c r="D99" s="89"/>
      <c r="E99" s="89"/>
      <c r="F99" s="3"/>
    </row>
    <row r="100" spans="2:6" x14ac:dyDescent="0.25">
      <c r="B100"/>
      <c r="C100"/>
      <c r="D100" s="89"/>
      <c r="E100" s="89"/>
    </row>
    <row r="101" spans="2:6" x14ac:dyDescent="0.25">
      <c r="B101"/>
      <c r="C101"/>
      <c r="D101" s="33"/>
      <c r="E101" s="33"/>
    </row>
    <row r="102" spans="2:6" x14ac:dyDescent="0.25">
      <c r="B102"/>
      <c r="C102"/>
      <c r="D102" s="33"/>
      <c r="E102" s="33"/>
    </row>
    <row r="103" spans="2:6" x14ac:dyDescent="0.25">
      <c r="D103" s="33"/>
      <c r="E103" s="33"/>
    </row>
  </sheetData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V115"/>
  <sheetViews>
    <sheetView view="pageBreakPreview" topLeftCell="A62" zoomScale="60" zoomScaleNormal="100" workbookViewId="0">
      <selection activeCell="C81" sqref="C81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137</v>
      </c>
      <c r="B2" s="2"/>
      <c r="C2" s="2"/>
      <c r="D2" s="2"/>
    </row>
    <row r="3" spans="1:22" ht="15.75" thickBot="1" x14ac:dyDescent="0.3">
      <c r="A3" s="1"/>
      <c r="B3" s="2"/>
      <c r="C3" s="2"/>
      <c r="D3" s="2"/>
      <c r="L3" s="108"/>
      <c r="M3" s="108"/>
      <c r="N3" s="108"/>
      <c r="O3" s="108"/>
    </row>
    <row r="4" spans="1:22" ht="15.75" thickBot="1" x14ac:dyDescent="0.3">
      <c r="A4" s="22" t="s">
        <v>0</v>
      </c>
      <c r="B4" s="126"/>
      <c r="C4" s="126"/>
      <c r="D4" s="127"/>
      <c r="L4" s="108"/>
      <c r="M4" s="108"/>
      <c r="N4" s="108"/>
      <c r="O4" s="108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L5" s="108"/>
      <c r="M5" s="108"/>
      <c r="N5" s="108"/>
      <c r="O5" s="108"/>
    </row>
    <row r="6" spans="1:22" x14ac:dyDescent="0.25">
      <c r="A6" s="10" t="s">
        <v>92</v>
      </c>
      <c r="B6" s="11"/>
      <c r="C6" s="158">
        <v>840.8</v>
      </c>
      <c r="D6" s="159">
        <v>23</v>
      </c>
      <c r="L6" s="108"/>
      <c r="M6" s="108"/>
      <c r="N6" s="108"/>
      <c r="O6" s="108"/>
    </row>
    <row r="7" spans="1:22" x14ac:dyDescent="0.25">
      <c r="A7" s="13"/>
      <c r="B7" s="14"/>
      <c r="C7" s="160"/>
      <c r="D7" s="161"/>
      <c r="L7" s="108"/>
      <c r="M7" s="108"/>
      <c r="N7" s="108"/>
      <c r="O7" s="108"/>
    </row>
    <row r="8" spans="1:22" ht="15.75" thickBot="1" x14ac:dyDescent="0.3">
      <c r="A8" s="16" t="s">
        <v>5</v>
      </c>
      <c r="B8" s="17"/>
      <c r="C8" s="162">
        <f>C6+C7</f>
        <v>840.8</v>
      </c>
      <c r="D8" s="163">
        <f>D6</f>
        <v>23</v>
      </c>
      <c r="L8" s="108"/>
      <c r="M8" s="108"/>
      <c r="N8" s="108"/>
      <c r="O8" s="108"/>
    </row>
    <row r="9" spans="1:22" ht="15.75" thickBot="1" x14ac:dyDescent="0.3">
      <c r="A9" s="19"/>
      <c r="B9" s="20"/>
      <c r="C9" s="20"/>
      <c r="D9" s="21"/>
      <c r="L9" s="108"/>
      <c r="M9" s="108"/>
      <c r="N9" s="108"/>
      <c r="O9" s="108"/>
    </row>
    <row r="10" spans="1:22" ht="15.75" thickBot="1" x14ac:dyDescent="0.3">
      <c r="A10" s="22" t="s">
        <v>112</v>
      </c>
      <c r="B10" s="23"/>
      <c r="C10" s="23"/>
      <c r="D10" s="24" t="s">
        <v>6</v>
      </c>
      <c r="F10" s="97"/>
      <c r="G10" s="97"/>
      <c r="H10" s="97"/>
      <c r="I10" s="97"/>
      <c r="J10" s="97"/>
      <c r="K10" s="97"/>
      <c r="L10" s="108"/>
      <c r="M10" s="108"/>
      <c r="N10" s="108"/>
      <c r="O10" s="108"/>
    </row>
    <row r="11" spans="1:22" x14ac:dyDescent="0.25">
      <c r="A11" s="25" t="s">
        <v>7</v>
      </c>
      <c r="B11" s="20"/>
      <c r="C11" s="20"/>
      <c r="D11" s="27">
        <v>13.95</v>
      </c>
      <c r="F11" s="97"/>
      <c r="G11" s="97"/>
      <c r="H11" s="97"/>
      <c r="I11" s="97"/>
      <c r="J11" s="97"/>
      <c r="K11" s="97"/>
      <c r="L11" s="108"/>
      <c r="M11" s="108"/>
      <c r="N11" s="108"/>
      <c r="O11" s="108"/>
    </row>
    <row r="12" spans="1:22" x14ac:dyDescent="0.25">
      <c r="A12" s="25" t="s">
        <v>8</v>
      </c>
      <c r="B12" s="20"/>
      <c r="C12" s="20"/>
      <c r="D12" s="27">
        <v>7.14</v>
      </c>
      <c r="F12" s="97"/>
      <c r="G12" s="97"/>
      <c r="H12" s="97"/>
      <c r="I12" s="97"/>
      <c r="J12" s="97"/>
      <c r="K12" s="97"/>
      <c r="L12" s="108"/>
      <c r="M12" s="108"/>
      <c r="N12" s="108"/>
      <c r="O12" s="108"/>
    </row>
    <row r="13" spans="1:22" x14ac:dyDescent="0.25">
      <c r="A13" s="25" t="s">
        <v>9</v>
      </c>
      <c r="B13" s="20"/>
      <c r="C13" s="20"/>
      <c r="D13" s="26">
        <v>0.18</v>
      </c>
      <c r="F13" s="97"/>
      <c r="G13" s="97"/>
      <c r="H13" s="97"/>
      <c r="I13" s="97"/>
      <c r="J13" s="97"/>
      <c r="K13" s="97"/>
      <c r="L13" s="108"/>
      <c r="M13" s="108"/>
      <c r="N13" s="108"/>
      <c r="O13" s="108"/>
    </row>
    <row r="14" spans="1:22" ht="15.75" thickBot="1" x14ac:dyDescent="0.3">
      <c r="A14" s="28" t="s">
        <v>10</v>
      </c>
      <c r="B14" s="29"/>
      <c r="C14" s="29"/>
      <c r="D14" s="30">
        <v>0</v>
      </c>
      <c r="F14" s="97"/>
      <c r="G14" s="97"/>
      <c r="H14" s="97"/>
      <c r="I14" s="97"/>
      <c r="J14" s="97"/>
      <c r="K14" s="97"/>
      <c r="L14" s="108"/>
      <c r="M14" s="108"/>
      <c r="N14" s="108"/>
      <c r="O14" s="108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97"/>
      <c r="G15" s="97"/>
      <c r="H15" s="97"/>
      <c r="I15" s="97"/>
      <c r="J15" s="97"/>
      <c r="K15" s="97"/>
      <c r="L15" s="108"/>
      <c r="M15" s="108"/>
      <c r="N15" s="108"/>
      <c r="O15" s="108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113</v>
      </c>
      <c r="B16" s="126"/>
      <c r="C16" s="126"/>
      <c r="D16" s="126"/>
      <c r="E16" s="127"/>
      <c r="F16" s="97"/>
      <c r="G16" s="97"/>
      <c r="H16" s="97"/>
      <c r="I16" s="97"/>
      <c r="J16" s="97"/>
      <c r="K16" s="97"/>
      <c r="L16" s="108"/>
      <c r="M16" s="109"/>
      <c r="N16" s="109"/>
      <c r="O16" s="108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39"/>
      <c r="F17" s="97"/>
      <c r="G17" s="97"/>
      <c r="H17" s="97"/>
      <c r="I17" s="97"/>
      <c r="J17" s="97"/>
      <c r="K17" s="97"/>
      <c r="L17" s="109"/>
      <c r="M17" s="110"/>
      <c r="N17" s="109"/>
      <c r="O17" s="108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39"/>
      <c r="F18" s="97"/>
      <c r="G18" s="97"/>
      <c r="H18" s="97"/>
      <c r="I18" s="97"/>
      <c r="J18" s="97"/>
      <c r="K18" s="97"/>
      <c r="L18" s="108"/>
      <c r="M18" s="108"/>
      <c r="N18" s="108"/>
      <c r="O18" s="108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114</v>
      </c>
      <c r="C19" s="38" t="s">
        <v>115</v>
      </c>
      <c r="D19" s="38" t="s">
        <v>116</v>
      </c>
      <c r="E19" s="39" t="s">
        <v>117</v>
      </c>
      <c r="F19" s="97"/>
      <c r="G19" s="97"/>
      <c r="H19" s="97"/>
      <c r="I19" s="97"/>
      <c r="J19" s="97"/>
      <c r="K19" s="97"/>
      <c r="L19" s="108"/>
      <c r="M19" s="111"/>
      <c r="N19" s="111"/>
      <c r="O19" s="108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171">
        <f>41722.89</f>
        <v>41722.89</v>
      </c>
      <c r="C20" s="171">
        <f>133569.63-1025.79</f>
        <v>132543.84</v>
      </c>
      <c r="D20" s="171">
        <f>134128.55+17000.26</f>
        <v>151128.81</v>
      </c>
      <c r="E20" s="172">
        <f t="shared" ref="E20:E38" si="0">C20-D20+B20</f>
        <v>23137.919999999998</v>
      </c>
      <c r="F20" s="116">
        <f>C20+F22</f>
        <v>261539.47999999998</v>
      </c>
      <c r="G20" s="117">
        <f>100</f>
        <v>100</v>
      </c>
      <c r="H20" s="115" t="s">
        <v>64</v>
      </c>
      <c r="I20" s="97"/>
      <c r="J20" s="97"/>
      <c r="K20" s="97"/>
      <c r="L20" s="108"/>
      <c r="M20" s="108"/>
      <c r="N20" s="108"/>
      <c r="O20" s="108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173"/>
      <c r="C21" s="173"/>
      <c r="D21" s="173"/>
      <c r="E21" s="174">
        <f t="shared" si="0"/>
        <v>0</v>
      </c>
      <c r="F21" s="116"/>
      <c r="G21" s="117"/>
      <c r="H21" s="115"/>
      <c r="I21" s="97"/>
      <c r="J21" s="97"/>
      <c r="K21" s="97"/>
      <c r="L21" s="108"/>
      <c r="M21" s="108"/>
      <c r="N21" s="108"/>
      <c r="O21" s="108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173">
        <v>21354.38</v>
      </c>
      <c r="C22" s="173">
        <f>72039.84+65464.68-8508.88</f>
        <v>128995.63999999998</v>
      </c>
      <c r="D22" s="173">
        <f>71190.76+9415.72+59257.71+1774.4</f>
        <v>141638.59</v>
      </c>
      <c r="E22" s="174">
        <f t="shared" si="0"/>
        <v>8711.4299999999894</v>
      </c>
      <c r="F22" s="116">
        <f>C22</f>
        <v>128995.63999999998</v>
      </c>
      <c r="G22" s="118">
        <f>F22*G20/F20</f>
        <v>49.321670288554522</v>
      </c>
      <c r="H22" s="115" t="s">
        <v>64</v>
      </c>
      <c r="I22" s="97"/>
      <c r="J22" s="97"/>
      <c r="K22" s="97"/>
      <c r="L22" s="108"/>
      <c r="M22" s="108"/>
      <c r="N22" s="111"/>
      <c r="O22" s="108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173"/>
      <c r="C23" s="173"/>
      <c r="D23" s="173"/>
      <c r="E23" s="174">
        <f t="shared" si="0"/>
        <v>0</v>
      </c>
      <c r="F23" s="97"/>
      <c r="G23" s="97"/>
      <c r="H23" s="97"/>
      <c r="I23" s="97"/>
      <c r="J23" s="97"/>
      <c r="K23" s="97"/>
      <c r="L23" s="108"/>
      <c r="M23" s="108"/>
      <c r="N23" s="108"/>
      <c r="O23" s="108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173">
        <v>-939.05</v>
      </c>
      <c r="C24" s="173"/>
      <c r="D24" s="173"/>
      <c r="E24" s="174">
        <f t="shared" si="0"/>
        <v>-939.05</v>
      </c>
      <c r="F24" s="97"/>
      <c r="G24" s="97"/>
      <c r="H24" s="97"/>
      <c r="I24" s="97"/>
      <c r="J24" s="97"/>
      <c r="K24" s="97"/>
      <c r="L24" s="108"/>
      <c r="M24" s="108"/>
      <c r="N24" s="108"/>
      <c r="O24" s="108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97"/>
      <c r="G25" s="97"/>
      <c r="H25" s="97"/>
      <c r="I25" s="97"/>
      <c r="J25" s="97"/>
      <c r="K25" s="97"/>
      <c r="L25" s="108"/>
      <c r="M25" s="108"/>
      <c r="N25" s="108"/>
      <c r="O25" s="108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>
        <f>538.38</f>
        <v>538.38</v>
      </c>
      <c r="C26" s="44">
        <f>1816.08</f>
        <v>1816.08</v>
      </c>
      <c r="D26" s="44">
        <f>1794.71+237.39</f>
        <v>2032.1</v>
      </c>
      <c r="E26" s="45">
        <f t="shared" si="0"/>
        <v>322.36</v>
      </c>
      <c r="F26" s="97"/>
      <c r="G26" s="97"/>
      <c r="H26" s="97"/>
      <c r="I26" s="97"/>
      <c r="J26" s="97"/>
      <c r="K26" s="97"/>
      <c r="L26" s="108"/>
      <c r="M26" s="108"/>
      <c r="N26" s="108"/>
      <c r="O26" s="108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83</v>
      </c>
      <c r="B27" s="44"/>
      <c r="C27" s="44"/>
      <c r="D27" s="44"/>
      <c r="E27" s="45">
        <f t="shared" si="0"/>
        <v>0</v>
      </c>
      <c r="F27" s="97"/>
      <c r="G27" s="97"/>
      <c r="H27" s="97"/>
      <c r="I27" s="97"/>
      <c r="J27" s="97"/>
      <c r="K27" s="97"/>
      <c r="L27" s="108"/>
      <c r="M27" s="108"/>
      <c r="N27" s="108"/>
      <c r="O27" s="108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64765.67</v>
      </c>
      <c r="C28" s="50">
        <f>C29+C30+C31+C33</f>
        <v>233313.9</v>
      </c>
      <c r="D28" s="50">
        <f>D29+D30+D31+D33+D32</f>
        <v>264205.10000000003</v>
      </c>
      <c r="E28" s="189">
        <f>C28-D28+B28</f>
        <v>33874.469999999958</v>
      </c>
      <c r="F28" s="97"/>
      <c r="G28" s="97"/>
      <c r="H28" s="97"/>
      <c r="I28" s="97"/>
      <c r="J28" s="97"/>
      <c r="K28" s="97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40">
        <v>41418.879999999997</v>
      </c>
      <c r="C29" s="40">
        <f>139937.96</f>
        <v>139937.96</v>
      </c>
      <c r="D29" s="40">
        <f>139072.85+15026.72</f>
        <v>154099.57</v>
      </c>
      <c r="E29" s="42">
        <f t="shared" si="0"/>
        <v>27257.269999999982</v>
      </c>
      <c r="F29" s="97"/>
      <c r="G29" s="97"/>
      <c r="H29" s="97"/>
      <c r="I29" s="97"/>
      <c r="J29" s="97"/>
      <c r="K29" s="97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23</v>
      </c>
      <c r="B30" s="43">
        <f>18500.36-11265.3</f>
        <v>7235.0600000000013</v>
      </c>
      <c r="C30" s="43">
        <f>51896.32+14388.52</f>
        <v>66284.84</v>
      </c>
      <c r="D30" s="43">
        <f>52837.86+2322.68+11991.06+2246.12</f>
        <v>69397.72</v>
      </c>
      <c r="E30" s="45">
        <f t="shared" si="0"/>
        <v>4122.1799999999967</v>
      </c>
      <c r="F30" s="97"/>
      <c r="G30" s="97"/>
      <c r="H30" s="97"/>
      <c r="I30" s="97"/>
      <c r="J30" s="97"/>
      <c r="K30" s="97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43">
        <v>6394.57</v>
      </c>
      <c r="C31" s="43">
        <v>8938.19</v>
      </c>
      <c r="D31" s="43">
        <f>12430+1595.73</f>
        <v>14025.73</v>
      </c>
      <c r="E31" s="45">
        <f t="shared" si="0"/>
        <v>1307.0300000000007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53" t="s">
        <v>90</v>
      </c>
      <c r="B32" s="43">
        <f>-1149.45</f>
        <v>-1149.45</v>
      </c>
      <c r="C32" s="43"/>
      <c r="D32" s="43"/>
      <c r="E32" s="45">
        <f t="shared" si="0"/>
        <v>-1149.45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43">
        <v>10866.61</v>
      </c>
      <c r="C33" s="43">
        <f>18152.91</f>
        <v>18152.91</v>
      </c>
      <c r="D33" s="43">
        <f>23115.19+3566.89</f>
        <v>26682.079999999998</v>
      </c>
      <c r="E33" s="45">
        <f t="shared" si="0"/>
        <v>2337.4400000000023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74</v>
      </c>
      <c r="B35" s="186">
        <v>12564.61</v>
      </c>
      <c r="C35" s="55">
        <v>38552.61</v>
      </c>
      <c r="D35" s="55">
        <f>35536.37+4674.72</f>
        <v>40211.090000000004</v>
      </c>
      <c r="E35" s="187">
        <f t="shared" si="0"/>
        <v>10906.129999999997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55"/>
      <c r="C36" s="55"/>
      <c r="D36" s="55"/>
      <c r="E36" s="187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155</v>
      </c>
      <c r="B37" s="55">
        <f>-2248.94</f>
        <v>-2248.94</v>
      </c>
      <c r="C37" s="55">
        <f>2269.92+230.16</f>
        <v>2500.08</v>
      </c>
      <c r="D37" s="55">
        <f>688+2106.26+178.92</f>
        <v>2973.1800000000003</v>
      </c>
      <c r="E37" s="187">
        <f t="shared" si="0"/>
        <v>-2722.0400000000004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x14ac:dyDescent="0.25">
      <c r="A38" s="13" t="s">
        <v>28</v>
      </c>
      <c r="B38" s="180">
        <v>-1208.8900000000001</v>
      </c>
      <c r="C38" s="180"/>
      <c r="D38" s="180"/>
      <c r="E38" s="187">
        <f t="shared" si="0"/>
        <v>-1208.8900000000001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145" t="s">
        <v>138</v>
      </c>
      <c r="B39" s="180">
        <v>1242.6300000000001</v>
      </c>
      <c r="C39" s="180">
        <f>3271.32</f>
        <v>3271.32</v>
      </c>
      <c r="D39" s="180">
        <f>3170.93</f>
        <v>3170.93</v>
      </c>
      <c r="E39" s="187">
        <f t="shared" ref="E39" si="1">C39-D39+B39</f>
        <v>1343.0200000000004</v>
      </c>
      <c r="K39" s="3"/>
      <c r="L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ht="15.75" thickBot="1" x14ac:dyDescent="0.3">
      <c r="A40" s="57" t="s">
        <v>29</v>
      </c>
      <c r="B40" s="181">
        <f>B20+B21+B22+B23+B24+B25+B26+B28+B35+B36+B37+B38+B27+B39</f>
        <v>137791.67999999999</v>
      </c>
      <c r="C40" s="181">
        <f>C20+C21+C22+C23+C24+C25+C26+C28+C35+C36+C37+C38+C39</f>
        <v>540993.46999999986</v>
      </c>
      <c r="D40" s="181">
        <f>D20+D21+D22+D23+D24+D25+D26+D28+D35+D36+D37+D38+D27+D39</f>
        <v>605359.80000000016</v>
      </c>
      <c r="E40" s="188">
        <f>E20+E21+E22+E23+E24+E25+E26+E28+E35+E36+E37+E38+E27+E39</f>
        <v>73425.349999999962</v>
      </c>
      <c r="F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x14ac:dyDescent="0.25">
      <c r="A41" s="59"/>
      <c r="B41" s="60"/>
      <c r="C41" s="56"/>
      <c r="D41" s="122"/>
      <c r="E41" s="122"/>
      <c r="F41" s="123"/>
      <c r="G41" s="124"/>
      <c r="H41" s="124"/>
      <c r="I41" s="124"/>
      <c r="J41" s="137"/>
      <c r="K41" s="3"/>
      <c r="M41" s="31"/>
      <c r="N41" s="31"/>
      <c r="O41" s="31"/>
      <c r="P41" s="31"/>
      <c r="Q41" s="31"/>
      <c r="R41" s="31"/>
      <c r="S41" s="31"/>
      <c r="T41" s="31"/>
      <c r="U41" s="31"/>
      <c r="V41" s="31"/>
    </row>
    <row r="42" spans="1:22" ht="15.75" thickBot="1" x14ac:dyDescent="0.3">
      <c r="A42" s="59"/>
      <c r="B42" s="60"/>
      <c r="C42" s="56"/>
      <c r="D42" s="119"/>
      <c r="E42" s="119"/>
      <c r="F42" s="138"/>
      <c r="G42" s="115"/>
      <c r="H42" s="137"/>
      <c r="I42" s="137"/>
      <c r="J42" s="137"/>
    </row>
    <row r="43" spans="1:22" ht="15.75" thickBot="1" x14ac:dyDescent="0.3">
      <c r="A43" s="61" t="s">
        <v>30</v>
      </c>
      <c r="B43" s="62">
        <f>B45+B60+B61+B58+B63+B59+B62</f>
        <v>453943.13323221507</v>
      </c>
      <c r="C43" s="63" t="s">
        <v>31</v>
      </c>
      <c r="D43" s="119">
        <f>C40-B43-B63</f>
        <v>85778.538448457053</v>
      </c>
      <c r="E43" s="272" t="s">
        <v>32</v>
      </c>
      <c r="F43" s="273">
        <f>5512727.45</f>
        <v>5512727.4500000002</v>
      </c>
      <c r="G43" s="274">
        <f>F43/F49*C8</f>
        <v>38950.430587899158</v>
      </c>
      <c r="H43" s="137"/>
      <c r="I43" s="137"/>
      <c r="J43" s="137"/>
    </row>
    <row r="44" spans="1:22" x14ac:dyDescent="0.25">
      <c r="A44" s="64" t="s">
        <v>139</v>
      </c>
      <c r="B44" s="183">
        <v>20736.3</v>
      </c>
      <c r="C44" s="69" t="s">
        <v>31</v>
      </c>
      <c r="D44" s="119"/>
      <c r="E44" s="272" t="s">
        <v>33</v>
      </c>
      <c r="F44" s="273">
        <f>1264951.09</f>
        <v>1264951.0900000001</v>
      </c>
      <c r="G44" s="274">
        <f>F44/F49*C8</f>
        <v>8937.5703905210084</v>
      </c>
      <c r="H44" s="137"/>
      <c r="I44" s="137"/>
      <c r="J44" s="137"/>
    </row>
    <row r="45" spans="1:22" x14ac:dyDescent="0.25">
      <c r="A45" s="67" t="s">
        <v>34</v>
      </c>
      <c r="B45" s="160">
        <f>B46+B47+B49+B50+B51+B52+B53+B54+B55+B56+B57+B48</f>
        <v>188372.02608935794</v>
      </c>
      <c r="C45" s="69" t="s">
        <v>31</v>
      </c>
      <c r="D45" s="119"/>
      <c r="E45" s="272" t="s">
        <v>35</v>
      </c>
      <c r="F45" s="273">
        <v>180000</v>
      </c>
      <c r="G45" s="274">
        <f>F45/F49*C8</f>
        <v>1271.798319327731</v>
      </c>
      <c r="H45" s="137"/>
      <c r="I45" s="137"/>
      <c r="J45" s="137"/>
    </row>
    <row r="46" spans="1:22" x14ac:dyDescent="0.25">
      <c r="A46" s="70" t="s">
        <v>76</v>
      </c>
      <c r="B46" s="184">
        <f>8539.88</f>
        <v>8539.8799999999992</v>
      </c>
      <c r="C46" s="71" t="s">
        <v>31</v>
      </c>
      <c r="D46" s="119"/>
      <c r="E46" s="272" t="s">
        <v>18</v>
      </c>
      <c r="F46" s="273">
        <f>299837.27</f>
        <v>299837.27</v>
      </c>
      <c r="G46" s="274">
        <f>F46/F49*C8</f>
        <v>2118.514089210084</v>
      </c>
      <c r="H46" s="137"/>
      <c r="I46" s="137"/>
      <c r="J46" s="137"/>
    </row>
    <row r="47" spans="1:22" x14ac:dyDescent="0.25">
      <c r="A47" s="72" t="s">
        <v>37</v>
      </c>
      <c r="B47" s="184">
        <f>G43+G44</f>
        <v>47888.000978420168</v>
      </c>
      <c r="C47" s="71" t="s">
        <v>31</v>
      </c>
      <c r="D47" s="119"/>
      <c r="E47" s="275" t="s">
        <v>38</v>
      </c>
      <c r="F47" s="273">
        <f>7000+1260+30890+4200</f>
        <v>43350</v>
      </c>
      <c r="G47" s="274">
        <f>F47/F49*C8</f>
        <v>306.29142857142853</v>
      </c>
      <c r="H47" s="137"/>
      <c r="I47" s="137"/>
      <c r="J47" s="137"/>
    </row>
    <row r="48" spans="1:22" x14ac:dyDescent="0.25">
      <c r="A48" s="72" t="s">
        <v>39</v>
      </c>
      <c r="B48" s="184">
        <v>9600</v>
      </c>
      <c r="C48" s="71" t="s">
        <v>31</v>
      </c>
      <c r="D48" s="119"/>
      <c r="E48" s="274" t="s">
        <v>12</v>
      </c>
      <c r="F48" s="273">
        <f>8022857.59-F47</f>
        <v>7979507.5899999999</v>
      </c>
      <c r="G48" s="274">
        <f>F48/F49*C8</f>
        <v>56379.579677915957</v>
      </c>
      <c r="H48" s="137"/>
      <c r="I48" s="137"/>
      <c r="J48" s="137"/>
    </row>
    <row r="49" spans="1:10" x14ac:dyDescent="0.25">
      <c r="A49" s="70" t="s">
        <v>40</v>
      </c>
      <c r="B49" s="184">
        <f>G47</f>
        <v>306.29142857142853</v>
      </c>
      <c r="C49" s="71" t="s">
        <v>31</v>
      </c>
      <c r="D49" s="119"/>
      <c r="E49" s="276" t="s">
        <v>41</v>
      </c>
      <c r="F49" s="277">
        <f>119000</f>
        <v>119000</v>
      </c>
      <c r="G49" s="274"/>
      <c r="H49" s="137"/>
      <c r="I49" s="137"/>
      <c r="J49" s="137"/>
    </row>
    <row r="50" spans="1:10" x14ac:dyDescent="0.25">
      <c r="A50" s="70" t="s">
        <v>42</v>
      </c>
      <c r="B50" s="184">
        <f>G46</f>
        <v>2118.514089210084</v>
      </c>
      <c r="C50" s="71" t="s">
        <v>31</v>
      </c>
      <c r="D50" s="119"/>
      <c r="E50" s="278"/>
      <c r="F50" s="274"/>
      <c r="G50" s="274"/>
      <c r="H50" s="137"/>
      <c r="I50" s="137"/>
      <c r="J50" s="137"/>
    </row>
    <row r="51" spans="1:10" x14ac:dyDescent="0.25">
      <c r="A51" s="70" t="s">
        <v>141</v>
      </c>
      <c r="B51" s="184">
        <f>G48</f>
        <v>56379.579677915957</v>
      </c>
      <c r="C51" s="71" t="s">
        <v>31</v>
      </c>
      <c r="D51" s="119"/>
      <c r="E51" s="279" t="s">
        <v>70</v>
      </c>
      <c r="F51" s="277">
        <f>1910.32</f>
        <v>1910.32</v>
      </c>
      <c r="G51" s="279">
        <f>F51/F49*C8</f>
        <v>13.497454252100839</v>
      </c>
      <c r="H51" s="137"/>
      <c r="I51" s="137"/>
      <c r="J51" s="137"/>
    </row>
    <row r="52" spans="1:10" x14ac:dyDescent="0.25">
      <c r="A52" s="70" t="s">
        <v>44</v>
      </c>
      <c r="B52" s="184">
        <f>G53</f>
        <v>116.08409815126048</v>
      </c>
      <c r="C52" s="71" t="s">
        <v>31</v>
      </c>
      <c r="D52" s="119"/>
      <c r="E52" s="119"/>
      <c r="F52" s="120"/>
      <c r="G52" s="121"/>
      <c r="H52" s="137"/>
      <c r="I52" s="137"/>
      <c r="J52" s="137"/>
    </row>
    <row r="53" spans="1:10" x14ac:dyDescent="0.25">
      <c r="A53" s="70" t="s">
        <v>45</v>
      </c>
      <c r="B53" s="184">
        <f>G51</f>
        <v>13.497454252100839</v>
      </c>
      <c r="C53" s="71" t="s">
        <v>31</v>
      </c>
      <c r="D53" s="119"/>
      <c r="E53" s="119" t="s">
        <v>125</v>
      </c>
      <c r="F53" s="280">
        <f>16429.6</f>
        <v>16429.599999999999</v>
      </c>
      <c r="G53" s="279">
        <f>F53/F49*C8</f>
        <v>116.08409815126048</v>
      </c>
      <c r="H53" s="137"/>
      <c r="I53" s="137"/>
      <c r="J53" s="137"/>
    </row>
    <row r="54" spans="1:10" x14ac:dyDescent="0.25">
      <c r="A54" s="70" t="s">
        <v>46</v>
      </c>
      <c r="B54" s="184">
        <f>30890.6</f>
        <v>30890.6</v>
      </c>
      <c r="C54" s="71" t="s">
        <v>31</v>
      </c>
      <c r="D54" s="119"/>
      <c r="E54" s="119" t="s">
        <v>65</v>
      </c>
      <c r="F54" s="120">
        <v>30234.54</v>
      </c>
      <c r="G54" s="121"/>
      <c r="H54" s="115"/>
      <c r="I54" s="97"/>
      <c r="J54" s="137"/>
    </row>
    <row r="55" spans="1:10" ht="26.25" x14ac:dyDescent="0.25">
      <c r="A55" s="191" t="s">
        <v>144</v>
      </c>
      <c r="B55" s="184">
        <f>9500+2200+2450+623.05</f>
        <v>14773.05</v>
      </c>
      <c r="C55" s="71" t="s">
        <v>31</v>
      </c>
      <c r="D55" s="119"/>
      <c r="E55" s="119" t="s">
        <v>93</v>
      </c>
      <c r="F55" s="120">
        <f>F53/F54*C8</f>
        <v>456.89491819620866</v>
      </c>
      <c r="G55" s="121"/>
      <c r="H55" s="115"/>
      <c r="I55" s="97"/>
      <c r="J55" s="137"/>
    </row>
    <row r="56" spans="1:10" x14ac:dyDescent="0.25">
      <c r="A56" s="70" t="s">
        <v>48</v>
      </c>
      <c r="B56" s="184">
        <v>3026.88</v>
      </c>
      <c r="C56" s="71" t="s">
        <v>31</v>
      </c>
      <c r="D56" s="101"/>
      <c r="E56" s="101"/>
      <c r="F56" s="125"/>
      <c r="G56" s="97"/>
      <c r="H56" s="97"/>
      <c r="I56" s="97"/>
      <c r="J56" s="137"/>
    </row>
    <row r="57" spans="1:10" x14ac:dyDescent="0.25">
      <c r="A57" s="70" t="s">
        <v>49</v>
      </c>
      <c r="B57" s="184">
        <f>(B47+B48+B49+B50+B51+B53+B54)*0.1</f>
        <v>14719.648362836973</v>
      </c>
      <c r="C57" s="71" t="s">
        <v>31</v>
      </c>
      <c r="D57" s="119"/>
      <c r="E57" s="119"/>
      <c r="F57" s="138"/>
      <c r="G57" s="115"/>
      <c r="H57" s="137"/>
      <c r="I57" s="97"/>
      <c r="J57" s="137"/>
    </row>
    <row r="58" spans="1:10" x14ac:dyDescent="0.25">
      <c r="A58" s="67" t="s">
        <v>50</v>
      </c>
      <c r="B58" s="160">
        <f>C80</f>
        <v>25093</v>
      </c>
      <c r="C58" s="69" t="s">
        <v>31</v>
      </c>
      <c r="D58" s="122"/>
      <c r="E58" s="122"/>
      <c r="F58" s="123"/>
      <c r="G58" s="124"/>
      <c r="H58" s="124"/>
      <c r="I58" s="97"/>
      <c r="J58" s="137"/>
    </row>
    <row r="59" spans="1:10" x14ac:dyDescent="0.25">
      <c r="A59" s="67" t="s">
        <v>140</v>
      </c>
      <c r="B59" s="160">
        <f>500+600+600+600</f>
        <v>2300</v>
      </c>
      <c r="C59" s="69" t="s">
        <v>31</v>
      </c>
      <c r="D59" s="122"/>
      <c r="E59" s="122"/>
      <c r="F59" s="123"/>
      <c r="G59" s="124"/>
      <c r="H59" s="124"/>
      <c r="I59" s="97"/>
      <c r="J59" s="137"/>
    </row>
    <row r="60" spans="1:10" x14ac:dyDescent="0.25">
      <c r="A60" s="67" t="s">
        <v>52</v>
      </c>
      <c r="B60" s="160">
        <f>14283.58+17693.57+185899.48+8917.1</f>
        <v>226793.73</v>
      </c>
      <c r="C60" s="69" t="s">
        <v>31</v>
      </c>
      <c r="D60" s="56"/>
      <c r="E60" s="56"/>
      <c r="F60" s="3"/>
      <c r="I60" s="97"/>
      <c r="J60" s="137"/>
    </row>
    <row r="61" spans="1:10" x14ac:dyDescent="0.25">
      <c r="A61" s="67" t="s">
        <v>53</v>
      </c>
      <c r="B61" s="160">
        <f>7661.52</f>
        <v>7661.52</v>
      </c>
      <c r="C61" s="69" t="s">
        <v>54</v>
      </c>
      <c r="D61" s="56"/>
      <c r="E61" s="56"/>
      <c r="F61" s="3"/>
      <c r="I61" s="97"/>
      <c r="J61" s="137"/>
    </row>
    <row r="62" spans="1:10" x14ac:dyDescent="0.25">
      <c r="A62" s="133" t="s">
        <v>154</v>
      </c>
      <c r="B62" s="134">
        <f>C37/1.02</f>
        <v>2451.0588235294117</v>
      </c>
      <c r="C62" s="135"/>
      <c r="D62" s="56"/>
      <c r="E62" s="56"/>
      <c r="F62" s="3"/>
      <c r="I62" s="97"/>
      <c r="J62" s="137"/>
    </row>
    <row r="63" spans="1:10" ht="15.75" thickBot="1" x14ac:dyDescent="0.3">
      <c r="A63" s="73" t="s">
        <v>78</v>
      </c>
      <c r="B63" s="74">
        <f>G45</f>
        <v>1271.798319327731</v>
      </c>
      <c r="C63" s="75" t="s">
        <v>31</v>
      </c>
      <c r="D63" s="56"/>
      <c r="E63" s="56"/>
      <c r="F63" s="3"/>
      <c r="I63" s="97"/>
      <c r="J63" s="137"/>
    </row>
    <row r="64" spans="1:10" x14ac:dyDescent="0.25">
      <c r="A64" s="59"/>
      <c r="B64" s="60"/>
      <c r="C64" s="56"/>
      <c r="D64" s="56"/>
      <c r="E64" s="56"/>
      <c r="F64" s="3"/>
      <c r="I64" s="97"/>
      <c r="J64" s="137"/>
    </row>
    <row r="65" spans="1:10" x14ac:dyDescent="0.25">
      <c r="A65" s="59" t="s">
        <v>142</v>
      </c>
      <c r="B65" s="143">
        <f>C40+B44-B43</f>
        <v>107786.63676778483</v>
      </c>
      <c r="C65" s="56" t="s">
        <v>31</v>
      </c>
      <c r="D65" s="56" t="s">
        <v>129</v>
      </c>
      <c r="E65" s="56"/>
      <c r="F65" s="3"/>
      <c r="I65" s="97"/>
      <c r="J65" s="137"/>
    </row>
    <row r="66" spans="1:10" x14ac:dyDescent="0.25">
      <c r="A66" s="59" t="s">
        <v>130</v>
      </c>
      <c r="B66" s="2">
        <f>B67+B68+B69+B70+B71+B72</f>
        <v>83779.01676778488</v>
      </c>
      <c r="C66" s="56" t="s">
        <v>31</v>
      </c>
      <c r="D66" s="56"/>
      <c r="E66" s="56"/>
      <c r="F66" s="3"/>
      <c r="I66" s="97"/>
      <c r="J66" s="137"/>
    </row>
    <row r="67" spans="1:10" x14ac:dyDescent="0.25">
      <c r="A67" s="77" t="s">
        <v>56</v>
      </c>
      <c r="B67" s="78">
        <f>C20-B45-B63</f>
        <v>-57099.984408685676</v>
      </c>
      <c r="C67" s="56" t="s">
        <v>31</v>
      </c>
      <c r="D67" s="56"/>
      <c r="E67" s="56"/>
      <c r="F67" s="3"/>
      <c r="I67" s="97"/>
      <c r="J67" s="137"/>
    </row>
    <row r="68" spans="1:10" x14ac:dyDescent="0.25">
      <c r="A68" s="77" t="s">
        <v>57</v>
      </c>
      <c r="B68" s="78">
        <f>C22-B58</f>
        <v>103902.63999999998</v>
      </c>
      <c r="C68" s="56" t="s">
        <v>31</v>
      </c>
      <c r="D68" s="56"/>
      <c r="E68" s="56"/>
      <c r="F68" s="3"/>
      <c r="I68" s="97"/>
      <c r="J68" s="137"/>
    </row>
    <row r="69" spans="1:10" x14ac:dyDescent="0.25">
      <c r="A69" s="77" t="s">
        <v>58</v>
      </c>
      <c r="B69" s="78">
        <f>C26-B59</f>
        <v>-483.92000000000007</v>
      </c>
      <c r="C69" s="56" t="s">
        <v>31</v>
      </c>
      <c r="D69" s="56"/>
      <c r="E69" s="56"/>
      <c r="F69" s="3"/>
      <c r="I69" s="97"/>
      <c r="J69" s="137"/>
    </row>
    <row r="70" spans="1:10" x14ac:dyDescent="0.25">
      <c r="A70" s="77" t="s">
        <v>59</v>
      </c>
      <c r="B70" s="78">
        <f>C28-B60</f>
        <v>6520.1699999999837</v>
      </c>
      <c r="C70" s="56" t="s">
        <v>31</v>
      </c>
      <c r="D70" s="56"/>
      <c r="E70" s="56"/>
      <c r="F70" s="3"/>
      <c r="I70" s="97"/>
      <c r="J70" s="137"/>
    </row>
    <row r="71" spans="1:10" x14ac:dyDescent="0.25">
      <c r="A71" s="77" t="s">
        <v>60</v>
      </c>
      <c r="B71" s="78">
        <f>C35-B61</f>
        <v>30891.09</v>
      </c>
      <c r="C71" s="56" t="s">
        <v>31</v>
      </c>
      <c r="D71" s="56"/>
      <c r="E71" s="56"/>
      <c r="F71" s="3"/>
      <c r="I71" s="97"/>
      <c r="J71" s="137"/>
    </row>
    <row r="72" spans="1:10" x14ac:dyDescent="0.25">
      <c r="A72" s="77" t="s">
        <v>157</v>
      </c>
      <c r="B72" s="78">
        <f>C37-B62</f>
        <v>49.021176470588216</v>
      </c>
      <c r="C72" s="56" t="s">
        <v>31</v>
      </c>
      <c r="I72" s="97"/>
      <c r="J72" s="137"/>
    </row>
    <row r="73" spans="1:10" ht="15.75" thickBot="1" x14ac:dyDescent="0.3">
      <c r="A73" s="77"/>
      <c r="B73" s="78"/>
      <c r="C73" s="56"/>
      <c r="D73" s="98"/>
      <c r="E73" s="99"/>
      <c r="F73" s="100"/>
      <c r="G73" s="97"/>
      <c r="I73" s="97"/>
      <c r="J73" s="137"/>
    </row>
    <row r="74" spans="1:10" ht="15.75" thickBot="1" x14ac:dyDescent="0.3">
      <c r="A74" s="128" t="s">
        <v>146</v>
      </c>
      <c r="B74" s="129"/>
      <c r="C74" s="130"/>
      <c r="D74" s="101"/>
      <c r="E74" s="101"/>
      <c r="F74" s="101"/>
      <c r="G74" s="97"/>
      <c r="I74" s="97"/>
      <c r="J74" s="137"/>
    </row>
    <row r="75" spans="1:10" ht="51.75" thickBot="1" x14ac:dyDescent="0.3">
      <c r="A75" s="79" t="s">
        <v>80</v>
      </c>
      <c r="B75" s="80" t="s">
        <v>61</v>
      </c>
      <c r="C75" s="81" t="s">
        <v>67</v>
      </c>
      <c r="D75" s="102"/>
      <c r="E75" s="103"/>
      <c r="F75" s="104"/>
      <c r="G75" s="97"/>
      <c r="I75" s="97"/>
      <c r="J75" s="137"/>
    </row>
    <row r="76" spans="1:10" x14ac:dyDescent="0.25">
      <c r="A76" s="82" t="s">
        <v>62</v>
      </c>
      <c r="B76" s="113" t="s">
        <v>31</v>
      </c>
      <c r="C76" s="114" t="s">
        <v>31</v>
      </c>
      <c r="D76" s="102"/>
      <c r="E76" s="103"/>
      <c r="F76" s="104"/>
      <c r="G76" s="97"/>
      <c r="I76" s="97"/>
      <c r="J76" s="137"/>
    </row>
    <row r="77" spans="1:10" x14ac:dyDescent="0.25">
      <c r="A77" s="53" t="s">
        <v>73</v>
      </c>
      <c r="B77" s="43"/>
      <c r="C77" s="185">
        <v>15293</v>
      </c>
      <c r="D77" s="102"/>
      <c r="E77" s="103"/>
      <c r="F77" s="104"/>
      <c r="G77" s="97"/>
    </row>
    <row r="78" spans="1:10" x14ac:dyDescent="0.25">
      <c r="A78" s="76" t="s">
        <v>181</v>
      </c>
      <c r="B78" s="43"/>
      <c r="C78" s="281">
        <v>3300</v>
      </c>
      <c r="D78" s="102"/>
      <c r="E78" s="103"/>
      <c r="F78" s="104"/>
      <c r="G78" s="97"/>
    </row>
    <row r="79" spans="1:10" x14ac:dyDescent="0.25">
      <c r="A79" s="76" t="s">
        <v>179</v>
      </c>
      <c r="B79" s="43"/>
      <c r="C79" s="281">
        <v>6500</v>
      </c>
      <c r="D79" s="102"/>
      <c r="E79" s="103"/>
      <c r="F79" s="104"/>
      <c r="G79" s="97"/>
    </row>
    <row r="80" spans="1:10" ht="15.75" thickBot="1" x14ac:dyDescent="0.3">
      <c r="A80" s="145" t="s">
        <v>5</v>
      </c>
      <c r="B80" s="146">
        <f>B77</f>
        <v>0</v>
      </c>
      <c r="C80" s="147">
        <f>C78+C77+C79</f>
        <v>25093</v>
      </c>
      <c r="D80" s="105"/>
      <c r="E80" s="103"/>
      <c r="F80" s="104"/>
      <c r="G80" s="97"/>
    </row>
    <row r="81" spans="1:7" x14ac:dyDescent="0.25">
      <c r="A81" s="31"/>
      <c r="B81" s="33"/>
      <c r="C81" s="87"/>
      <c r="D81" s="105"/>
      <c r="E81" s="103"/>
      <c r="F81" s="104"/>
      <c r="G81" s="97"/>
    </row>
    <row r="82" spans="1:7" x14ac:dyDescent="0.25">
      <c r="A82" s="164" t="s">
        <v>132</v>
      </c>
      <c r="B82" s="149"/>
      <c r="C82" s="215"/>
      <c r="D82" s="216"/>
      <c r="E82" s="103"/>
      <c r="F82" s="97"/>
      <c r="G82" s="97"/>
    </row>
    <row r="83" spans="1:7" x14ac:dyDescent="0.25">
      <c r="A83" s="217"/>
      <c r="B83" s="149"/>
      <c r="C83" s="215"/>
      <c r="D83" s="218"/>
      <c r="E83" s="103"/>
      <c r="F83" s="97"/>
      <c r="G83" s="97"/>
    </row>
    <row r="84" spans="1:7" x14ac:dyDescent="0.25">
      <c r="A84" s="165" t="s">
        <v>133</v>
      </c>
      <c r="B84" s="149" t="s">
        <v>134</v>
      </c>
      <c r="C84" s="219"/>
      <c r="D84" s="216"/>
      <c r="E84" s="103"/>
      <c r="F84" s="97"/>
      <c r="G84" s="97"/>
    </row>
    <row r="85" spans="1:7" x14ac:dyDescent="0.25">
      <c r="A85" s="165"/>
      <c r="B85" s="149"/>
      <c r="C85" s="219"/>
      <c r="D85" s="216"/>
      <c r="E85" s="103"/>
      <c r="F85" s="97"/>
      <c r="G85" s="97"/>
    </row>
    <row r="86" spans="1:7" x14ac:dyDescent="0.25">
      <c r="A86" s="220"/>
      <c r="B86" s="221"/>
      <c r="C86" s="219"/>
      <c r="D86" s="150"/>
      <c r="E86" s="89"/>
    </row>
    <row r="87" spans="1:7" ht="15.75" x14ac:dyDescent="0.25">
      <c r="A87" s="223" t="s">
        <v>63</v>
      </c>
      <c r="B87" s="224" t="s">
        <v>134</v>
      </c>
      <c r="C87" s="225"/>
      <c r="D87" s="226" t="s">
        <v>66</v>
      </c>
      <c r="E87" s="89"/>
    </row>
    <row r="88" spans="1:7" x14ac:dyDescent="0.25">
      <c r="A88" s="91"/>
      <c r="B88" s="92"/>
      <c r="C88" s="87"/>
      <c r="D88" s="88"/>
      <c r="E88" s="89"/>
    </row>
    <row r="89" spans="1:7" x14ac:dyDescent="0.25">
      <c r="A89" s="31"/>
      <c r="B89" s="33"/>
      <c r="C89" s="87"/>
      <c r="D89" s="88"/>
      <c r="E89" s="89"/>
    </row>
    <row r="90" spans="1:7" x14ac:dyDescent="0.25">
      <c r="A90" s="31"/>
      <c r="B90" s="33"/>
      <c r="C90" s="56"/>
      <c r="D90" s="88"/>
      <c r="E90" s="89"/>
    </row>
    <row r="91" spans="1:7" x14ac:dyDescent="0.25">
      <c r="A91" s="19"/>
      <c r="B91" s="20"/>
      <c r="C91" s="56"/>
      <c r="D91" s="56"/>
      <c r="E91" s="56"/>
    </row>
    <row r="92" spans="1:7" x14ac:dyDescent="0.25">
      <c r="A92" s="19"/>
      <c r="B92" s="20"/>
      <c r="C92" s="56"/>
      <c r="D92" s="90"/>
      <c r="E92" s="56"/>
    </row>
    <row r="93" spans="1:7" x14ac:dyDescent="0.25">
      <c r="A93" s="19"/>
      <c r="B93" s="20"/>
      <c r="C93" s="89"/>
      <c r="D93" s="88"/>
      <c r="E93" s="89"/>
    </row>
    <row r="94" spans="1:7" x14ac:dyDescent="0.25">
      <c r="A94" s="31"/>
      <c r="B94" s="33"/>
      <c r="C94" s="89"/>
      <c r="D94" s="88"/>
      <c r="E94" s="89"/>
    </row>
    <row r="95" spans="1:7" x14ac:dyDescent="0.25">
      <c r="A95" s="31"/>
      <c r="B95" s="33"/>
      <c r="C95" s="89"/>
      <c r="D95" s="93"/>
      <c r="E95" s="89"/>
    </row>
    <row r="96" spans="1:7" x14ac:dyDescent="0.25">
      <c r="A96" s="95"/>
      <c r="B96" s="96"/>
      <c r="C96" s="89"/>
      <c r="D96" s="93"/>
      <c r="E96" s="89"/>
    </row>
    <row r="97" spans="1:6" x14ac:dyDescent="0.25">
      <c r="A97" s="95"/>
      <c r="B97" s="96"/>
      <c r="C97" s="89"/>
      <c r="D97" s="93"/>
      <c r="E97" s="89"/>
      <c r="F97" s="94"/>
    </row>
    <row r="98" spans="1:6" x14ac:dyDescent="0.25">
      <c r="A98" s="31"/>
      <c r="B98" s="33"/>
      <c r="C98" s="89"/>
      <c r="D98" s="93"/>
      <c r="E98" s="89"/>
    </row>
    <row r="99" spans="1:6" x14ac:dyDescent="0.25">
      <c r="A99" s="31"/>
      <c r="B99" s="33"/>
      <c r="C99" s="56"/>
      <c r="D99" s="87"/>
      <c r="E99" s="89"/>
    </row>
    <row r="100" spans="1:6" x14ac:dyDescent="0.25">
      <c r="A100" s="19"/>
      <c r="B100" s="20"/>
      <c r="C100" s="89"/>
      <c r="D100" s="87"/>
      <c r="E100" s="89"/>
    </row>
    <row r="101" spans="1:6" x14ac:dyDescent="0.25">
      <c r="A101" s="31"/>
      <c r="B101" s="33"/>
      <c r="C101" s="89"/>
      <c r="D101" s="56"/>
      <c r="E101" s="56"/>
      <c r="F101" s="3"/>
    </row>
    <row r="102" spans="1:6" x14ac:dyDescent="0.25">
      <c r="A102" s="31"/>
      <c r="B102" s="33"/>
      <c r="C102" s="33"/>
      <c r="D102" s="56"/>
      <c r="E102" s="89"/>
    </row>
    <row r="103" spans="1:6" x14ac:dyDescent="0.25">
      <c r="A103" s="31"/>
      <c r="B103" s="33"/>
      <c r="C103" s="33"/>
      <c r="D103" s="56"/>
      <c r="E103" s="56"/>
    </row>
    <row r="104" spans="1:6" x14ac:dyDescent="0.25">
      <c r="A104" s="31"/>
      <c r="B104" s="33"/>
      <c r="C104" s="33"/>
      <c r="D104" s="89"/>
      <c r="E104" s="89"/>
    </row>
    <row r="105" spans="1:6" x14ac:dyDescent="0.25">
      <c r="A105" s="31"/>
      <c r="B105" s="33"/>
      <c r="D105" s="89"/>
      <c r="E105" s="89"/>
    </row>
    <row r="106" spans="1:6" x14ac:dyDescent="0.25">
      <c r="D106" s="89"/>
      <c r="E106" s="89"/>
    </row>
    <row r="107" spans="1:6" x14ac:dyDescent="0.25">
      <c r="D107" s="89"/>
      <c r="E107" s="89"/>
    </row>
    <row r="108" spans="1:6" x14ac:dyDescent="0.25">
      <c r="D108" s="89"/>
      <c r="E108" s="89"/>
    </row>
    <row r="109" spans="1:6" x14ac:dyDescent="0.25">
      <c r="D109" s="89"/>
      <c r="E109" s="89"/>
    </row>
    <row r="110" spans="1:6" x14ac:dyDescent="0.25">
      <c r="B110"/>
      <c r="C110"/>
      <c r="D110" s="56"/>
      <c r="E110" s="56"/>
      <c r="F110" s="3"/>
    </row>
    <row r="111" spans="1:6" x14ac:dyDescent="0.25">
      <c r="B111"/>
      <c r="C111"/>
      <c r="D111" s="89"/>
      <c r="E111" s="89"/>
      <c r="F111" s="3"/>
    </row>
    <row r="112" spans="1:6" x14ac:dyDescent="0.25">
      <c r="B112"/>
      <c r="C112"/>
      <c r="D112" s="89"/>
      <c r="E112" s="89"/>
    </row>
    <row r="113" spans="2:5" x14ac:dyDescent="0.25">
      <c r="B113"/>
      <c r="C113"/>
      <c r="D113" s="33"/>
      <c r="E113" s="33"/>
    </row>
    <row r="114" spans="2:5" x14ac:dyDescent="0.25">
      <c r="B114"/>
      <c r="C114"/>
      <c r="D114" s="33"/>
      <c r="E114" s="33"/>
    </row>
    <row r="115" spans="2:5" x14ac:dyDescent="0.25">
      <c r="D115" s="33"/>
      <c r="E115" s="33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V106"/>
  <sheetViews>
    <sheetView view="pageBreakPreview" topLeftCell="A59" zoomScale="60" zoomScaleNormal="100" workbookViewId="0">
      <selection activeCell="J27" sqref="J27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164</v>
      </c>
      <c r="B2" s="2"/>
      <c r="C2" s="2"/>
      <c r="D2" s="2"/>
    </row>
    <row r="3" spans="1:22" ht="15.75" thickBot="1" x14ac:dyDescent="0.3">
      <c r="A3" s="1"/>
      <c r="B3" s="2"/>
      <c r="C3" s="2"/>
      <c r="D3" s="2"/>
      <c r="L3" s="108"/>
      <c r="M3" s="108"/>
      <c r="N3" s="108"/>
      <c r="O3" s="108"/>
    </row>
    <row r="4" spans="1:22" ht="15.75" thickBot="1" x14ac:dyDescent="0.3">
      <c r="A4" s="22" t="s">
        <v>0</v>
      </c>
      <c r="B4" s="126"/>
      <c r="C4" s="126"/>
      <c r="D4" s="127"/>
      <c r="L4" s="108"/>
      <c r="M4" s="108"/>
      <c r="N4" s="108"/>
      <c r="O4" s="108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L5" s="108"/>
      <c r="M5" s="108"/>
      <c r="N5" s="108"/>
      <c r="O5" s="108"/>
    </row>
    <row r="6" spans="1:22" x14ac:dyDescent="0.25">
      <c r="A6" s="10" t="s">
        <v>165</v>
      </c>
      <c r="B6" s="11"/>
      <c r="C6" s="11">
        <v>1316.2</v>
      </c>
      <c r="D6" s="12">
        <v>41</v>
      </c>
      <c r="L6" s="108"/>
      <c r="M6" s="108"/>
      <c r="N6" s="108"/>
      <c r="O6" s="108"/>
    </row>
    <row r="7" spans="1:22" x14ac:dyDescent="0.25">
      <c r="A7" s="13"/>
      <c r="B7" s="14"/>
      <c r="C7" s="14"/>
      <c r="D7" s="15"/>
      <c r="L7" s="108"/>
      <c r="M7" s="108"/>
      <c r="N7" s="108"/>
      <c r="O7" s="108"/>
    </row>
    <row r="8" spans="1:22" ht="15.75" thickBot="1" x14ac:dyDescent="0.3">
      <c r="A8" s="16" t="s">
        <v>5</v>
      </c>
      <c r="B8" s="17"/>
      <c r="C8" s="17">
        <f>C6+C7</f>
        <v>1316.2</v>
      </c>
      <c r="D8" s="18">
        <f>D6</f>
        <v>41</v>
      </c>
      <c r="L8" s="108"/>
      <c r="M8" s="108"/>
      <c r="N8" s="108"/>
      <c r="O8" s="108"/>
    </row>
    <row r="9" spans="1:22" ht="15.75" thickBot="1" x14ac:dyDescent="0.3">
      <c r="A9" s="19"/>
      <c r="B9" s="20"/>
      <c r="C9" s="20"/>
      <c r="D9" s="21"/>
      <c r="L9" s="108"/>
      <c r="M9" s="108"/>
      <c r="N9" s="108"/>
      <c r="O9" s="108"/>
    </row>
    <row r="10" spans="1:22" ht="15.75" thickBot="1" x14ac:dyDescent="0.3">
      <c r="A10" s="22" t="s">
        <v>112</v>
      </c>
      <c r="B10" s="23"/>
      <c r="C10" s="23"/>
      <c r="D10" s="24" t="s">
        <v>6</v>
      </c>
      <c r="F10" s="97"/>
      <c r="G10" s="97"/>
      <c r="H10" s="97"/>
      <c r="I10" s="97"/>
      <c r="J10" s="97"/>
      <c r="K10" s="97"/>
      <c r="L10" s="108"/>
      <c r="M10" s="108"/>
      <c r="N10" s="108"/>
      <c r="O10" s="108"/>
    </row>
    <row r="11" spans="1:22" x14ac:dyDescent="0.25">
      <c r="A11" s="25" t="s">
        <v>7</v>
      </c>
      <c r="B11" s="20"/>
      <c r="C11" s="20"/>
      <c r="D11" s="27">
        <v>11</v>
      </c>
      <c r="F11" s="97"/>
      <c r="G11" s="97"/>
      <c r="H11" s="97"/>
      <c r="I11" s="97"/>
      <c r="J11" s="97"/>
      <c r="K11" s="97"/>
      <c r="L11" s="108"/>
      <c r="M11" s="108"/>
      <c r="N11" s="108"/>
      <c r="O11" s="108"/>
    </row>
    <row r="12" spans="1:22" x14ac:dyDescent="0.25">
      <c r="A12" s="25" t="s">
        <v>8</v>
      </c>
      <c r="B12" s="20"/>
      <c r="C12" s="20"/>
      <c r="D12" s="27">
        <v>5</v>
      </c>
      <c r="F12" s="97"/>
      <c r="G12" s="97"/>
      <c r="H12" s="97"/>
      <c r="I12" s="97"/>
      <c r="J12" s="97"/>
      <c r="K12" s="97"/>
      <c r="L12" s="108"/>
      <c r="M12" s="108"/>
      <c r="N12" s="108"/>
      <c r="O12" s="108"/>
    </row>
    <row r="13" spans="1:22" x14ac:dyDescent="0.25">
      <c r="A13" s="25" t="s">
        <v>9</v>
      </c>
      <c r="B13" s="20"/>
      <c r="C13" s="20"/>
      <c r="D13" s="26">
        <v>0.11</v>
      </c>
      <c r="F13" s="97"/>
      <c r="G13" s="97"/>
      <c r="H13" s="97"/>
      <c r="I13" s="97"/>
      <c r="J13" s="97"/>
      <c r="K13" s="97"/>
      <c r="L13" s="108"/>
      <c r="M13" s="108"/>
      <c r="N13" s="108"/>
      <c r="O13" s="108"/>
    </row>
    <row r="14" spans="1:22" ht="15.75" thickBot="1" x14ac:dyDescent="0.3">
      <c r="A14" s="28" t="s">
        <v>10</v>
      </c>
      <c r="B14" s="29"/>
      <c r="C14" s="29"/>
      <c r="D14" s="30">
        <v>0</v>
      </c>
      <c r="F14" s="97"/>
      <c r="G14" s="97"/>
      <c r="H14" s="97"/>
      <c r="I14" s="97"/>
      <c r="J14" s="97"/>
      <c r="K14" s="97"/>
      <c r="L14" s="108"/>
      <c r="M14" s="108"/>
      <c r="N14" s="108"/>
      <c r="O14" s="108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97"/>
      <c r="G15" s="97"/>
      <c r="H15" s="97"/>
      <c r="I15" s="97"/>
      <c r="J15" s="97"/>
      <c r="K15" s="97"/>
      <c r="L15" s="108"/>
      <c r="M15" s="108"/>
      <c r="N15" s="108"/>
      <c r="O15" s="108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113</v>
      </c>
      <c r="B16" s="126"/>
      <c r="C16" s="126"/>
      <c r="D16" s="126"/>
      <c r="E16" s="127"/>
      <c r="F16" s="97"/>
      <c r="G16" s="97"/>
      <c r="H16" s="97"/>
      <c r="I16" s="97"/>
      <c r="J16" s="97"/>
      <c r="K16" s="97"/>
      <c r="L16" s="108"/>
      <c r="M16" s="109"/>
      <c r="N16" s="109"/>
      <c r="O16" s="108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39"/>
      <c r="F17" s="97"/>
      <c r="G17" s="97"/>
      <c r="H17" s="97"/>
      <c r="I17" s="97"/>
      <c r="J17" s="97"/>
      <c r="K17" s="97"/>
      <c r="L17" s="109"/>
      <c r="M17" s="110"/>
      <c r="N17" s="109"/>
      <c r="O17" s="108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39"/>
      <c r="F18" s="97"/>
      <c r="G18" s="97"/>
      <c r="H18" s="97"/>
      <c r="I18" s="97"/>
      <c r="J18" s="97"/>
      <c r="K18" s="97"/>
      <c r="L18" s="108"/>
      <c r="M18" s="108"/>
      <c r="N18" s="108"/>
      <c r="O18" s="108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114</v>
      </c>
      <c r="C19" s="38" t="s">
        <v>115</v>
      </c>
      <c r="D19" s="38" t="s">
        <v>116</v>
      </c>
      <c r="E19" s="39" t="s">
        <v>117</v>
      </c>
      <c r="F19" s="97"/>
      <c r="G19" s="97"/>
      <c r="H19" s="97"/>
      <c r="I19" s="97"/>
      <c r="J19" s="97"/>
      <c r="K19" s="97"/>
      <c r="L19" s="108"/>
      <c r="M19" s="111"/>
      <c r="N19" s="111"/>
      <c r="O19" s="108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/>
      <c r="C20" s="41">
        <f>72045.6+292.6</f>
        <v>72338.200000000012</v>
      </c>
      <c r="D20" s="40">
        <f>46801.42+4337.83</f>
        <v>51139.25</v>
      </c>
      <c r="E20" s="42">
        <f t="shared" ref="E20:E38" si="0">C20-D20+B20</f>
        <v>21198.950000000012</v>
      </c>
      <c r="F20" s="116">
        <f>C20+F22</f>
        <v>105219.20000000001</v>
      </c>
      <c r="G20" s="97"/>
      <c r="H20" s="97"/>
      <c r="I20" s="97"/>
      <c r="J20" s="97"/>
      <c r="K20" s="97"/>
      <c r="L20" s="108"/>
      <c r="M20" s="108"/>
      <c r="N20" s="108"/>
      <c r="O20" s="108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16"/>
      <c r="G21" s="97"/>
      <c r="H21" s="97"/>
      <c r="I21" s="97"/>
      <c r="J21" s="97"/>
      <c r="K21" s="97"/>
      <c r="L21" s="108"/>
      <c r="M21" s="108"/>
      <c r="N21" s="108"/>
      <c r="O21" s="108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/>
      <c r="C22" s="44">
        <f>32748+133</f>
        <v>32881</v>
      </c>
      <c r="D22" s="43">
        <f>21273.32+1971.73</f>
        <v>23245.05</v>
      </c>
      <c r="E22" s="45">
        <f t="shared" si="0"/>
        <v>9635.9500000000007</v>
      </c>
      <c r="F22" s="116">
        <f>C22</f>
        <v>32881</v>
      </c>
      <c r="G22" s="97"/>
      <c r="H22" s="97"/>
      <c r="I22" s="97"/>
      <c r="J22" s="97"/>
      <c r="K22" s="97"/>
      <c r="L22" s="108"/>
      <c r="M22" s="108"/>
      <c r="N22" s="111"/>
      <c r="O22" s="108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97"/>
      <c r="G23" s="97"/>
      <c r="H23" s="97"/>
      <c r="I23" s="97"/>
      <c r="J23" s="97"/>
      <c r="K23" s="97"/>
      <c r="L23" s="108"/>
      <c r="M23" s="108"/>
      <c r="N23" s="108"/>
      <c r="O23" s="108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44"/>
      <c r="D24" s="44"/>
      <c r="E24" s="45">
        <f t="shared" si="0"/>
        <v>0</v>
      </c>
      <c r="F24" s="97"/>
      <c r="G24" s="97"/>
      <c r="H24" s="97"/>
      <c r="I24" s="97"/>
      <c r="J24" s="97"/>
      <c r="K24" s="97"/>
      <c r="L24" s="108"/>
      <c r="M24" s="108"/>
      <c r="N24" s="108"/>
      <c r="O24" s="108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97"/>
      <c r="G25" s="97"/>
      <c r="H25" s="97"/>
      <c r="I25" s="97"/>
      <c r="J25" s="97"/>
      <c r="K25" s="97"/>
      <c r="L25" s="108"/>
      <c r="M25" s="108"/>
      <c r="N25" s="108"/>
      <c r="O25" s="108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/>
      <c r="C26" s="44">
        <f>720.52+2.92</f>
        <v>723.43999999999994</v>
      </c>
      <c r="D26" s="44">
        <f>468.03+43.37</f>
        <v>511.4</v>
      </c>
      <c r="E26" s="45">
        <f t="shared" si="0"/>
        <v>212.03999999999996</v>
      </c>
      <c r="F26" s="97"/>
      <c r="G26" s="97"/>
      <c r="H26" s="97"/>
      <c r="I26" s="97"/>
      <c r="J26" s="97"/>
      <c r="K26" s="97"/>
      <c r="L26" s="108"/>
      <c r="M26" s="108"/>
      <c r="N26" s="108"/>
      <c r="O26" s="108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83</v>
      </c>
      <c r="B27" s="44"/>
      <c r="C27" s="44"/>
      <c r="D27" s="44"/>
      <c r="E27" s="45">
        <f t="shared" si="0"/>
        <v>0</v>
      </c>
      <c r="F27" s="97"/>
      <c r="G27" s="97"/>
      <c r="H27" s="97"/>
      <c r="I27" s="97"/>
      <c r="J27" s="97"/>
      <c r="K27" s="97"/>
      <c r="L27" s="108"/>
      <c r="M27" s="108"/>
      <c r="N27" s="108"/>
      <c r="O27" s="108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0</v>
      </c>
      <c r="C28" s="50">
        <f>C29+C30+C31+C33</f>
        <v>237168.55000000002</v>
      </c>
      <c r="D28" s="50">
        <f>D29+D30+D31+D33+D32</f>
        <v>167976.69999999998</v>
      </c>
      <c r="E28" s="51">
        <f>C28-D28+B28</f>
        <v>69191.850000000035</v>
      </c>
      <c r="F28" s="97"/>
      <c r="G28" s="97"/>
      <c r="H28" s="97"/>
      <c r="I28" s="97"/>
      <c r="J28" s="97"/>
      <c r="K28" s="97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40"/>
      <c r="C29" s="40">
        <f>175005.4+710.76</f>
        <v>175716.16</v>
      </c>
      <c r="D29" s="40">
        <f>113684.44+10536.99</f>
        <v>124221.43000000001</v>
      </c>
      <c r="E29" s="42">
        <f t="shared" si="0"/>
        <v>51494.729999999996</v>
      </c>
      <c r="F29" s="97"/>
      <c r="G29" s="97"/>
      <c r="H29" s="97"/>
      <c r="I29" s="97"/>
      <c r="J29" s="97"/>
      <c r="K29" s="97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23</v>
      </c>
      <c r="B30" s="43"/>
      <c r="C30" s="43">
        <f>12573.89+29052.83-3486.34</f>
        <v>38140.380000000005</v>
      </c>
      <c r="D30" s="43">
        <f>7001.57+16721.55+615.84+1781.35</f>
        <v>26120.309999999998</v>
      </c>
      <c r="E30" s="45">
        <f t="shared" si="0"/>
        <v>12020.070000000007</v>
      </c>
      <c r="F30" s="97"/>
      <c r="G30" s="97"/>
      <c r="H30" s="97"/>
      <c r="I30" s="97"/>
      <c r="J30" s="97"/>
      <c r="K30" s="97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43"/>
      <c r="C31" s="43">
        <f>9759.02-766.74</f>
        <v>8992.2800000000007</v>
      </c>
      <c r="D31" s="43">
        <f>7119.85+623.34</f>
        <v>7743.1900000000005</v>
      </c>
      <c r="E31" s="45">
        <f t="shared" si="0"/>
        <v>1249.0900000000001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53" t="s">
        <v>90</v>
      </c>
      <c r="B32" s="43"/>
      <c r="C32" s="43"/>
      <c r="D32" s="43"/>
      <c r="E32" s="45">
        <f t="shared" si="0"/>
        <v>0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43"/>
      <c r="C33" s="43">
        <f>15187.6-867.87</f>
        <v>14319.73</v>
      </c>
      <c r="D33" s="43">
        <f>8933.48+958.29</f>
        <v>9891.77</v>
      </c>
      <c r="E33" s="45">
        <f t="shared" si="0"/>
        <v>4427.9599999999991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74</v>
      </c>
      <c r="B35" s="54"/>
      <c r="C35" s="55"/>
      <c r="D35" s="55"/>
      <c r="E35" s="45">
        <f t="shared" si="0"/>
        <v>0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155</v>
      </c>
      <c r="B37" s="44"/>
      <c r="C37" s="44"/>
      <c r="D37" s="44"/>
      <c r="E37" s="45">
        <f t="shared" si="0"/>
        <v>0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/>
      <c r="C38" s="46"/>
      <c r="D38" s="46"/>
      <c r="E38" s="47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0</v>
      </c>
      <c r="C39" s="58">
        <f>C20+C21+C22+C23+C24+C25+C26+C28+C35+C36+C37+C38</f>
        <v>343111.19000000006</v>
      </c>
      <c r="D39" s="58">
        <f>D20+D21+D22+D23+D24+D25+D26+D28+D35+D36+D37+D38+D27</f>
        <v>242872.39999999997</v>
      </c>
      <c r="E39" s="58">
        <f>E20+E21+E22+E23+E24+E25+E26+E28+E35+E36+E37+E38+E27</f>
        <v>100238.79000000005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ht="15.75" thickBot="1" x14ac:dyDescent="0.3">
      <c r="A40" s="59"/>
      <c r="B40" s="60"/>
      <c r="C40" s="56"/>
      <c r="D40" s="56"/>
      <c r="E40" s="56"/>
      <c r="F40" s="136"/>
      <c r="G40" s="137"/>
      <c r="H40" s="137"/>
      <c r="I40" s="124"/>
      <c r="J40" s="137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61" t="s">
        <v>30</v>
      </c>
      <c r="B41" s="62">
        <f>B43+B58+B59+B56+B61+B57+B60</f>
        <v>380100.12358757143</v>
      </c>
      <c r="C41" s="63" t="s">
        <v>31</v>
      </c>
      <c r="D41" s="119">
        <f>C39-B41-B61</f>
        <v>-37818.471402697425</v>
      </c>
      <c r="E41" s="272" t="s">
        <v>32</v>
      </c>
      <c r="F41" s="273">
        <f>5512727.45</f>
        <v>5512727.4500000002</v>
      </c>
      <c r="G41" s="274">
        <f>F41/F47*C8/12*5</f>
        <v>25405.643801435577</v>
      </c>
      <c r="H41" s="137"/>
      <c r="I41" s="97"/>
      <c r="J41" s="97"/>
    </row>
    <row r="42" spans="1:22" x14ac:dyDescent="0.25">
      <c r="A42" s="64"/>
      <c r="B42" s="65"/>
      <c r="C42" s="69" t="s">
        <v>31</v>
      </c>
      <c r="D42" s="119"/>
      <c r="E42" s="272" t="s">
        <v>33</v>
      </c>
      <c r="F42" s="273">
        <v>1264951.0900000001</v>
      </c>
      <c r="G42" s="274">
        <f>F42/F47*C8/12*5</f>
        <v>5829.582019110645</v>
      </c>
      <c r="H42" s="137"/>
      <c r="I42" s="97"/>
      <c r="J42" s="97"/>
    </row>
    <row r="43" spans="1:22" x14ac:dyDescent="0.25">
      <c r="A43" s="67" t="s">
        <v>34</v>
      </c>
      <c r="B43" s="160">
        <f>B44+B45+B47+B48+B49+B50+B51+B52+B53+B54+B55+B46</f>
        <v>108263.54577244539</v>
      </c>
      <c r="C43" s="69" t="s">
        <v>31</v>
      </c>
      <c r="D43" s="119"/>
      <c r="E43" s="272" t="s">
        <v>35</v>
      </c>
      <c r="F43" s="273">
        <v>180000</v>
      </c>
      <c r="G43" s="274">
        <f>F43/F47*C8/12*5</f>
        <v>829.5378151260503</v>
      </c>
      <c r="H43" s="137"/>
      <c r="I43" s="97"/>
      <c r="J43" s="97"/>
    </row>
    <row r="44" spans="1:22" x14ac:dyDescent="0.25">
      <c r="A44" s="70" t="s">
        <v>76</v>
      </c>
      <c r="B44" s="184">
        <v>12287.44</v>
      </c>
      <c r="C44" s="71" t="s">
        <v>31</v>
      </c>
      <c r="D44" s="119"/>
      <c r="E44" s="272" t="s">
        <v>18</v>
      </c>
      <c r="F44" s="273">
        <f>299837.27</f>
        <v>299837.27</v>
      </c>
      <c r="G44" s="274">
        <f>F44/F47*C8/12*5</f>
        <v>1381.8130769397762</v>
      </c>
      <c r="H44" s="137"/>
      <c r="I44" s="97"/>
      <c r="J44" s="97"/>
    </row>
    <row r="45" spans="1:22" x14ac:dyDescent="0.25">
      <c r="A45" s="72" t="s">
        <v>37</v>
      </c>
      <c r="B45" s="184">
        <f>(G41+G42)</f>
        <v>31235.22582054622</v>
      </c>
      <c r="C45" s="71" t="s">
        <v>31</v>
      </c>
      <c r="D45" s="119"/>
      <c r="E45" s="275" t="s">
        <v>38</v>
      </c>
      <c r="F45" s="273">
        <f>7000+1260+30890+4200</f>
        <v>43350</v>
      </c>
      <c r="G45" s="274">
        <f>F45/F47*C8/12*5</f>
        <v>199.78035714285713</v>
      </c>
      <c r="H45" s="137"/>
      <c r="I45" s="97"/>
      <c r="J45" s="97"/>
    </row>
    <row r="46" spans="1:22" x14ac:dyDescent="0.25">
      <c r="A46" s="72" t="s">
        <v>39</v>
      </c>
      <c r="B46" s="184">
        <v>6750</v>
      </c>
      <c r="C46" s="71" t="s">
        <v>31</v>
      </c>
      <c r="D46" s="119"/>
      <c r="E46" s="274" t="s">
        <v>12</v>
      </c>
      <c r="F46" s="273">
        <f>8022857.59-F45</f>
        <v>7979507.5899999999</v>
      </c>
      <c r="G46" s="274">
        <f>F46/F47*C8/12*5</f>
        <v>36773.90717772409</v>
      </c>
      <c r="H46" s="137"/>
      <c r="I46" s="97"/>
      <c r="J46" s="97"/>
    </row>
    <row r="47" spans="1:22" x14ac:dyDescent="0.25">
      <c r="A47" s="70" t="s">
        <v>40</v>
      </c>
      <c r="B47" s="184">
        <f>G45+5606.31</f>
        <v>5806.0903571428571</v>
      </c>
      <c r="C47" s="71" t="s">
        <v>31</v>
      </c>
      <c r="D47" s="119"/>
      <c r="E47" s="276" t="s">
        <v>41</v>
      </c>
      <c r="F47" s="277">
        <f>119000</f>
        <v>119000</v>
      </c>
      <c r="G47" s="274"/>
      <c r="H47" s="137"/>
      <c r="I47" s="97"/>
      <c r="J47" s="97"/>
    </row>
    <row r="48" spans="1:22" x14ac:dyDescent="0.25">
      <c r="A48" s="70" t="s">
        <v>42</v>
      </c>
      <c r="B48" s="184">
        <f>G44</f>
        <v>1381.8130769397762</v>
      </c>
      <c r="C48" s="71" t="s">
        <v>31</v>
      </c>
      <c r="D48" s="119"/>
      <c r="E48" s="278"/>
      <c r="F48" s="274"/>
      <c r="G48" s="274"/>
      <c r="H48" s="137"/>
      <c r="I48" s="97"/>
      <c r="J48" s="97"/>
    </row>
    <row r="49" spans="1:10" x14ac:dyDescent="0.25">
      <c r="A49" s="70" t="s">
        <v>141</v>
      </c>
      <c r="B49" s="184">
        <f>G46</f>
        <v>36773.90717772409</v>
      </c>
      <c r="C49" s="71" t="s">
        <v>31</v>
      </c>
      <c r="D49" s="119"/>
      <c r="E49" s="279" t="s">
        <v>70</v>
      </c>
      <c r="F49" s="277">
        <f>1910.32</f>
        <v>1910.32</v>
      </c>
      <c r="G49" s="279">
        <f>F49/F47*C8/12*5</f>
        <v>8.8037926610644259</v>
      </c>
      <c r="H49" s="137"/>
      <c r="I49" s="97"/>
      <c r="J49" s="97"/>
    </row>
    <row r="50" spans="1:10" x14ac:dyDescent="0.25">
      <c r="A50" s="70" t="s">
        <v>44</v>
      </c>
      <c r="B50" s="184">
        <f>G51</f>
        <v>75.716524929971982</v>
      </c>
      <c r="C50" s="71" t="s">
        <v>31</v>
      </c>
      <c r="D50" s="119"/>
      <c r="E50" s="119"/>
      <c r="F50" s="120"/>
      <c r="G50" s="121"/>
      <c r="H50" s="137"/>
      <c r="I50" s="97"/>
      <c r="J50" s="97"/>
    </row>
    <row r="51" spans="1:10" x14ac:dyDescent="0.25">
      <c r="A51" s="70" t="s">
        <v>45</v>
      </c>
      <c r="B51" s="184">
        <f>G49</f>
        <v>8.8037926610644259</v>
      </c>
      <c r="C51" s="71" t="s">
        <v>31</v>
      </c>
      <c r="D51" s="119"/>
      <c r="E51" s="119" t="s">
        <v>125</v>
      </c>
      <c r="F51" s="280">
        <f>16429.6</f>
        <v>16429.599999999999</v>
      </c>
      <c r="G51" s="279">
        <f>F51/F47*C8/12*5</f>
        <v>75.716524929971982</v>
      </c>
      <c r="H51" s="137"/>
      <c r="I51" s="97"/>
      <c r="J51" s="97"/>
    </row>
    <row r="52" spans="1:10" x14ac:dyDescent="0.25">
      <c r="A52" s="70" t="s">
        <v>46</v>
      </c>
      <c r="B52" s="184">
        <v>2782.15</v>
      </c>
      <c r="C52" s="71" t="s">
        <v>31</v>
      </c>
      <c r="D52" s="119"/>
      <c r="E52" s="119"/>
      <c r="F52" s="120"/>
      <c r="G52" s="121"/>
      <c r="H52" s="137"/>
      <c r="I52" s="97"/>
      <c r="J52" s="97"/>
    </row>
    <row r="53" spans="1:10" x14ac:dyDescent="0.25">
      <c r="A53" s="191" t="s">
        <v>209</v>
      </c>
      <c r="B53" s="184">
        <f>350+350+350</f>
        <v>1050</v>
      </c>
      <c r="C53" s="71" t="s">
        <v>31</v>
      </c>
      <c r="D53" s="56"/>
      <c r="E53" s="56"/>
      <c r="F53" s="156"/>
      <c r="G53" s="157"/>
      <c r="H53" s="137"/>
      <c r="I53" s="97"/>
      <c r="J53" s="97"/>
    </row>
    <row r="54" spans="1:10" x14ac:dyDescent="0.25">
      <c r="A54" s="70" t="s">
        <v>48</v>
      </c>
      <c r="B54" s="184">
        <f>1533.6</f>
        <v>1533.6</v>
      </c>
      <c r="C54" s="71" t="s">
        <v>31</v>
      </c>
      <c r="D54" s="56"/>
      <c r="E54" s="56"/>
      <c r="F54" s="136"/>
      <c r="G54" s="137"/>
      <c r="H54" s="137"/>
      <c r="I54" s="97"/>
      <c r="J54" s="97"/>
    </row>
    <row r="55" spans="1:10" x14ac:dyDescent="0.25">
      <c r="A55" s="70" t="s">
        <v>49</v>
      </c>
      <c r="B55" s="184">
        <f>(B45+B46+B47+B48+B49+B51+B52+B53)*0.1</f>
        <v>8578.7990225014</v>
      </c>
      <c r="C55" s="71" t="s">
        <v>31</v>
      </c>
      <c r="D55" s="56"/>
      <c r="E55" s="56"/>
      <c r="F55" s="136"/>
      <c r="G55" s="137"/>
      <c r="H55" s="137"/>
      <c r="I55" s="137"/>
      <c r="J55" s="137"/>
    </row>
    <row r="56" spans="1:10" x14ac:dyDescent="0.25">
      <c r="A56" s="67" t="s">
        <v>50</v>
      </c>
      <c r="B56" s="160">
        <f>C77</f>
        <v>80003.55</v>
      </c>
      <c r="C56" s="69" t="s">
        <v>31</v>
      </c>
      <c r="D56" s="122"/>
      <c r="E56" s="122"/>
      <c r="F56" s="123"/>
      <c r="G56" s="124"/>
      <c r="H56" s="124"/>
      <c r="I56" s="97"/>
      <c r="J56" s="97"/>
    </row>
    <row r="57" spans="1:10" x14ac:dyDescent="0.25">
      <c r="A57" s="67" t="s">
        <v>51</v>
      </c>
      <c r="B57" s="160"/>
      <c r="C57" s="69" t="s">
        <v>31</v>
      </c>
      <c r="D57" s="122"/>
      <c r="E57" s="122"/>
      <c r="F57" s="123"/>
      <c r="G57" s="124"/>
      <c r="H57" s="124"/>
      <c r="I57" s="137"/>
      <c r="J57" s="137"/>
    </row>
    <row r="58" spans="1:10" x14ac:dyDescent="0.25">
      <c r="A58" s="67" t="s">
        <v>52</v>
      </c>
      <c r="B58" s="160">
        <f>14056.93+176946.56</f>
        <v>191003.49</v>
      </c>
      <c r="C58" s="69" t="s">
        <v>31</v>
      </c>
      <c r="D58" s="56"/>
      <c r="E58" s="56"/>
      <c r="F58" s="3"/>
      <c r="I58" s="97"/>
      <c r="J58" s="97"/>
    </row>
    <row r="59" spans="1:10" x14ac:dyDescent="0.25">
      <c r="A59" s="67" t="s">
        <v>53</v>
      </c>
      <c r="B59" s="68"/>
      <c r="C59" s="69" t="s">
        <v>54</v>
      </c>
      <c r="D59" s="56"/>
      <c r="E59" s="56"/>
      <c r="F59" s="3"/>
      <c r="I59" s="137"/>
      <c r="J59" s="137"/>
    </row>
    <row r="60" spans="1:10" x14ac:dyDescent="0.25">
      <c r="A60" s="133" t="s">
        <v>154</v>
      </c>
      <c r="B60" s="134">
        <f>C37/1.02</f>
        <v>0</v>
      </c>
      <c r="C60" s="135"/>
      <c r="D60" s="56"/>
      <c r="E60" s="56"/>
      <c r="F60" s="3"/>
      <c r="I60" s="97"/>
      <c r="J60" s="97"/>
    </row>
    <row r="61" spans="1:10" ht="15.75" thickBot="1" x14ac:dyDescent="0.3">
      <c r="A61" s="73" t="s">
        <v>78</v>
      </c>
      <c r="B61" s="74">
        <f>G43</f>
        <v>829.5378151260503</v>
      </c>
      <c r="C61" s="75" t="s">
        <v>31</v>
      </c>
      <c r="D61" s="56"/>
      <c r="E61" s="56"/>
      <c r="F61" s="3"/>
      <c r="I61" s="137"/>
      <c r="J61" s="137"/>
    </row>
    <row r="62" spans="1:10" x14ac:dyDescent="0.25">
      <c r="A62" s="59"/>
      <c r="B62" s="60"/>
      <c r="C62" s="56"/>
      <c r="D62" s="56"/>
      <c r="E62" s="56"/>
      <c r="F62" s="3"/>
      <c r="I62" s="97"/>
      <c r="J62" s="97"/>
    </row>
    <row r="63" spans="1:10" x14ac:dyDescent="0.25">
      <c r="A63" s="59" t="s">
        <v>166</v>
      </c>
      <c r="B63" s="2">
        <f>B64+B65+B66+B67+B68+B69</f>
        <v>-36988.933587571402</v>
      </c>
      <c r="C63" s="56" t="s">
        <v>31</v>
      </c>
      <c r="D63" s="56"/>
      <c r="E63" s="56"/>
      <c r="F63" s="3"/>
      <c r="I63" s="97"/>
      <c r="J63" s="97"/>
    </row>
    <row r="64" spans="1:10" x14ac:dyDescent="0.25">
      <c r="A64" s="77" t="s">
        <v>56</v>
      </c>
      <c r="B64" s="78">
        <f>C20-B43-B61</f>
        <v>-36754.883587571429</v>
      </c>
      <c r="C64" s="56" t="s">
        <v>31</v>
      </c>
      <c r="D64" s="56"/>
      <c r="E64" s="56"/>
      <c r="F64" s="3"/>
      <c r="I64" s="137"/>
      <c r="J64" s="137"/>
    </row>
    <row r="65" spans="1:10" x14ac:dyDescent="0.25">
      <c r="A65" s="77" t="s">
        <v>57</v>
      </c>
      <c r="B65" s="78">
        <f>C22-B56</f>
        <v>-47122.55</v>
      </c>
      <c r="C65" s="56" t="s">
        <v>31</v>
      </c>
      <c r="D65" s="56"/>
      <c r="E65" s="56"/>
      <c r="F65" s="3"/>
      <c r="I65" s="97"/>
      <c r="J65" s="97"/>
    </row>
    <row r="66" spans="1:10" x14ac:dyDescent="0.25">
      <c r="A66" s="77" t="s">
        <v>58</v>
      </c>
      <c r="B66" s="78">
        <f>C26-B57</f>
        <v>723.43999999999994</v>
      </c>
      <c r="C66" s="56" t="s">
        <v>31</v>
      </c>
      <c r="D66" s="56"/>
      <c r="E66" s="56"/>
      <c r="F66" s="3"/>
      <c r="I66" s="137"/>
      <c r="J66" s="137"/>
    </row>
    <row r="67" spans="1:10" x14ac:dyDescent="0.25">
      <c r="A67" s="77" t="s">
        <v>59</v>
      </c>
      <c r="B67" s="78">
        <f>C28-B58</f>
        <v>46165.060000000027</v>
      </c>
      <c r="C67" s="56" t="s">
        <v>31</v>
      </c>
      <c r="D67" s="56"/>
      <c r="E67" s="56"/>
      <c r="F67" s="3"/>
      <c r="I67" s="97"/>
      <c r="J67" s="97"/>
    </row>
    <row r="68" spans="1:10" x14ac:dyDescent="0.25">
      <c r="A68" s="77" t="s">
        <v>60</v>
      </c>
      <c r="B68" s="78">
        <f>C35-B59</f>
        <v>0</v>
      </c>
      <c r="C68" s="56" t="s">
        <v>31</v>
      </c>
      <c r="D68" s="56"/>
      <c r="E68" s="56"/>
      <c r="F68" s="3"/>
      <c r="I68" s="137"/>
      <c r="J68" s="137"/>
    </row>
    <row r="69" spans="1:10" x14ac:dyDescent="0.25">
      <c r="A69" s="77" t="s">
        <v>157</v>
      </c>
      <c r="B69" s="78">
        <f>C37-B60</f>
        <v>0</v>
      </c>
      <c r="C69" s="56" t="s">
        <v>31</v>
      </c>
      <c r="I69" s="97"/>
      <c r="J69" s="97"/>
    </row>
    <row r="70" spans="1:10" ht="15.75" thickBot="1" x14ac:dyDescent="0.3">
      <c r="A70" s="77"/>
      <c r="B70" s="78"/>
      <c r="C70" s="56"/>
      <c r="D70" s="98"/>
      <c r="E70" s="99"/>
      <c r="F70" s="100"/>
      <c r="G70" s="97"/>
      <c r="I70" s="137"/>
      <c r="J70" s="137"/>
    </row>
    <row r="71" spans="1:10" ht="15.75" thickBot="1" x14ac:dyDescent="0.3">
      <c r="A71" s="128" t="s">
        <v>146</v>
      </c>
      <c r="B71" s="129"/>
      <c r="C71" s="130"/>
      <c r="D71" s="101"/>
      <c r="E71" s="101"/>
      <c r="F71" s="101"/>
      <c r="G71" s="97"/>
      <c r="I71" s="97"/>
      <c r="J71" s="97"/>
    </row>
    <row r="72" spans="1:10" ht="51.75" thickBot="1" x14ac:dyDescent="0.3">
      <c r="A72" s="79" t="s">
        <v>80</v>
      </c>
      <c r="B72" s="80" t="s">
        <v>61</v>
      </c>
      <c r="C72" s="81" t="s">
        <v>67</v>
      </c>
      <c r="D72" s="102"/>
      <c r="E72" s="103"/>
      <c r="F72" s="104"/>
      <c r="G72" s="97"/>
      <c r="I72" s="137"/>
      <c r="J72" s="137"/>
    </row>
    <row r="73" spans="1:10" x14ac:dyDescent="0.25">
      <c r="A73" s="82" t="s">
        <v>62</v>
      </c>
      <c r="B73" s="113" t="s">
        <v>31</v>
      </c>
      <c r="C73" s="114" t="s">
        <v>31</v>
      </c>
      <c r="D73" s="102"/>
      <c r="E73" s="103"/>
      <c r="F73" s="104"/>
      <c r="G73" s="97"/>
      <c r="I73" s="97"/>
      <c r="J73" s="97"/>
    </row>
    <row r="74" spans="1:10" x14ac:dyDescent="0.25">
      <c r="A74" s="53" t="s">
        <v>174</v>
      </c>
      <c r="B74" s="43"/>
      <c r="C74" s="185">
        <v>75003.55</v>
      </c>
      <c r="D74" s="102"/>
      <c r="E74" s="103"/>
      <c r="F74" s="104"/>
      <c r="G74" s="97"/>
      <c r="I74" s="137"/>
      <c r="J74" s="137"/>
    </row>
    <row r="75" spans="1:10" x14ac:dyDescent="0.25">
      <c r="A75" s="53" t="s">
        <v>182</v>
      </c>
      <c r="B75" s="43"/>
      <c r="C75" s="185">
        <v>3500</v>
      </c>
      <c r="D75" s="102"/>
      <c r="E75" s="103"/>
      <c r="F75" s="104"/>
      <c r="G75" s="97"/>
      <c r="I75" s="97"/>
      <c r="J75" s="97"/>
    </row>
    <row r="76" spans="1:10" x14ac:dyDescent="0.25">
      <c r="A76" s="53" t="s">
        <v>179</v>
      </c>
      <c r="B76" s="43"/>
      <c r="C76" s="107">
        <v>1500</v>
      </c>
      <c r="D76" s="102"/>
      <c r="E76" s="103"/>
      <c r="F76" s="104"/>
      <c r="G76" s="97"/>
      <c r="I76" s="137"/>
      <c r="J76" s="137"/>
    </row>
    <row r="77" spans="1:10" ht="15.75" thickBot="1" x14ac:dyDescent="0.3">
      <c r="A77" s="145" t="s">
        <v>5</v>
      </c>
      <c r="B77" s="146">
        <f>B74</f>
        <v>0</v>
      </c>
      <c r="C77" s="147">
        <f>C74+C75+C76</f>
        <v>80003.55</v>
      </c>
      <c r="D77" s="105"/>
      <c r="E77" s="103"/>
      <c r="F77" s="104"/>
      <c r="G77" s="97"/>
      <c r="I77" s="137"/>
      <c r="J77" s="137"/>
    </row>
    <row r="78" spans="1:10" x14ac:dyDescent="0.25">
      <c r="A78" s="31"/>
      <c r="B78" s="33"/>
      <c r="C78" s="87"/>
      <c r="D78" s="105"/>
      <c r="E78" s="103"/>
      <c r="F78" s="104"/>
      <c r="G78" s="97"/>
    </row>
    <row r="79" spans="1:10" x14ac:dyDescent="0.25">
      <c r="A79" s="164" t="s">
        <v>132</v>
      </c>
      <c r="B79" s="149"/>
      <c r="C79" s="215"/>
      <c r="D79" s="216"/>
      <c r="E79" s="89"/>
    </row>
    <row r="80" spans="1:10" x14ac:dyDescent="0.25">
      <c r="A80" s="217"/>
      <c r="B80" s="149"/>
      <c r="C80" s="215"/>
      <c r="D80" s="218"/>
      <c r="E80" s="89"/>
    </row>
    <row r="81" spans="1:6" x14ac:dyDescent="0.25">
      <c r="A81" s="165" t="s">
        <v>133</v>
      </c>
      <c r="B81" s="149" t="s">
        <v>134</v>
      </c>
      <c r="C81" s="219"/>
      <c r="D81" s="216"/>
      <c r="E81" s="89"/>
    </row>
    <row r="82" spans="1:6" x14ac:dyDescent="0.25">
      <c r="A82" s="165"/>
      <c r="B82" s="149"/>
      <c r="C82" s="219"/>
      <c r="D82" s="216"/>
      <c r="E82" s="56"/>
    </row>
    <row r="83" spans="1:6" x14ac:dyDescent="0.25">
      <c r="A83" s="220"/>
      <c r="B83" s="221"/>
      <c r="C83" s="219"/>
      <c r="D83" s="150"/>
      <c r="E83" s="56"/>
    </row>
    <row r="84" spans="1:6" ht="15.75" x14ac:dyDescent="0.25">
      <c r="A84" s="223" t="s">
        <v>63</v>
      </c>
      <c r="B84" s="224" t="s">
        <v>134</v>
      </c>
      <c r="C84" s="225"/>
      <c r="D84" s="226" t="s">
        <v>66</v>
      </c>
      <c r="E84" s="89"/>
    </row>
    <row r="85" spans="1:6" x14ac:dyDescent="0.25">
      <c r="A85" s="91"/>
      <c r="B85" s="92"/>
      <c r="C85" s="87"/>
      <c r="D85" s="88"/>
      <c r="E85" s="89"/>
    </row>
    <row r="86" spans="1:6" x14ac:dyDescent="0.25">
      <c r="A86" s="31"/>
      <c r="B86" s="33"/>
      <c r="C86" s="87"/>
      <c r="D86" s="88"/>
      <c r="E86" s="89"/>
    </row>
    <row r="87" spans="1:6" x14ac:dyDescent="0.25">
      <c r="A87" s="95"/>
      <c r="B87" s="96"/>
      <c r="C87" s="89"/>
      <c r="D87" s="93"/>
      <c r="E87" s="89"/>
    </row>
    <row r="88" spans="1:6" x14ac:dyDescent="0.25">
      <c r="A88" s="95"/>
      <c r="B88" s="96"/>
      <c r="C88" s="89"/>
      <c r="D88" s="93"/>
      <c r="E88" s="89"/>
      <c r="F88" s="94"/>
    </row>
    <row r="89" spans="1:6" x14ac:dyDescent="0.25">
      <c r="A89" s="31"/>
      <c r="B89" s="33"/>
      <c r="C89" s="89"/>
      <c r="D89" s="93"/>
      <c r="E89" s="89"/>
    </row>
    <row r="90" spans="1:6" x14ac:dyDescent="0.25">
      <c r="A90" s="31"/>
      <c r="B90" s="33"/>
      <c r="C90" s="56"/>
      <c r="D90" s="87"/>
      <c r="E90" s="89"/>
    </row>
    <row r="91" spans="1:6" x14ac:dyDescent="0.25">
      <c r="A91" s="19"/>
      <c r="B91" s="20"/>
      <c r="C91" s="89"/>
      <c r="D91" s="87"/>
      <c r="E91" s="89"/>
    </row>
    <row r="92" spans="1:6" x14ac:dyDescent="0.25">
      <c r="A92" s="31"/>
      <c r="B92" s="33"/>
      <c r="C92" s="89"/>
      <c r="D92" s="56"/>
      <c r="E92" s="56"/>
      <c r="F92" s="3"/>
    </row>
    <row r="93" spans="1:6" x14ac:dyDescent="0.25">
      <c r="A93" s="31"/>
      <c r="B93" s="33"/>
      <c r="C93" s="33"/>
      <c r="D93" s="56"/>
      <c r="E93" s="89"/>
    </row>
    <row r="94" spans="1:6" x14ac:dyDescent="0.25">
      <c r="A94" s="31"/>
      <c r="B94" s="33"/>
      <c r="C94" s="33"/>
      <c r="D94" s="56"/>
      <c r="E94" s="56"/>
    </row>
    <row r="95" spans="1:6" x14ac:dyDescent="0.25">
      <c r="A95" s="31"/>
      <c r="B95" s="33"/>
      <c r="C95" s="33"/>
      <c r="D95" s="89"/>
      <c r="E95" s="89"/>
    </row>
    <row r="96" spans="1:6" x14ac:dyDescent="0.25">
      <c r="A96" s="31"/>
      <c r="B96" s="33"/>
      <c r="D96" s="89"/>
      <c r="E96" s="89"/>
    </row>
    <row r="97" spans="2:6" x14ac:dyDescent="0.25">
      <c r="D97" s="89"/>
      <c r="E97" s="89"/>
    </row>
    <row r="98" spans="2:6" x14ac:dyDescent="0.25">
      <c r="D98" s="89"/>
      <c r="E98" s="89"/>
    </row>
    <row r="99" spans="2:6" x14ac:dyDescent="0.25">
      <c r="D99" s="89"/>
      <c r="E99" s="89"/>
    </row>
    <row r="100" spans="2:6" x14ac:dyDescent="0.25">
      <c r="D100" s="89"/>
      <c r="E100" s="89"/>
    </row>
    <row r="101" spans="2:6" x14ac:dyDescent="0.25">
      <c r="B101"/>
      <c r="C101"/>
      <c r="D101" s="56"/>
      <c r="E101" s="56"/>
      <c r="F101" s="3"/>
    </row>
    <row r="102" spans="2:6" x14ac:dyDescent="0.25">
      <c r="B102"/>
      <c r="C102"/>
      <c r="D102" s="89"/>
      <c r="E102" s="89"/>
      <c r="F102" s="3"/>
    </row>
    <row r="103" spans="2:6" x14ac:dyDescent="0.25">
      <c r="B103"/>
      <c r="C103"/>
      <c r="D103" s="89"/>
      <c r="E103" s="89"/>
    </row>
    <row r="104" spans="2:6" x14ac:dyDescent="0.25">
      <c r="B104"/>
      <c r="C104"/>
      <c r="D104" s="33"/>
      <c r="E104" s="33"/>
    </row>
    <row r="105" spans="2:6" x14ac:dyDescent="0.25">
      <c r="B105"/>
      <c r="C105"/>
      <c r="D105" s="33"/>
      <c r="E105" s="33"/>
    </row>
    <row r="106" spans="2:6" x14ac:dyDescent="0.25">
      <c r="D106" s="33"/>
      <c r="E106" s="33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V107"/>
  <sheetViews>
    <sheetView view="pageBreakPreview" topLeftCell="A56" zoomScale="60" zoomScaleNormal="100" workbookViewId="0">
      <selection activeCell="J26" sqref="J26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167</v>
      </c>
      <c r="B2" s="2"/>
      <c r="C2" s="2"/>
      <c r="D2" s="2"/>
    </row>
    <row r="3" spans="1:22" ht="15.75" thickBot="1" x14ac:dyDescent="0.3">
      <c r="A3" s="1"/>
      <c r="B3" s="2"/>
      <c r="C3" s="2"/>
      <c r="D3" s="2"/>
      <c r="L3" s="108"/>
      <c r="M3" s="108"/>
      <c r="N3" s="108"/>
      <c r="O3" s="108"/>
    </row>
    <row r="4" spans="1:22" ht="15.75" thickBot="1" x14ac:dyDescent="0.3">
      <c r="A4" s="22" t="s">
        <v>0</v>
      </c>
      <c r="B4" s="126"/>
      <c r="C4" s="126"/>
      <c r="D4" s="127"/>
      <c r="L4" s="108"/>
      <c r="M4" s="108"/>
      <c r="N4" s="108"/>
      <c r="O4" s="108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L5" s="108"/>
      <c r="M5" s="108"/>
      <c r="N5" s="108"/>
      <c r="O5" s="108"/>
    </row>
    <row r="6" spans="1:22" x14ac:dyDescent="0.25">
      <c r="A6" s="10" t="s">
        <v>168</v>
      </c>
      <c r="B6" s="11"/>
      <c r="C6" s="158">
        <v>687.1</v>
      </c>
      <c r="D6" s="159">
        <v>23</v>
      </c>
      <c r="L6" s="108"/>
      <c r="M6" s="108"/>
      <c r="N6" s="108"/>
      <c r="O6" s="108"/>
    </row>
    <row r="7" spans="1:22" x14ac:dyDescent="0.25">
      <c r="A7" s="13"/>
      <c r="B7" s="14"/>
      <c r="C7" s="160"/>
      <c r="D7" s="161"/>
      <c r="L7" s="108"/>
      <c r="M7" s="108"/>
      <c r="N7" s="108"/>
      <c r="O7" s="108"/>
    </row>
    <row r="8" spans="1:22" ht="15.75" thickBot="1" x14ac:dyDescent="0.3">
      <c r="A8" s="16" t="s">
        <v>5</v>
      </c>
      <c r="B8" s="17"/>
      <c r="C8" s="162">
        <f>C6+C7</f>
        <v>687.1</v>
      </c>
      <c r="D8" s="163">
        <f>D6</f>
        <v>23</v>
      </c>
      <c r="L8" s="108"/>
      <c r="M8" s="108"/>
      <c r="N8" s="108"/>
      <c r="O8" s="108"/>
    </row>
    <row r="9" spans="1:22" ht="15.75" thickBot="1" x14ac:dyDescent="0.3">
      <c r="A9" s="194"/>
      <c r="B9" s="106"/>
      <c r="C9" s="106"/>
      <c r="D9" s="195"/>
      <c r="L9" s="108"/>
      <c r="M9" s="108"/>
      <c r="N9" s="108"/>
      <c r="O9" s="108"/>
    </row>
    <row r="10" spans="1:22" ht="15.75" thickBot="1" x14ac:dyDescent="0.3">
      <c r="A10" s="22" t="s">
        <v>112</v>
      </c>
      <c r="B10" s="23"/>
      <c r="C10" s="23"/>
      <c r="D10" s="24" t="s">
        <v>6</v>
      </c>
      <c r="F10" s="97"/>
      <c r="G10" s="97"/>
      <c r="H10" s="97"/>
      <c r="I10" s="97"/>
      <c r="J10" s="97"/>
      <c r="K10" s="97"/>
      <c r="L10" s="108"/>
      <c r="M10" s="108"/>
      <c r="N10" s="108"/>
      <c r="O10" s="108"/>
    </row>
    <row r="11" spans="1:22" x14ac:dyDescent="0.25">
      <c r="A11" s="25" t="s">
        <v>7</v>
      </c>
      <c r="B11" s="20"/>
      <c r="C11" s="20"/>
      <c r="D11" s="168">
        <v>10</v>
      </c>
      <c r="F11" s="97"/>
      <c r="G11" s="97"/>
      <c r="H11" s="97"/>
      <c r="I11" s="97"/>
      <c r="J11" s="97"/>
      <c r="K11" s="97"/>
      <c r="L11" s="108"/>
      <c r="M11" s="108"/>
      <c r="N11" s="108"/>
      <c r="O11" s="108"/>
    </row>
    <row r="12" spans="1:22" x14ac:dyDescent="0.25">
      <c r="A12" s="25" t="s">
        <v>8</v>
      </c>
      <c r="B12" s="20"/>
      <c r="C12" s="20"/>
      <c r="D12" s="168">
        <v>3</v>
      </c>
      <c r="F12" s="97"/>
      <c r="G12" s="97"/>
      <c r="H12" s="97"/>
      <c r="I12" s="97"/>
      <c r="J12" s="97"/>
      <c r="K12" s="97"/>
      <c r="L12" s="108"/>
      <c r="M12" s="108"/>
      <c r="N12" s="108"/>
      <c r="O12" s="108"/>
    </row>
    <row r="13" spans="1:22" x14ac:dyDescent="0.25">
      <c r="A13" s="25" t="s">
        <v>9</v>
      </c>
      <c r="B13" s="20"/>
      <c r="C13" s="20"/>
      <c r="D13" s="167"/>
      <c r="F13" s="97"/>
      <c r="G13" s="97"/>
      <c r="H13" s="97"/>
      <c r="I13" s="97"/>
      <c r="J13" s="97"/>
      <c r="K13" s="97"/>
      <c r="L13" s="108"/>
      <c r="M13" s="108"/>
      <c r="N13" s="108"/>
      <c r="O13" s="108"/>
    </row>
    <row r="14" spans="1:22" ht="15.75" thickBot="1" x14ac:dyDescent="0.3">
      <c r="A14" s="28" t="s">
        <v>10</v>
      </c>
      <c r="B14" s="193"/>
      <c r="C14" s="193"/>
      <c r="D14" s="30"/>
      <c r="F14" s="97"/>
      <c r="G14" s="97"/>
      <c r="H14" s="97"/>
      <c r="I14" s="97"/>
      <c r="J14" s="97"/>
      <c r="K14" s="97"/>
      <c r="L14" s="108"/>
      <c r="M14" s="108"/>
      <c r="N14" s="108"/>
      <c r="O14" s="108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97"/>
      <c r="G15" s="97"/>
      <c r="H15" s="97"/>
      <c r="I15" s="97"/>
      <c r="J15" s="97"/>
      <c r="K15" s="97"/>
      <c r="L15" s="108"/>
      <c r="M15" s="108"/>
      <c r="N15" s="108"/>
      <c r="O15" s="108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113</v>
      </c>
      <c r="B16" s="126"/>
      <c r="C16" s="126"/>
      <c r="D16" s="126"/>
      <c r="E16" s="127"/>
      <c r="F16" s="97"/>
      <c r="G16" s="97"/>
      <c r="H16" s="97"/>
      <c r="I16" s="97"/>
      <c r="J16" s="97"/>
      <c r="K16" s="97"/>
      <c r="L16" s="108"/>
      <c r="M16" s="109"/>
      <c r="N16" s="109"/>
      <c r="O16" s="108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39"/>
      <c r="F17" s="97"/>
      <c r="G17" s="97"/>
      <c r="H17" s="97"/>
      <c r="I17" s="97"/>
      <c r="J17" s="97"/>
      <c r="K17" s="97"/>
      <c r="L17" s="109"/>
      <c r="M17" s="110"/>
      <c r="N17" s="109"/>
      <c r="O17" s="108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39"/>
      <c r="F18" s="97"/>
      <c r="G18" s="97"/>
      <c r="H18" s="97"/>
      <c r="I18" s="97"/>
      <c r="J18" s="97"/>
      <c r="K18" s="97"/>
      <c r="L18" s="108"/>
      <c r="M18" s="108"/>
      <c r="N18" s="108"/>
      <c r="O18" s="108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114</v>
      </c>
      <c r="C19" s="38" t="s">
        <v>115</v>
      </c>
      <c r="D19" s="38" t="s">
        <v>116</v>
      </c>
      <c r="E19" s="39" t="s">
        <v>117</v>
      </c>
      <c r="F19" s="97"/>
      <c r="G19" s="97"/>
      <c r="H19" s="97"/>
      <c r="I19" s="97"/>
      <c r="J19" s="97"/>
      <c r="K19" s="97"/>
      <c r="L19" s="108"/>
      <c r="M19" s="111"/>
      <c r="N19" s="111"/>
      <c r="O19" s="108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/>
      <c r="C20" s="171">
        <f>18909</f>
        <v>18909</v>
      </c>
      <c r="D20" s="171">
        <f>12464.44</f>
        <v>12464.44</v>
      </c>
      <c r="E20" s="42">
        <f t="shared" ref="E20:E38" si="0">C20-D20+B20</f>
        <v>6444.5599999999995</v>
      </c>
      <c r="F20" s="116">
        <f>C20+F22</f>
        <v>25098.9</v>
      </c>
      <c r="G20" s="97"/>
      <c r="H20" s="97"/>
      <c r="I20" s="97"/>
      <c r="J20" s="97"/>
      <c r="K20" s="97"/>
      <c r="L20" s="108"/>
      <c r="M20" s="108"/>
      <c r="N20" s="108"/>
      <c r="O20" s="108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173"/>
      <c r="D21" s="173"/>
      <c r="E21" s="45">
        <f t="shared" si="0"/>
        <v>0</v>
      </c>
      <c r="F21" s="116"/>
      <c r="G21" s="97"/>
      <c r="H21" s="97"/>
      <c r="I21" s="97"/>
      <c r="J21" s="97"/>
      <c r="K21" s="97"/>
      <c r="L21" s="108"/>
      <c r="M21" s="108"/>
      <c r="N21" s="108"/>
      <c r="O21" s="108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/>
      <c r="C22" s="173">
        <f>6189.9</f>
        <v>6189.9</v>
      </c>
      <c r="D22" s="173">
        <f>4171</f>
        <v>4171</v>
      </c>
      <c r="E22" s="45">
        <f t="shared" si="0"/>
        <v>2018.8999999999996</v>
      </c>
      <c r="F22" s="116">
        <f>C22</f>
        <v>6189.9</v>
      </c>
      <c r="G22" s="97"/>
      <c r="H22" s="97"/>
      <c r="I22" s="97"/>
      <c r="J22" s="97"/>
      <c r="K22" s="97"/>
      <c r="L22" s="108"/>
      <c r="M22" s="108"/>
      <c r="N22" s="111"/>
      <c r="O22" s="108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173"/>
      <c r="D23" s="173"/>
      <c r="E23" s="45">
        <f t="shared" si="0"/>
        <v>0</v>
      </c>
      <c r="F23" s="97"/>
      <c r="G23" s="97"/>
      <c r="H23" s="97"/>
      <c r="I23" s="97"/>
      <c r="J23" s="97"/>
      <c r="K23" s="97"/>
      <c r="L23" s="108"/>
      <c r="M23" s="108"/>
      <c r="N23" s="108"/>
      <c r="O23" s="108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173"/>
      <c r="D24" s="173"/>
      <c r="E24" s="45">
        <f t="shared" si="0"/>
        <v>0</v>
      </c>
      <c r="F24" s="97"/>
      <c r="G24" s="97"/>
      <c r="H24" s="97"/>
      <c r="I24" s="97"/>
      <c r="J24" s="97"/>
      <c r="K24" s="97"/>
      <c r="L24" s="108"/>
      <c r="M24" s="108"/>
      <c r="N24" s="108"/>
      <c r="O24" s="108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173"/>
      <c r="D25" s="173"/>
      <c r="E25" s="45">
        <f t="shared" si="0"/>
        <v>0</v>
      </c>
      <c r="F25" s="97"/>
      <c r="G25" s="97"/>
      <c r="H25" s="97"/>
      <c r="I25" s="97"/>
      <c r="J25" s="97"/>
      <c r="K25" s="97"/>
      <c r="L25" s="108"/>
      <c r="M25" s="108"/>
      <c r="N25" s="108"/>
      <c r="O25" s="108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/>
      <c r="C26" s="173"/>
      <c r="D26" s="173">
        <f>842.07</f>
        <v>842.07</v>
      </c>
      <c r="E26" s="45">
        <f t="shared" si="0"/>
        <v>-842.07</v>
      </c>
      <c r="F26" s="97"/>
      <c r="G26" s="97"/>
      <c r="H26" s="97"/>
      <c r="I26" s="97"/>
      <c r="J26" s="97"/>
      <c r="K26" s="97"/>
      <c r="L26" s="108"/>
      <c r="M26" s="108"/>
      <c r="N26" s="108"/>
      <c r="O26" s="108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83</v>
      </c>
      <c r="B27" s="44"/>
      <c r="C27" s="173"/>
      <c r="D27" s="173"/>
      <c r="E27" s="45">
        <f t="shared" si="0"/>
        <v>0</v>
      </c>
      <c r="F27" s="97"/>
      <c r="G27" s="97"/>
      <c r="H27" s="97"/>
      <c r="I27" s="97"/>
      <c r="J27" s="97"/>
      <c r="K27" s="97"/>
      <c r="L27" s="108"/>
      <c r="M27" s="108"/>
      <c r="N27" s="108"/>
      <c r="O27" s="108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0</v>
      </c>
      <c r="C28" s="197">
        <f>C29+C30+C31+C33</f>
        <v>82837.580000000016</v>
      </c>
      <c r="D28" s="197">
        <f>D29+D30+D31+D33+D32</f>
        <v>52252.17</v>
      </c>
      <c r="E28" s="51">
        <f>C28-D28+B28</f>
        <v>30585.410000000018</v>
      </c>
      <c r="F28" s="97"/>
      <c r="G28" s="97"/>
      <c r="H28" s="97"/>
      <c r="I28" s="97"/>
      <c r="J28" s="97"/>
      <c r="K28" s="97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40"/>
      <c r="C29" s="171">
        <f>55082.91</f>
        <v>55082.91</v>
      </c>
      <c r="D29" s="171">
        <f>32337.93</f>
        <v>32337.93</v>
      </c>
      <c r="E29" s="42">
        <f t="shared" si="0"/>
        <v>22744.980000000003</v>
      </c>
      <c r="F29" s="97"/>
      <c r="G29" s="97"/>
      <c r="H29" s="97"/>
      <c r="I29" s="97"/>
      <c r="J29" s="97"/>
      <c r="K29" s="97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23</v>
      </c>
      <c r="B30" s="43"/>
      <c r="C30" s="173">
        <f>17649.07</f>
        <v>17649.07</v>
      </c>
      <c r="D30" s="173">
        <f>12192.82</f>
        <v>12192.82</v>
      </c>
      <c r="E30" s="45">
        <f t="shared" si="0"/>
        <v>5456.25</v>
      </c>
      <c r="F30" s="97"/>
      <c r="G30" s="97"/>
      <c r="H30" s="97"/>
      <c r="I30" s="97"/>
      <c r="J30" s="97"/>
      <c r="K30" s="97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43"/>
      <c r="C31" s="173">
        <f>3819.66</f>
        <v>3819.66</v>
      </c>
      <c r="D31" s="173">
        <f>3130.57</f>
        <v>3130.57</v>
      </c>
      <c r="E31" s="45">
        <f t="shared" si="0"/>
        <v>689.08999999999969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53" t="s">
        <v>90</v>
      </c>
      <c r="B32" s="43"/>
      <c r="C32" s="173"/>
      <c r="D32" s="173"/>
      <c r="E32" s="45">
        <f t="shared" si="0"/>
        <v>0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43"/>
      <c r="C33" s="173">
        <f>6285.94</f>
        <v>6285.94</v>
      </c>
      <c r="D33" s="173">
        <f>4590.85</f>
        <v>4590.8500000000004</v>
      </c>
      <c r="E33" s="45">
        <f t="shared" si="0"/>
        <v>1695.0899999999992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43"/>
      <c r="C34" s="173"/>
      <c r="D34" s="173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74</v>
      </c>
      <c r="B35" s="54"/>
      <c r="C35" s="180"/>
      <c r="D35" s="180"/>
      <c r="E35" s="45">
        <f t="shared" si="0"/>
        <v>0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173"/>
      <c r="D36" s="173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155</v>
      </c>
      <c r="B37" s="44"/>
      <c r="C37" s="173"/>
      <c r="D37" s="173"/>
      <c r="E37" s="45">
        <f t="shared" si="0"/>
        <v>0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/>
      <c r="C38" s="46"/>
      <c r="D38" s="46"/>
      <c r="E38" s="47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0</v>
      </c>
      <c r="C39" s="58">
        <f>C20+C21+C22+C23+C24+C25+C26+C28+C35+C36+C37+C38</f>
        <v>107936.48000000001</v>
      </c>
      <c r="D39" s="58">
        <f>D20+D21+D22+D23+D24+D25+D26+D28+D35+D36+D37+D38+D27</f>
        <v>69729.679999999993</v>
      </c>
      <c r="E39" s="58">
        <f>E20+E21+E22+E23+E24+E25+E26+E28+E35+E36+E37+E38+E27</f>
        <v>38206.800000000017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59"/>
      <c r="B40" s="60"/>
      <c r="C40" s="56"/>
      <c r="D40" s="56"/>
      <c r="E40" s="56"/>
      <c r="F40" s="136"/>
      <c r="G40" s="137"/>
      <c r="H40" s="137"/>
      <c r="I40" s="124"/>
      <c r="J40" s="137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59"/>
      <c r="B41" s="60"/>
      <c r="C41" s="56"/>
      <c r="D41" s="119"/>
      <c r="E41" s="119"/>
      <c r="F41" s="138"/>
      <c r="G41" s="115"/>
      <c r="H41" s="137"/>
      <c r="I41" s="97"/>
      <c r="J41" s="97"/>
    </row>
    <row r="42" spans="1:22" ht="15.75" thickBot="1" x14ac:dyDescent="0.3">
      <c r="A42" s="61" t="s">
        <v>30</v>
      </c>
      <c r="B42" s="62">
        <f>B44+B59+B60+B57+B62+B58+B61</f>
        <v>26549.869534481517</v>
      </c>
      <c r="C42" s="63" t="s">
        <v>31</v>
      </c>
      <c r="D42" s="119">
        <f>C39-B42-B62</f>
        <v>81126.782734426059</v>
      </c>
      <c r="E42" s="272" t="s">
        <v>32</v>
      </c>
      <c r="F42" s="273">
        <f>5512727.45</f>
        <v>5512727.4500000002</v>
      </c>
      <c r="G42" s="274">
        <f>F42/F48*C8/12*3</f>
        <v>7957.5525859138652</v>
      </c>
      <c r="H42" s="137"/>
      <c r="I42" s="97"/>
      <c r="J42" s="97"/>
    </row>
    <row r="43" spans="1:22" x14ac:dyDescent="0.25">
      <c r="A43" s="64"/>
      <c r="B43" s="183"/>
      <c r="C43" s="69"/>
      <c r="D43" s="119"/>
      <c r="E43" s="272" t="s">
        <v>33</v>
      </c>
      <c r="F43" s="273">
        <f>1264951.09</f>
        <v>1264951.0900000001</v>
      </c>
      <c r="G43" s="274">
        <f>F43/F48*C8/12*3</f>
        <v>1825.9409536533617</v>
      </c>
      <c r="H43" s="137"/>
      <c r="I43" s="97"/>
      <c r="J43" s="97"/>
    </row>
    <row r="44" spans="1:22" x14ac:dyDescent="0.25">
      <c r="A44" s="67" t="s">
        <v>34</v>
      </c>
      <c r="B44" s="160">
        <f>B45+B46+B48+B49+B50+B51+B52+B53+B54+B55+B56+B47</f>
        <v>26290.041803389078</v>
      </c>
      <c r="C44" s="69" t="s">
        <v>31</v>
      </c>
      <c r="D44" s="119"/>
      <c r="E44" s="272" t="s">
        <v>35</v>
      </c>
      <c r="F44" s="273">
        <v>180000</v>
      </c>
      <c r="G44" s="274">
        <f>F44/F48*C8/12*3</f>
        <v>259.82773109243698</v>
      </c>
      <c r="H44" s="137"/>
      <c r="I44" s="97"/>
      <c r="J44" s="97"/>
    </row>
    <row r="45" spans="1:22" x14ac:dyDescent="0.25">
      <c r="A45" s="70" t="s">
        <v>76</v>
      </c>
      <c r="B45" s="184">
        <v>1682.43</v>
      </c>
      <c r="C45" s="71" t="s">
        <v>31</v>
      </c>
      <c r="D45" s="119"/>
      <c r="E45" s="272" t="s">
        <v>18</v>
      </c>
      <c r="F45" s="273">
        <f>299837.27</f>
        <v>299837.27</v>
      </c>
      <c r="G45" s="274">
        <f>F45/F48*C8/12*3</f>
        <v>432.8113197836135</v>
      </c>
      <c r="H45" s="137"/>
      <c r="I45" s="97"/>
      <c r="J45" s="97"/>
    </row>
    <row r="46" spans="1:22" x14ac:dyDescent="0.25">
      <c r="A46" s="72" t="s">
        <v>37</v>
      </c>
      <c r="B46" s="184">
        <f>(G42+G43)</f>
        <v>9783.4935395672273</v>
      </c>
      <c r="C46" s="71" t="s">
        <v>31</v>
      </c>
      <c r="D46" s="119"/>
      <c r="E46" s="275" t="s">
        <v>38</v>
      </c>
      <c r="F46" s="273">
        <f>7000+1260+30890+4200</f>
        <v>43350</v>
      </c>
      <c r="G46" s="274">
        <f>F46/F48*C8/12*3</f>
        <v>62.575178571428566</v>
      </c>
      <c r="H46" s="137"/>
      <c r="I46" s="97"/>
      <c r="J46" s="97"/>
    </row>
    <row r="47" spans="1:22" x14ac:dyDescent="0.25">
      <c r="A47" s="72" t="s">
        <v>39</v>
      </c>
      <c r="B47" s="184"/>
      <c r="C47" s="71" t="s">
        <v>31</v>
      </c>
      <c r="D47" s="119"/>
      <c r="E47" s="274" t="s">
        <v>12</v>
      </c>
      <c r="F47" s="273">
        <f>8022857.59-F46</f>
        <v>7979507.5899999999</v>
      </c>
      <c r="G47" s="274">
        <f>F47/F48*C8/12*3</f>
        <v>11518.318624136555</v>
      </c>
      <c r="H47" s="137"/>
      <c r="I47" s="97"/>
      <c r="J47" s="97"/>
    </row>
    <row r="48" spans="1:22" x14ac:dyDescent="0.25">
      <c r="A48" s="70" t="s">
        <v>40</v>
      </c>
      <c r="B48" s="184">
        <f>G46</f>
        <v>62.575178571428566</v>
      </c>
      <c r="C48" s="71" t="s">
        <v>31</v>
      </c>
      <c r="D48" s="119"/>
      <c r="E48" s="276" t="s">
        <v>41</v>
      </c>
      <c r="F48" s="277">
        <f>119000</f>
        <v>119000</v>
      </c>
      <c r="G48" s="274"/>
      <c r="H48" s="137"/>
      <c r="I48" s="97"/>
      <c r="J48" s="97"/>
    </row>
    <row r="49" spans="1:10" x14ac:dyDescent="0.25">
      <c r="A49" s="70" t="s">
        <v>42</v>
      </c>
      <c r="B49" s="184">
        <f>G45</f>
        <v>432.8113197836135</v>
      </c>
      <c r="C49" s="71" t="s">
        <v>31</v>
      </c>
      <c r="D49" s="119"/>
      <c r="E49" s="278"/>
      <c r="F49" s="274"/>
      <c r="G49" s="274"/>
      <c r="H49" s="137"/>
      <c r="I49" s="97"/>
      <c r="J49" s="97"/>
    </row>
    <row r="50" spans="1:10" x14ac:dyDescent="0.25">
      <c r="A50" s="70" t="s">
        <v>141</v>
      </c>
      <c r="B50" s="184">
        <f>G47</f>
        <v>11518.318624136555</v>
      </c>
      <c r="C50" s="71" t="s">
        <v>31</v>
      </c>
      <c r="D50" s="119"/>
      <c r="E50" s="279" t="s">
        <v>70</v>
      </c>
      <c r="F50" s="277">
        <f>1910.32</f>
        <v>1910.32</v>
      </c>
      <c r="G50" s="279">
        <f>F50/F48*C8/12*3</f>
        <v>2.7575228403361343</v>
      </c>
      <c r="H50" s="137"/>
      <c r="I50" s="97"/>
      <c r="J50" s="97"/>
    </row>
    <row r="51" spans="1:10" x14ac:dyDescent="0.25">
      <c r="A51" s="70" t="s">
        <v>44</v>
      </c>
      <c r="B51" s="184">
        <f>F54/12*6</f>
        <v>0</v>
      </c>
      <c r="C51" s="71" t="s">
        <v>31</v>
      </c>
      <c r="D51" s="119"/>
      <c r="E51" s="119"/>
      <c r="F51" s="120"/>
      <c r="G51" s="121"/>
      <c r="H51" s="137"/>
      <c r="I51" s="97"/>
      <c r="J51" s="97"/>
    </row>
    <row r="52" spans="1:10" x14ac:dyDescent="0.25">
      <c r="A52" s="70" t="s">
        <v>45</v>
      </c>
      <c r="B52" s="184">
        <f>G50</f>
        <v>2.7575228403361343</v>
      </c>
      <c r="C52" s="71" t="s">
        <v>31</v>
      </c>
      <c r="D52" s="119"/>
      <c r="E52" s="119" t="s">
        <v>125</v>
      </c>
      <c r="F52" s="280">
        <f>16429.6</f>
        <v>16429.599999999999</v>
      </c>
      <c r="G52" s="279">
        <f>F52/F48*C8/12*3</f>
        <v>23.715920504201677</v>
      </c>
      <c r="H52" s="137"/>
      <c r="I52" s="97"/>
      <c r="J52" s="97"/>
    </row>
    <row r="53" spans="1:10" x14ac:dyDescent="0.25">
      <c r="A53" s="70" t="s">
        <v>46</v>
      </c>
      <c r="B53" s="184"/>
      <c r="C53" s="71" t="s">
        <v>31</v>
      </c>
      <c r="D53" s="56"/>
      <c r="E53" s="56"/>
      <c r="F53" s="156"/>
      <c r="G53" s="157"/>
      <c r="H53" s="137"/>
      <c r="I53" s="97"/>
      <c r="J53" s="97"/>
    </row>
    <row r="54" spans="1:10" ht="26.25" x14ac:dyDescent="0.25">
      <c r="A54" s="191" t="s">
        <v>144</v>
      </c>
      <c r="B54" s="184"/>
      <c r="C54" s="71" t="s">
        <v>31</v>
      </c>
      <c r="D54" s="56"/>
      <c r="E54" s="56"/>
      <c r="F54" s="156"/>
      <c r="G54" s="157"/>
      <c r="H54" s="137"/>
      <c r="I54" s="97"/>
      <c r="J54" s="97"/>
    </row>
    <row r="55" spans="1:10" x14ac:dyDescent="0.25">
      <c r="A55" s="70" t="s">
        <v>48</v>
      </c>
      <c r="B55" s="184">
        <v>627.66</v>
      </c>
      <c r="C55" s="71" t="s">
        <v>31</v>
      </c>
      <c r="D55" s="56"/>
      <c r="E55" s="56"/>
      <c r="F55" s="136"/>
      <c r="G55" s="137"/>
      <c r="H55" s="137"/>
      <c r="I55" s="97"/>
      <c r="J55" s="97"/>
    </row>
    <row r="56" spans="1:10" x14ac:dyDescent="0.25">
      <c r="A56" s="70" t="s">
        <v>49</v>
      </c>
      <c r="B56" s="184">
        <f>(B46+B47+B48+B49+B50+B52+B53+B54)*0.1</f>
        <v>2179.9956184899161</v>
      </c>
      <c r="C56" s="71" t="s">
        <v>31</v>
      </c>
      <c r="D56" s="56"/>
      <c r="E56" s="56"/>
      <c r="F56" s="136"/>
      <c r="G56" s="137"/>
      <c r="H56" s="137"/>
      <c r="I56" s="97"/>
      <c r="J56" s="97"/>
    </row>
    <row r="57" spans="1:10" x14ac:dyDescent="0.25">
      <c r="A57" s="67" t="s">
        <v>50</v>
      </c>
      <c r="B57" s="160">
        <f>C80</f>
        <v>0</v>
      </c>
      <c r="C57" s="69" t="s">
        <v>31</v>
      </c>
      <c r="D57" s="122"/>
      <c r="E57" s="122"/>
      <c r="F57" s="123"/>
      <c r="G57" s="124"/>
      <c r="H57" s="124"/>
      <c r="I57" s="97"/>
      <c r="J57" s="97"/>
    </row>
    <row r="58" spans="1:10" x14ac:dyDescent="0.25">
      <c r="A58" s="67" t="s">
        <v>51</v>
      </c>
      <c r="B58" s="160"/>
      <c r="C58" s="69" t="s">
        <v>31</v>
      </c>
      <c r="D58" s="122"/>
      <c r="E58" s="122"/>
      <c r="F58" s="123"/>
      <c r="G58" s="124"/>
      <c r="H58" s="124"/>
      <c r="I58" s="97"/>
      <c r="J58" s="97"/>
    </row>
    <row r="59" spans="1:10" x14ac:dyDescent="0.25">
      <c r="A59" s="67" t="s">
        <v>52</v>
      </c>
      <c r="B59" s="160"/>
      <c r="C59" s="69" t="s">
        <v>31</v>
      </c>
      <c r="D59" s="56"/>
      <c r="E59" s="56"/>
      <c r="F59" s="3"/>
      <c r="I59" s="97"/>
      <c r="J59" s="97"/>
    </row>
    <row r="60" spans="1:10" x14ac:dyDescent="0.25">
      <c r="A60" s="67" t="s">
        <v>53</v>
      </c>
      <c r="B60" s="160"/>
      <c r="C60" s="69" t="s">
        <v>54</v>
      </c>
      <c r="D60" s="56"/>
      <c r="E60" s="56"/>
      <c r="F60" s="3"/>
      <c r="I60" s="97"/>
      <c r="J60" s="97"/>
    </row>
    <row r="61" spans="1:10" x14ac:dyDescent="0.25">
      <c r="A61" s="133" t="s">
        <v>154</v>
      </c>
      <c r="B61" s="134">
        <f>C37/1.02</f>
        <v>0</v>
      </c>
      <c r="C61" s="135"/>
      <c r="D61" s="56"/>
      <c r="E61" s="56"/>
      <c r="F61" s="3"/>
      <c r="I61" s="97"/>
      <c r="J61" s="97"/>
    </row>
    <row r="62" spans="1:10" ht="15.75" thickBot="1" x14ac:dyDescent="0.3">
      <c r="A62" s="73" t="s">
        <v>78</v>
      </c>
      <c r="B62" s="74">
        <f>G44</f>
        <v>259.82773109243698</v>
      </c>
      <c r="C62" s="75" t="s">
        <v>31</v>
      </c>
      <c r="D62" s="56"/>
      <c r="E62" s="56"/>
      <c r="F62" s="3"/>
      <c r="I62" s="97"/>
      <c r="J62" s="97"/>
    </row>
    <row r="63" spans="1:10" x14ac:dyDescent="0.25">
      <c r="A63" s="59"/>
      <c r="B63" s="60"/>
      <c r="C63" s="56"/>
      <c r="D63" s="56"/>
      <c r="E63" s="56"/>
      <c r="F63" s="3"/>
      <c r="I63" s="97"/>
      <c r="J63" s="97"/>
    </row>
    <row r="64" spans="1:10" x14ac:dyDescent="0.25">
      <c r="A64" s="59"/>
      <c r="B64" s="143"/>
      <c r="C64" s="56"/>
      <c r="D64" s="56"/>
      <c r="E64" s="56"/>
      <c r="F64" s="3"/>
      <c r="I64" s="97"/>
      <c r="J64" s="97"/>
    </row>
    <row r="65" spans="1:10" x14ac:dyDescent="0.25">
      <c r="A65" s="59" t="s">
        <v>166</v>
      </c>
      <c r="B65" s="2">
        <f>B66+B67+B68+B69+B70+B71</f>
        <v>81386.610465518504</v>
      </c>
      <c r="C65" s="56" t="s">
        <v>31</v>
      </c>
      <c r="D65" s="56"/>
      <c r="E65" s="56"/>
      <c r="F65" s="3"/>
      <c r="I65" s="97"/>
      <c r="J65" s="97"/>
    </row>
    <row r="66" spans="1:10" x14ac:dyDescent="0.25">
      <c r="A66" s="77" t="s">
        <v>56</v>
      </c>
      <c r="B66" s="78">
        <f>C20-B44-B62</f>
        <v>-7640.8695344815151</v>
      </c>
      <c r="C66" s="56" t="s">
        <v>31</v>
      </c>
      <c r="D66" s="56"/>
      <c r="E66" s="56"/>
      <c r="F66" s="3"/>
      <c r="I66" s="97"/>
      <c r="J66" s="97"/>
    </row>
    <row r="67" spans="1:10" x14ac:dyDescent="0.25">
      <c r="A67" s="77" t="s">
        <v>57</v>
      </c>
      <c r="B67" s="78">
        <f>C22-B57</f>
        <v>6189.9</v>
      </c>
      <c r="C67" s="56" t="s">
        <v>31</v>
      </c>
      <c r="D67" s="56"/>
      <c r="E67" s="56"/>
      <c r="F67" s="3"/>
      <c r="I67" s="97"/>
      <c r="J67" s="97"/>
    </row>
    <row r="68" spans="1:10" x14ac:dyDescent="0.25">
      <c r="A68" s="77" t="s">
        <v>58</v>
      </c>
      <c r="B68" s="78">
        <f>C26-B58</f>
        <v>0</v>
      </c>
      <c r="C68" s="56" t="s">
        <v>31</v>
      </c>
      <c r="D68" s="56"/>
      <c r="E68" s="56"/>
      <c r="F68" s="3"/>
      <c r="I68" s="97"/>
      <c r="J68" s="97"/>
    </row>
    <row r="69" spans="1:10" x14ac:dyDescent="0.25">
      <c r="A69" s="77" t="s">
        <v>59</v>
      </c>
      <c r="B69" s="78">
        <f>C28-B59</f>
        <v>82837.580000000016</v>
      </c>
      <c r="C69" s="56" t="s">
        <v>31</v>
      </c>
      <c r="D69" s="56"/>
      <c r="E69" s="56"/>
      <c r="F69" s="3"/>
      <c r="I69" s="97"/>
      <c r="J69" s="97"/>
    </row>
    <row r="70" spans="1:10" x14ac:dyDescent="0.25">
      <c r="A70" s="77" t="s">
        <v>60</v>
      </c>
      <c r="B70" s="78">
        <f>C35-B60</f>
        <v>0</v>
      </c>
      <c r="C70" s="56" t="s">
        <v>31</v>
      </c>
      <c r="D70" s="56"/>
      <c r="E70" s="56"/>
      <c r="F70" s="3"/>
      <c r="I70" s="97"/>
      <c r="J70" s="97"/>
    </row>
    <row r="71" spans="1:10" x14ac:dyDescent="0.25">
      <c r="A71" s="77" t="s">
        <v>157</v>
      </c>
      <c r="B71" s="78">
        <f>C37-B61</f>
        <v>0</v>
      </c>
      <c r="C71" s="56" t="s">
        <v>31</v>
      </c>
      <c r="I71" s="97"/>
      <c r="J71" s="97"/>
    </row>
    <row r="72" spans="1:10" ht="15.75" thickBot="1" x14ac:dyDescent="0.3">
      <c r="A72" s="77"/>
      <c r="B72" s="78"/>
      <c r="C72" s="56"/>
      <c r="D72" s="98"/>
      <c r="E72" s="99"/>
      <c r="F72" s="100"/>
      <c r="G72" s="97"/>
      <c r="I72" s="97"/>
      <c r="J72" s="97"/>
    </row>
    <row r="73" spans="1:10" ht="15.75" thickBot="1" x14ac:dyDescent="0.3">
      <c r="A73" s="128" t="s">
        <v>146</v>
      </c>
      <c r="B73" s="129"/>
      <c r="C73" s="130"/>
      <c r="D73" s="101"/>
      <c r="E73" s="101"/>
      <c r="F73" s="101"/>
      <c r="G73" s="97"/>
      <c r="I73" s="97"/>
      <c r="J73" s="97"/>
    </row>
    <row r="74" spans="1:10" ht="51.75" thickBot="1" x14ac:dyDescent="0.3">
      <c r="A74" s="79" t="s">
        <v>80</v>
      </c>
      <c r="B74" s="80" t="s">
        <v>61</v>
      </c>
      <c r="C74" s="81" t="s">
        <v>67</v>
      </c>
      <c r="D74" s="102"/>
      <c r="E74" s="103"/>
      <c r="F74" s="104"/>
      <c r="G74" s="97"/>
      <c r="I74" s="97"/>
      <c r="J74" s="97"/>
    </row>
    <row r="75" spans="1:10" x14ac:dyDescent="0.25">
      <c r="A75" s="82" t="s">
        <v>62</v>
      </c>
      <c r="B75" s="113" t="s">
        <v>31</v>
      </c>
      <c r="C75" s="114" t="s">
        <v>31</v>
      </c>
      <c r="D75" s="102"/>
      <c r="E75" s="103"/>
      <c r="F75" s="104"/>
      <c r="G75" s="97"/>
      <c r="I75" s="97"/>
      <c r="J75" s="97"/>
    </row>
    <row r="76" spans="1:10" x14ac:dyDescent="0.25">
      <c r="A76" s="53"/>
      <c r="B76" s="43"/>
      <c r="C76" s="185"/>
      <c r="D76" s="102"/>
      <c r="E76" s="103"/>
      <c r="F76" s="104"/>
      <c r="G76" s="97"/>
      <c r="I76" s="97"/>
      <c r="J76" s="97"/>
    </row>
    <row r="77" spans="1:10" hidden="1" x14ac:dyDescent="0.25">
      <c r="A77" s="53"/>
      <c r="B77" s="43"/>
      <c r="C77" s="107"/>
      <c r="D77" s="102"/>
      <c r="E77" s="103"/>
      <c r="F77" s="104"/>
      <c r="G77" s="97"/>
      <c r="I77" s="97"/>
      <c r="J77" s="97"/>
    </row>
    <row r="78" spans="1:10" hidden="1" x14ac:dyDescent="0.25">
      <c r="A78" s="53"/>
      <c r="B78" s="43"/>
      <c r="C78" s="107"/>
      <c r="D78" s="102"/>
      <c r="E78" s="103"/>
      <c r="F78" s="104"/>
      <c r="G78" s="97"/>
      <c r="I78" s="97"/>
      <c r="J78" s="97"/>
    </row>
    <row r="79" spans="1:10" hidden="1" x14ac:dyDescent="0.25">
      <c r="A79" s="53"/>
      <c r="B79" s="43"/>
      <c r="C79" s="107"/>
      <c r="D79" s="102"/>
      <c r="E79" s="103"/>
      <c r="F79" s="104"/>
      <c r="G79" s="97"/>
      <c r="I79" s="97"/>
      <c r="J79" s="97"/>
    </row>
    <row r="80" spans="1:10" ht="15.75" thickBot="1" x14ac:dyDescent="0.3">
      <c r="A80" s="145" t="s">
        <v>5</v>
      </c>
      <c r="B80" s="146">
        <f>B76</f>
        <v>0</v>
      </c>
      <c r="C80" s="147">
        <f>C76+C77+C78+C79</f>
        <v>0</v>
      </c>
      <c r="D80" s="105"/>
      <c r="E80" s="103"/>
      <c r="F80" s="104"/>
      <c r="G80" s="97"/>
      <c r="I80" s="97"/>
      <c r="J80" s="97"/>
    </row>
    <row r="81" spans="1:10" x14ac:dyDescent="0.25">
      <c r="A81" s="31"/>
      <c r="B81" s="33"/>
      <c r="C81" s="87"/>
      <c r="D81" s="105"/>
      <c r="E81" s="103"/>
      <c r="F81" s="104"/>
      <c r="G81" s="97"/>
      <c r="I81" s="97"/>
      <c r="J81" s="97"/>
    </row>
    <row r="82" spans="1:10" x14ac:dyDescent="0.25">
      <c r="A82" s="164" t="s">
        <v>132</v>
      </c>
      <c r="B82" s="149"/>
      <c r="C82" s="215"/>
      <c r="D82" s="216"/>
      <c r="E82" s="89"/>
    </row>
    <row r="83" spans="1:10" x14ac:dyDescent="0.25">
      <c r="A83" s="217"/>
      <c r="B83" s="149"/>
      <c r="C83" s="215"/>
      <c r="D83" s="218"/>
      <c r="E83" s="56"/>
    </row>
    <row r="84" spans="1:10" x14ac:dyDescent="0.25">
      <c r="A84" s="165" t="s">
        <v>133</v>
      </c>
      <c r="B84" s="149" t="s">
        <v>134</v>
      </c>
      <c r="C84" s="219"/>
      <c r="D84" s="216"/>
      <c r="E84" s="56"/>
    </row>
    <row r="85" spans="1:10" x14ac:dyDescent="0.25">
      <c r="A85" s="165"/>
      <c r="B85" s="149"/>
      <c r="C85" s="219"/>
      <c r="D85" s="216"/>
      <c r="E85" s="89"/>
    </row>
    <row r="86" spans="1:10" x14ac:dyDescent="0.25">
      <c r="A86" s="220"/>
      <c r="B86" s="221"/>
      <c r="C86" s="219"/>
      <c r="D86" s="150"/>
      <c r="E86" s="89"/>
    </row>
    <row r="87" spans="1:10" ht="15.75" x14ac:dyDescent="0.25">
      <c r="A87" s="223" t="s">
        <v>63</v>
      </c>
      <c r="B87" s="224" t="s">
        <v>134</v>
      </c>
      <c r="C87" s="225"/>
      <c r="D87" s="226" t="s">
        <v>66</v>
      </c>
      <c r="E87" s="89"/>
    </row>
    <row r="88" spans="1:10" x14ac:dyDescent="0.25">
      <c r="A88" s="95"/>
      <c r="B88" s="96"/>
      <c r="C88" s="89"/>
      <c r="D88" s="93"/>
      <c r="E88" s="89"/>
    </row>
    <row r="89" spans="1:10" x14ac:dyDescent="0.25">
      <c r="A89" s="95"/>
      <c r="B89" s="96"/>
      <c r="C89" s="89"/>
      <c r="D89" s="93"/>
      <c r="E89" s="89"/>
      <c r="F89" s="94"/>
    </row>
    <row r="90" spans="1:10" x14ac:dyDescent="0.25">
      <c r="A90" s="31"/>
      <c r="B90" s="33"/>
      <c r="C90" s="89"/>
      <c r="D90" s="93"/>
      <c r="E90" s="89"/>
    </row>
    <row r="91" spans="1:10" x14ac:dyDescent="0.25">
      <c r="A91" s="31"/>
      <c r="B91" s="33"/>
      <c r="C91" s="56"/>
      <c r="D91" s="87"/>
      <c r="E91" s="89"/>
    </row>
    <row r="92" spans="1:10" x14ac:dyDescent="0.25">
      <c r="A92" s="19"/>
      <c r="B92" s="20"/>
      <c r="C92" s="89"/>
      <c r="D92" s="87"/>
      <c r="E92" s="89"/>
    </row>
    <row r="93" spans="1:10" x14ac:dyDescent="0.25">
      <c r="A93" s="31"/>
      <c r="B93" s="33"/>
      <c r="C93" s="89"/>
      <c r="D93" s="56"/>
      <c r="E93" s="56"/>
      <c r="F93" s="3"/>
    </row>
    <row r="94" spans="1:10" x14ac:dyDescent="0.25">
      <c r="A94" s="31"/>
      <c r="B94" s="33"/>
      <c r="C94" s="33"/>
      <c r="D94" s="56"/>
      <c r="E94" s="89"/>
    </row>
    <row r="95" spans="1:10" x14ac:dyDescent="0.25">
      <c r="A95" s="31"/>
      <c r="B95" s="33"/>
      <c r="C95" s="33"/>
      <c r="D95" s="56"/>
      <c r="E95" s="56"/>
    </row>
    <row r="96" spans="1:10" x14ac:dyDescent="0.25">
      <c r="A96" s="31"/>
      <c r="B96" s="33"/>
      <c r="C96" s="33"/>
      <c r="D96" s="89"/>
      <c r="E96" s="89"/>
    </row>
    <row r="97" spans="1:6" x14ac:dyDescent="0.25">
      <c r="A97" s="31"/>
      <c r="B97" s="33"/>
      <c r="D97" s="89"/>
      <c r="E97" s="89"/>
    </row>
    <row r="98" spans="1:6" x14ac:dyDescent="0.25">
      <c r="D98" s="89"/>
      <c r="E98" s="89"/>
    </row>
    <row r="99" spans="1:6" x14ac:dyDescent="0.25">
      <c r="D99" s="89"/>
      <c r="E99" s="89"/>
    </row>
    <row r="100" spans="1:6" x14ac:dyDescent="0.25">
      <c r="D100" s="89"/>
      <c r="E100" s="89"/>
    </row>
    <row r="101" spans="1:6" x14ac:dyDescent="0.25">
      <c r="D101" s="89"/>
      <c r="E101" s="89"/>
    </row>
    <row r="102" spans="1:6" x14ac:dyDescent="0.25">
      <c r="B102"/>
      <c r="C102"/>
      <c r="D102" s="56"/>
      <c r="E102" s="56"/>
      <c r="F102" s="3"/>
    </row>
    <row r="103" spans="1:6" x14ac:dyDescent="0.25">
      <c r="B103"/>
      <c r="C103"/>
      <c r="D103" s="89"/>
      <c r="E103" s="89"/>
      <c r="F103" s="3"/>
    </row>
    <row r="104" spans="1:6" x14ac:dyDescent="0.25">
      <c r="B104"/>
      <c r="C104"/>
      <c r="D104" s="89"/>
      <c r="E104" s="89"/>
    </row>
    <row r="105" spans="1:6" x14ac:dyDescent="0.25">
      <c r="B105"/>
      <c r="C105"/>
      <c r="D105" s="33"/>
      <c r="E105" s="33"/>
    </row>
    <row r="106" spans="1:6" x14ac:dyDescent="0.25">
      <c r="B106"/>
      <c r="C106"/>
      <c r="D106" s="33"/>
      <c r="E106" s="33"/>
    </row>
    <row r="107" spans="1:6" x14ac:dyDescent="0.25">
      <c r="D107" s="33"/>
      <c r="E107" s="33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V105"/>
  <sheetViews>
    <sheetView view="pageBreakPreview" zoomScale="60" zoomScaleNormal="100" workbookViewId="0">
      <selection activeCell="C76" sqref="C76"/>
    </sheetView>
  </sheetViews>
  <sheetFormatPr defaultRowHeight="15" x14ac:dyDescent="0.25"/>
  <cols>
    <col min="1" max="1" width="52.4257812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219</v>
      </c>
      <c r="B2" s="2"/>
      <c r="C2" s="2"/>
      <c r="D2" s="2"/>
    </row>
    <row r="3" spans="1:22" ht="15.75" thickBot="1" x14ac:dyDescent="0.3">
      <c r="A3" s="1" t="s">
        <v>220</v>
      </c>
      <c r="B3" s="2"/>
      <c r="C3" s="2"/>
      <c r="D3" s="2"/>
      <c r="L3" s="108"/>
      <c r="M3" s="108"/>
      <c r="N3" s="108"/>
      <c r="O3" s="108"/>
    </row>
    <row r="4" spans="1:22" ht="15.75" thickBot="1" x14ac:dyDescent="0.3">
      <c r="A4" s="22" t="s">
        <v>0</v>
      </c>
      <c r="B4" s="202"/>
      <c r="C4" s="202"/>
      <c r="D4" s="203"/>
      <c r="L4" s="108"/>
      <c r="M4" s="108"/>
      <c r="N4" s="108"/>
      <c r="O4" s="108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L5" s="108"/>
      <c r="M5" s="108"/>
      <c r="N5" s="108"/>
      <c r="O5" s="108"/>
    </row>
    <row r="6" spans="1:22" x14ac:dyDescent="0.25">
      <c r="A6" s="10" t="s">
        <v>221</v>
      </c>
      <c r="B6" s="11"/>
      <c r="C6" s="158">
        <v>3695.43</v>
      </c>
      <c r="D6" s="159">
        <v>85</v>
      </c>
      <c r="L6" s="108"/>
      <c r="M6" s="108"/>
      <c r="N6" s="108"/>
      <c r="O6" s="108"/>
    </row>
    <row r="7" spans="1:22" x14ac:dyDescent="0.25">
      <c r="A7" s="13"/>
      <c r="B7" s="14"/>
      <c r="C7" s="160"/>
      <c r="D7" s="161"/>
      <c r="L7" s="108"/>
      <c r="M7" s="108"/>
      <c r="N7" s="108"/>
      <c r="O7" s="108"/>
    </row>
    <row r="8" spans="1:22" ht="15.75" thickBot="1" x14ac:dyDescent="0.3">
      <c r="A8" s="16" t="s">
        <v>5</v>
      </c>
      <c r="B8" s="17"/>
      <c r="C8" s="162">
        <f>C6+C7</f>
        <v>3695.43</v>
      </c>
      <c r="D8" s="163">
        <f>D6</f>
        <v>85</v>
      </c>
      <c r="L8" s="108"/>
      <c r="M8" s="108"/>
      <c r="N8" s="108"/>
      <c r="O8" s="108"/>
    </row>
    <row r="9" spans="1:22" ht="15.75" thickBot="1" x14ac:dyDescent="0.3">
      <c r="A9" s="194"/>
      <c r="B9" s="106"/>
      <c r="C9" s="106"/>
      <c r="D9" s="195"/>
      <c r="L9" s="108"/>
      <c r="M9" s="108"/>
      <c r="N9" s="108"/>
      <c r="O9" s="108"/>
    </row>
    <row r="10" spans="1:22" ht="15.75" thickBot="1" x14ac:dyDescent="0.3">
      <c r="A10" s="22" t="s">
        <v>112</v>
      </c>
      <c r="B10" s="23"/>
      <c r="C10" s="23"/>
      <c r="D10" s="24" t="s">
        <v>6</v>
      </c>
      <c r="F10" s="97"/>
      <c r="G10" s="97"/>
      <c r="H10" s="97"/>
      <c r="I10" s="97"/>
      <c r="J10" s="97"/>
      <c r="K10" s="97"/>
      <c r="L10" s="108"/>
      <c r="M10" s="108"/>
      <c r="N10" s="108"/>
      <c r="O10" s="108"/>
    </row>
    <row r="11" spans="1:22" x14ac:dyDescent="0.25">
      <c r="A11" s="25" t="s">
        <v>7</v>
      </c>
      <c r="B11" s="20"/>
      <c r="C11" s="110"/>
      <c r="D11" s="168">
        <v>12.5</v>
      </c>
      <c r="F11" s="97"/>
      <c r="G11" s="97"/>
      <c r="H11" s="97"/>
      <c r="I11" s="97"/>
      <c r="J11" s="97"/>
      <c r="K11" s="97"/>
      <c r="L11" s="108"/>
      <c r="M11" s="108"/>
      <c r="N11" s="108"/>
      <c r="O11" s="108"/>
    </row>
    <row r="12" spans="1:22" x14ac:dyDescent="0.25">
      <c r="A12" s="25" t="s">
        <v>8</v>
      </c>
      <c r="B12" s="20"/>
      <c r="C12" s="110"/>
      <c r="D12" s="168">
        <v>1</v>
      </c>
      <c r="F12" s="97"/>
      <c r="G12" s="97"/>
      <c r="H12" s="97"/>
      <c r="I12" s="97"/>
      <c r="J12" s="97"/>
      <c r="K12" s="97"/>
      <c r="L12" s="108"/>
      <c r="M12" s="108"/>
      <c r="N12" s="108"/>
      <c r="O12" s="108"/>
    </row>
    <row r="13" spans="1:22" x14ac:dyDescent="0.25">
      <c r="A13" s="25" t="s">
        <v>9</v>
      </c>
      <c r="B13" s="20"/>
      <c r="C13" s="110"/>
      <c r="D13" s="167">
        <v>0.2</v>
      </c>
      <c r="F13" s="97"/>
      <c r="G13" s="97"/>
      <c r="H13" s="97"/>
      <c r="I13" s="97"/>
      <c r="J13" s="97"/>
      <c r="K13" s="97"/>
      <c r="L13" s="108"/>
      <c r="M13" s="108"/>
      <c r="N13" s="108"/>
      <c r="O13" s="108"/>
    </row>
    <row r="14" spans="1:22" ht="15.75" thickBot="1" x14ac:dyDescent="0.3">
      <c r="A14" s="28" t="s">
        <v>10</v>
      </c>
      <c r="B14" s="193"/>
      <c r="C14" s="193"/>
      <c r="D14" s="30">
        <v>0</v>
      </c>
      <c r="F14" s="97"/>
      <c r="G14" s="97"/>
      <c r="H14" s="97"/>
      <c r="I14" s="97"/>
      <c r="J14" s="97"/>
      <c r="K14" s="97"/>
      <c r="L14" s="108"/>
      <c r="M14" s="108"/>
      <c r="N14" s="108"/>
      <c r="O14" s="108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97"/>
      <c r="G15" s="97"/>
      <c r="H15" s="97"/>
      <c r="I15" s="97"/>
      <c r="J15" s="97"/>
      <c r="K15" s="97"/>
      <c r="L15" s="108"/>
      <c r="M15" s="108"/>
      <c r="N15" s="108"/>
      <c r="O15" s="108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113</v>
      </c>
      <c r="B16" s="126"/>
      <c r="C16" s="126"/>
      <c r="D16" s="126"/>
      <c r="E16" s="127"/>
      <c r="F16" s="97"/>
      <c r="G16" s="97"/>
      <c r="H16" s="97"/>
      <c r="I16" s="97"/>
      <c r="J16" s="97"/>
      <c r="K16" s="97"/>
      <c r="L16" s="108"/>
      <c r="M16" s="109"/>
      <c r="N16" s="109"/>
      <c r="O16" s="108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39"/>
      <c r="F17" s="97"/>
      <c r="G17" s="97"/>
      <c r="H17" s="97"/>
      <c r="I17" s="97"/>
      <c r="J17" s="97"/>
      <c r="K17" s="97"/>
      <c r="L17" s="109"/>
      <c r="M17" s="110"/>
      <c r="N17" s="109"/>
      <c r="O17" s="108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39"/>
      <c r="F18" s="97"/>
      <c r="G18" s="97"/>
      <c r="H18" s="97"/>
      <c r="I18" s="97"/>
      <c r="J18" s="97"/>
      <c r="K18" s="97"/>
      <c r="L18" s="108"/>
      <c r="M18" s="108"/>
      <c r="N18" s="108"/>
      <c r="O18" s="108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241" t="s">
        <v>11</v>
      </c>
      <c r="B19" s="242" t="s">
        <v>114</v>
      </c>
      <c r="C19" s="243" t="s">
        <v>115</v>
      </c>
      <c r="D19" s="243" t="s">
        <v>116</v>
      </c>
      <c r="E19" s="244" t="s">
        <v>117</v>
      </c>
      <c r="F19" s="97"/>
      <c r="G19" s="97"/>
      <c r="H19" s="97"/>
      <c r="I19" s="97"/>
      <c r="J19" s="97"/>
      <c r="K19" s="97"/>
      <c r="L19" s="108"/>
      <c r="M19" s="111"/>
      <c r="N19" s="111"/>
      <c r="O19" s="108"/>
      <c r="P19" s="31"/>
      <c r="Q19" s="31"/>
      <c r="R19" s="31"/>
      <c r="S19" s="31"/>
      <c r="T19" s="31"/>
      <c r="U19" s="31"/>
      <c r="V19" s="31"/>
    </row>
    <row r="20" spans="1:22" x14ac:dyDescent="0.25">
      <c r="A20" s="245" t="s">
        <v>13</v>
      </c>
      <c r="B20" s="171"/>
      <c r="C20" s="171">
        <v>184771.52</v>
      </c>
      <c r="D20" s="171">
        <v>49640.639999999999</v>
      </c>
      <c r="E20" s="172">
        <f t="shared" ref="E20:E38" si="0">C20-D20+B20</f>
        <v>135130.88</v>
      </c>
      <c r="F20" s="116">
        <f>C20+F22</f>
        <v>199553.24</v>
      </c>
      <c r="G20" s="117">
        <f>100</f>
        <v>100</v>
      </c>
      <c r="H20" s="115" t="s">
        <v>64</v>
      </c>
      <c r="I20" s="97"/>
      <c r="J20" s="97"/>
      <c r="K20" s="97"/>
      <c r="L20" s="108"/>
      <c r="M20" s="108"/>
      <c r="N20" s="108"/>
      <c r="O20" s="108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246" t="s">
        <v>14</v>
      </c>
      <c r="B21" s="173"/>
      <c r="C21" s="173"/>
      <c r="D21" s="173"/>
      <c r="E21" s="174">
        <f t="shared" si="0"/>
        <v>0</v>
      </c>
      <c r="F21" s="116"/>
      <c r="G21" s="117"/>
      <c r="H21" s="115"/>
      <c r="I21" s="97"/>
      <c r="J21" s="97"/>
      <c r="K21" s="97"/>
      <c r="L21" s="108"/>
      <c r="M21" s="108"/>
      <c r="N21" s="108"/>
      <c r="O21" s="108"/>
      <c r="P21" s="31"/>
      <c r="Q21" s="31"/>
      <c r="R21" s="31"/>
      <c r="S21" s="31"/>
      <c r="T21" s="31"/>
      <c r="U21" s="31"/>
      <c r="V21" s="31"/>
    </row>
    <row r="22" spans="1:22" x14ac:dyDescent="0.25">
      <c r="A22" s="246" t="s">
        <v>15</v>
      </c>
      <c r="B22" s="173"/>
      <c r="C22" s="173">
        <v>14781.72</v>
      </c>
      <c r="D22" s="173">
        <v>11094.25</v>
      </c>
      <c r="E22" s="174">
        <f t="shared" si="0"/>
        <v>3687.4699999999993</v>
      </c>
      <c r="F22" s="116">
        <f>C22</f>
        <v>14781.72</v>
      </c>
      <c r="G22" s="118">
        <f>F22*G20/F20</f>
        <v>7.4074066650082955</v>
      </c>
      <c r="H22" s="115" t="s">
        <v>64</v>
      </c>
      <c r="I22" s="97"/>
      <c r="J22" s="97"/>
      <c r="K22" s="97"/>
      <c r="L22" s="108"/>
      <c r="M22" s="108"/>
      <c r="N22" s="111"/>
      <c r="O22" s="108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246" t="s">
        <v>16</v>
      </c>
      <c r="B23" s="173"/>
      <c r="C23" s="173"/>
      <c r="D23" s="173"/>
      <c r="E23" s="174">
        <f t="shared" si="0"/>
        <v>0</v>
      </c>
      <c r="F23" s="97"/>
      <c r="G23" s="97"/>
      <c r="H23" s="97"/>
      <c r="I23" s="97"/>
      <c r="J23" s="97"/>
      <c r="K23" s="97"/>
      <c r="L23" s="108"/>
      <c r="M23" s="108"/>
      <c r="N23" s="108"/>
      <c r="O23" s="108"/>
      <c r="P23" s="31"/>
      <c r="Q23" s="31"/>
      <c r="R23" s="31"/>
      <c r="S23" s="31"/>
      <c r="T23" s="31"/>
      <c r="U23" s="31"/>
      <c r="V23" s="31"/>
    </row>
    <row r="24" spans="1:22" x14ac:dyDescent="0.25">
      <c r="A24" s="246" t="s">
        <v>17</v>
      </c>
      <c r="B24" s="173"/>
      <c r="C24" s="173"/>
      <c r="D24" s="173"/>
      <c r="E24" s="174">
        <f t="shared" si="0"/>
        <v>0</v>
      </c>
      <c r="F24" s="97"/>
      <c r="G24" s="97"/>
      <c r="H24" s="97"/>
      <c r="I24" s="97"/>
      <c r="J24" s="97"/>
      <c r="K24" s="97"/>
      <c r="L24" s="108"/>
      <c r="M24" s="108"/>
      <c r="N24" s="108"/>
      <c r="O24" s="108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246" t="s">
        <v>19</v>
      </c>
      <c r="B25" s="173"/>
      <c r="C25" s="173"/>
      <c r="D25" s="173"/>
      <c r="E25" s="174">
        <f t="shared" si="0"/>
        <v>0</v>
      </c>
      <c r="F25" s="97"/>
      <c r="G25" s="97"/>
      <c r="H25" s="97"/>
      <c r="I25" s="97"/>
      <c r="J25" s="97"/>
      <c r="K25" s="97"/>
      <c r="L25" s="108"/>
      <c r="M25" s="108"/>
      <c r="N25" s="108"/>
      <c r="O25" s="108"/>
      <c r="P25" s="31"/>
      <c r="Q25" s="31"/>
      <c r="R25" s="31"/>
      <c r="S25" s="31"/>
      <c r="T25" s="31"/>
      <c r="U25" s="31"/>
      <c r="V25" s="31"/>
    </row>
    <row r="26" spans="1:22" x14ac:dyDescent="0.25">
      <c r="A26" s="246" t="s">
        <v>20</v>
      </c>
      <c r="B26" s="173"/>
      <c r="C26" s="173">
        <v>2956.36</v>
      </c>
      <c r="D26" s="173">
        <v>8427.19</v>
      </c>
      <c r="E26" s="174">
        <f t="shared" si="0"/>
        <v>-5470.83</v>
      </c>
      <c r="F26" s="97"/>
      <c r="G26" s="97"/>
      <c r="H26" s="97"/>
      <c r="I26" s="97"/>
      <c r="J26" s="97"/>
      <c r="K26" s="97"/>
      <c r="L26" s="108"/>
      <c r="M26" s="108"/>
      <c r="N26" s="108"/>
      <c r="O26" s="108"/>
      <c r="P26" s="31"/>
      <c r="Q26" s="31"/>
      <c r="R26" s="31"/>
      <c r="S26" s="31"/>
      <c r="T26" s="31"/>
      <c r="U26" s="31"/>
      <c r="V26" s="31"/>
    </row>
    <row r="27" spans="1:22" x14ac:dyDescent="0.25">
      <c r="A27" s="246" t="s">
        <v>83</v>
      </c>
      <c r="B27" s="173"/>
      <c r="C27" s="173"/>
      <c r="D27" s="173"/>
      <c r="E27" s="174">
        <f t="shared" si="0"/>
        <v>0</v>
      </c>
      <c r="F27" s="97"/>
      <c r="G27" s="97"/>
      <c r="H27" s="97"/>
      <c r="I27" s="97"/>
      <c r="J27" s="97"/>
      <c r="K27" s="97"/>
      <c r="L27" s="108"/>
      <c r="M27" s="108"/>
      <c r="N27" s="108"/>
      <c r="O27" s="108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247" t="s">
        <v>21</v>
      </c>
      <c r="B28" s="177">
        <f>B29+B30+B31+B33+B32</f>
        <v>0</v>
      </c>
      <c r="C28" s="197">
        <f>C29+C30+C31+C33</f>
        <v>538274.88</v>
      </c>
      <c r="D28" s="197">
        <f>D29+D30+D31+D33+D32</f>
        <v>159202.37999999998</v>
      </c>
      <c r="E28" s="178">
        <f>C28-D28+B28</f>
        <v>379072.5</v>
      </c>
      <c r="F28" s="97"/>
      <c r="G28" s="97"/>
      <c r="H28" s="97"/>
      <c r="I28" s="97"/>
      <c r="J28" s="97"/>
      <c r="K28" s="97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248" t="s">
        <v>22</v>
      </c>
      <c r="B29" s="171"/>
      <c r="C29" s="171">
        <v>394988.79999999999</v>
      </c>
      <c r="D29" s="171">
        <v>97306.06</v>
      </c>
      <c r="E29" s="172">
        <f t="shared" si="0"/>
        <v>297682.74</v>
      </c>
      <c r="F29" s="97"/>
      <c r="G29" s="97"/>
      <c r="H29" s="97"/>
      <c r="I29" s="97"/>
      <c r="J29" s="97"/>
      <c r="K29" s="97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249" t="s">
        <v>23</v>
      </c>
      <c r="B30" s="173"/>
      <c r="C30" s="173">
        <f>75571.92+22688.84</f>
        <v>98260.76</v>
      </c>
      <c r="D30" s="173">
        <f>21092.67+14803.13</f>
        <v>35895.799999999996</v>
      </c>
      <c r="E30" s="174">
        <f t="shared" si="0"/>
        <v>62364.959999999999</v>
      </c>
      <c r="F30" s="97"/>
      <c r="G30" s="97"/>
      <c r="H30" s="97"/>
      <c r="I30" s="97"/>
      <c r="J30" s="97"/>
      <c r="K30" s="97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249" t="s">
        <v>24</v>
      </c>
      <c r="B31" s="173"/>
      <c r="C31" s="173">
        <v>15654.02</v>
      </c>
      <c r="D31" s="173">
        <v>11590.75</v>
      </c>
      <c r="E31" s="174">
        <f t="shared" si="0"/>
        <v>4063.2700000000004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249" t="s">
        <v>90</v>
      </c>
      <c r="B32" s="173"/>
      <c r="C32" s="173"/>
      <c r="D32" s="173"/>
      <c r="E32" s="174">
        <f t="shared" si="0"/>
        <v>0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249" t="s">
        <v>25</v>
      </c>
      <c r="B33" s="173"/>
      <c r="C33" s="173">
        <v>29371.3</v>
      </c>
      <c r="D33" s="173">
        <v>14409.77</v>
      </c>
      <c r="E33" s="174">
        <f t="shared" si="0"/>
        <v>14961.529999999999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249"/>
      <c r="B34" s="173"/>
      <c r="C34" s="173"/>
      <c r="D34" s="173"/>
      <c r="E34" s="174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246" t="s">
        <v>74</v>
      </c>
      <c r="B35" s="179"/>
      <c r="C35" s="180">
        <f>50603.08</f>
        <v>50603.08</v>
      </c>
      <c r="D35" s="180">
        <v>17463.45</v>
      </c>
      <c r="E35" s="174">
        <f t="shared" si="0"/>
        <v>33139.630000000005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155</v>
      </c>
      <c r="B37" s="44"/>
      <c r="C37" s="44"/>
      <c r="D37" s="44"/>
      <c r="E37" s="45">
        <f t="shared" si="0"/>
        <v>0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/>
      <c r="C38" s="46"/>
      <c r="D38" s="46"/>
      <c r="E38" s="47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0</v>
      </c>
      <c r="C39" s="58">
        <f>C20+C21+C22+C23+C24+C25+C26+C28+C35+C36+C37+C38</f>
        <v>791387.55999999994</v>
      </c>
      <c r="D39" s="58">
        <f>D20+D21+D22+D23+D24+D25+D26+D28+D35+D36+D37+D38+D27</f>
        <v>245827.90999999997</v>
      </c>
      <c r="E39" s="58">
        <f>E20+E21+E22+E23+E24+E25+E26+E28+E35+E36+E37+E38+E27</f>
        <v>545559.65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59"/>
      <c r="B40" s="60"/>
      <c r="C40" s="56"/>
      <c r="D40" s="56"/>
      <c r="E40" s="56"/>
      <c r="F40" s="136"/>
      <c r="G40" s="137"/>
      <c r="H40" s="137"/>
      <c r="I40" s="124"/>
      <c r="J40" s="137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59"/>
      <c r="B41" s="60"/>
      <c r="C41" s="56"/>
      <c r="D41" s="56"/>
      <c r="E41" s="56"/>
      <c r="F41" s="136"/>
      <c r="G41" s="137"/>
      <c r="H41" s="137"/>
      <c r="I41" s="97"/>
      <c r="J41" s="97"/>
    </row>
    <row r="42" spans="1:22" ht="15.75" thickBot="1" x14ac:dyDescent="0.3">
      <c r="A42" s="61" t="s">
        <v>30</v>
      </c>
      <c r="B42" s="62">
        <f>B44+B59+B60+B57+B62+B58+B61</f>
        <v>135673.6216924843</v>
      </c>
      <c r="C42" s="63" t="s">
        <v>31</v>
      </c>
      <c r="D42" s="119">
        <f>C39-B42-B62</f>
        <v>655248.1278033139</v>
      </c>
      <c r="E42" s="272" t="s">
        <v>32</v>
      </c>
      <c r="F42" s="273">
        <v>5512727.4500000002</v>
      </c>
      <c r="G42" s="274">
        <f>F42/F48*C8/12*4</f>
        <v>57064.141178021004</v>
      </c>
      <c r="H42" s="115"/>
      <c r="I42" s="97"/>
      <c r="J42" s="97"/>
    </row>
    <row r="43" spans="1:22" x14ac:dyDescent="0.25">
      <c r="A43" s="250"/>
      <c r="B43" s="183"/>
      <c r="C43" s="251" t="s">
        <v>31</v>
      </c>
      <c r="D43" s="119"/>
      <c r="E43" s="272" t="s">
        <v>33</v>
      </c>
      <c r="F43" s="273">
        <v>1264951.0900000001</v>
      </c>
      <c r="G43" s="274">
        <f>F43/F48*C8/12*4</f>
        <v>13093.944556074792</v>
      </c>
      <c r="H43" s="115"/>
      <c r="I43" s="97"/>
      <c r="J43" s="97"/>
    </row>
    <row r="44" spans="1:22" x14ac:dyDescent="0.25">
      <c r="A44" s="246" t="s">
        <v>34</v>
      </c>
      <c r="B44" s="160">
        <f>B45+B46+B48+B49+B50+B51+B52+B53+B54+B55+B56+B47</f>
        <v>81994.561188282605</v>
      </c>
      <c r="C44" s="251" t="s">
        <v>31</v>
      </c>
      <c r="D44" s="119"/>
      <c r="E44" s="272" t="s">
        <v>35</v>
      </c>
      <c r="F44" s="273">
        <v>180000</v>
      </c>
      <c r="G44" s="274">
        <f>F44/F48*C8/12*4</f>
        <v>1863.2420168067226</v>
      </c>
      <c r="H44" s="115"/>
      <c r="I44" s="97"/>
      <c r="J44" s="97"/>
    </row>
    <row r="45" spans="1:22" x14ac:dyDescent="0.25">
      <c r="A45" s="252" t="s">
        <v>76</v>
      </c>
      <c r="B45" s="184"/>
      <c r="C45" s="185" t="s">
        <v>31</v>
      </c>
      <c r="D45" s="119"/>
      <c r="E45" s="272" t="s">
        <v>18</v>
      </c>
      <c r="F45" s="273">
        <f>299837.27</f>
        <v>299837.27</v>
      </c>
      <c r="G45" s="274">
        <f>F45/F48*C8/12*4</f>
        <v>3103.718887047899</v>
      </c>
      <c r="H45" s="115"/>
      <c r="I45" s="97"/>
      <c r="J45" s="97"/>
    </row>
    <row r="46" spans="1:22" x14ac:dyDescent="0.25">
      <c r="A46" s="253" t="s">
        <v>37</v>
      </c>
      <c r="B46" s="184">
        <f>(G42+G43)/12*3</f>
        <v>17539.521433523951</v>
      </c>
      <c r="C46" s="185" t="s">
        <v>31</v>
      </c>
      <c r="D46" s="119"/>
      <c r="E46" s="275" t="s">
        <v>38</v>
      </c>
      <c r="F46" s="273">
        <f>7000+1260+30890+4200</f>
        <v>43350</v>
      </c>
      <c r="G46" s="274">
        <f>F46/F48*C8/12*4</f>
        <v>448.73078571428567</v>
      </c>
      <c r="H46" s="115"/>
      <c r="I46" s="97"/>
      <c r="J46" s="97"/>
    </row>
    <row r="47" spans="1:22" x14ac:dyDescent="0.25">
      <c r="A47" s="253" t="s">
        <v>39</v>
      </c>
      <c r="B47" s="184"/>
      <c r="C47" s="185" t="s">
        <v>31</v>
      </c>
      <c r="D47" s="119"/>
      <c r="E47" s="274" t="s">
        <v>12</v>
      </c>
      <c r="F47" s="273">
        <f>8022857.59-F46</f>
        <v>7979507.5899999999</v>
      </c>
      <c r="G47" s="274">
        <f>F47/F48*C8/12*4</f>
        <v>82598.63230620083</v>
      </c>
      <c r="H47" s="115"/>
      <c r="I47" s="97"/>
      <c r="J47" s="97"/>
    </row>
    <row r="48" spans="1:22" x14ac:dyDescent="0.25">
      <c r="A48" s="252" t="s">
        <v>40</v>
      </c>
      <c r="B48" s="184">
        <f>G46/12*3+2887.95</f>
        <v>3000.1326964285713</v>
      </c>
      <c r="C48" s="185" t="s">
        <v>31</v>
      </c>
      <c r="D48" s="119"/>
      <c r="E48" s="276" t="s">
        <v>41</v>
      </c>
      <c r="F48" s="277">
        <f>119000</f>
        <v>119000</v>
      </c>
      <c r="G48" s="274"/>
      <c r="H48" s="115"/>
      <c r="I48" s="97"/>
      <c r="J48" s="97"/>
    </row>
    <row r="49" spans="1:10" x14ac:dyDescent="0.25">
      <c r="A49" s="252" t="s">
        <v>42</v>
      </c>
      <c r="B49" s="184">
        <f>G45/12*3</f>
        <v>775.92972176197463</v>
      </c>
      <c r="C49" s="185" t="s">
        <v>31</v>
      </c>
      <c r="D49" s="119"/>
      <c r="E49" s="278"/>
      <c r="F49" s="274"/>
      <c r="G49" s="274"/>
      <c r="H49" s="115"/>
      <c r="I49" s="97"/>
      <c r="J49" s="97"/>
    </row>
    <row r="50" spans="1:10" x14ac:dyDescent="0.25">
      <c r="A50" s="252" t="s">
        <v>141</v>
      </c>
      <c r="B50" s="184">
        <f>G47/12*3</f>
        <v>20649.658076550208</v>
      </c>
      <c r="C50" s="185" t="s">
        <v>31</v>
      </c>
      <c r="D50" s="119"/>
      <c r="E50" s="279" t="s">
        <v>70</v>
      </c>
      <c r="F50" s="277">
        <f>1910.32</f>
        <v>1910.32</v>
      </c>
      <c r="G50" s="279">
        <f>F50/F48*C8/12*4</f>
        <v>19.77438049747899</v>
      </c>
      <c r="H50" s="115"/>
      <c r="I50" s="97"/>
      <c r="J50" s="97"/>
    </row>
    <row r="51" spans="1:10" x14ac:dyDescent="0.25">
      <c r="A51" s="252" t="s">
        <v>44</v>
      </c>
      <c r="B51" s="184">
        <f>G52/12*3</f>
        <v>42.517112554621839</v>
      </c>
      <c r="C51" s="185" t="s">
        <v>31</v>
      </c>
      <c r="D51" s="119"/>
      <c r="E51" s="119"/>
      <c r="F51" s="120"/>
      <c r="G51" s="121"/>
      <c r="H51" s="115"/>
      <c r="I51" s="97"/>
      <c r="J51" s="97"/>
    </row>
    <row r="52" spans="1:10" x14ac:dyDescent="0.25">
      <c r="A52" s="252" t="s">
        <v>45</v>
      </c>
      <c r="B52" s="184">
        <f>G50/12*3</f>
        <v>4.9435951243697476</v>
      </c>
      <c r="C52" s="185" t="s">
        <v>31</v>
      </c>
      <c r="D52" s="119"/>
      <c r="E52" s="119" t="s">
        <v>125</v>
      </c>
      <c r="F52" s="280">
        <f>16429.6</f>
        <v>16429.599999999999</v>
      </c>
      <c r="G52" s="279">
        <f>F52/F48*C8/12*4</f>
        <v>170.06845021848736</v>
      </c>
      <c r="H52" s="115"/>
      <c r="I52" s="97"/>
      <c r="J52" s="97"/>
    </row>
    <row r="53" spans="1:10" x14ac:dyDescent="0.25">
      <c r="A53" s="252" t="s">
        <v>46</v>
      </c>
      <c r="B53" s="184"/>
      <c r="C53" s="185" t="s">
        <v>31</v>
      </c>
      <c r="D53" s="119"/>
      <c r="E53" s="119"/>
      <c r="F53" s="120"/>
      <c r="G53" s="121"/>
      <c r="H53" s="115"/>
      <c r="I53" s="97"/>
      <c r="J53" s="97"/>
    </row>
    <row r="54" spans="1:10" ht="26.25" x14ac:dyDescent="0.25">
      <c r="A54" s="254" t="s">
        <v>222</v>
      </c>
      <c r="B54" s="184">
        <f>1050+26976</f>
        <v>28026</v>
      </c>
      <c r="C54" s="185" t="s">
        <v>31</v>
      </c>
      <c r="D54" s="56"/>
      <c r="E54" s="56"/>
      <c r="F54" s="156"/>
      <c r="G54" s="157"/>
      <c r="H54" s="137"/>
      <c r="I54" s="97"/>
      <c r="J54" s="97"/>
    </row>
    <row r="55" spans="1:10" x14ac:dyDescent="0.25">
      <c r="A55" s="252" t="s">
        <v>48</v>
      </c>
      <c r="B55" s="184">
        <v>4956.24</v>
      </c>
      <c r="C55" s="185" t="s">
        <v>31</v>
      </c>
      <c r="D55" s="56"/>
      <c r="E55" s="56"/>
      <c r="F55" s="136"/>
      <c r="G55" s="137"/>
      <c r="H55" s="137"/>
      <c r="I55" s="97"/>
      <c r="J55" s="97"/>
    </row>
    <row r="56" spans="1:10" x14ac:dyDescent="0.25">
      <c r="A56" s="252" t="s">
        <v>49</v>
      </c>
      <c r="B56" s="184">
        <f>(B46+B47+B48+B49+B50+B52+B53+B54)*0.1</f>
        <v>6999.6185523389086</v>
      </c>
      <c r="C56" s="185" t="s">
        <v>31</v>
      </c>
      <c r="D56" s="56"/>
      <c r="E56" s="56"/>
      <c r="F56" s="136"/>
      <c r="G56" s="137"/>
      <c r="H56" s="137"/>
      <c r="I56" s="137"/>
      <c r="J56" s="137"/>
    </row>
    <row r="57" spans="1:10" x14ac:dyDescent="0.25">
      <c r="A57" s="246" t="s">
        <v>50</v>
      </c>
      <c r="B57" s="160">
        <f>C77</f>
        <v>6500</v>
      </c>
      <c r="C57" s="251" t="s">
        <v>31</v>
      </c>
      <c r="D57" s="122"/>
      <c r="E57" s="122"/>
      <c r="F57" s="123"/>
      <c r="G57" s="124"/>
      <c r="H57" s="124"/>
      <c r="I57" s="137"/>
      <c r="J57" s="137"/>
    </row>
    <row r="58" spans="1:10" x14ac:dyDescent="0.25">
      <c r="A58" s="246" t="s">
        <v>51</v>
      </c>
      <c r="B58" s="160"/>
      <c r="C58" s="251" t="s">
        <v>31</v>
      </c>
      <c r="D58" s="122"/>
      <c r="E58" s="122"/>
      <c r="F58" s="123"/>
      <c r="G58" s="124"/>
      <c r="H58" s="124"/>
      <c r="I58" s="137"/>
      <c r="J58" s="137"/>
    </row>
    <row r="59" spans="1:10" x14ac:dyDescent="0.25">
      <c r="A59" s="246" t="s">
        <v>52</v>
      </c>
      <c r="B59" s="160"/>
      <c r="C59" s="251" t="s">
        <v>31</v>
      </c>
      <c r="D59" s="56"/>
      <c r="E59" s="56"/>
      <c r="F59" s="3"/>
      <c r="I59" s="137"/>
      <c r="J59" s="137"/>
    </row>
    <row r="60" spans="1:10" x14ac:dyDescent="0.25">
      <c r="A60" s="246" t="s">
        <v>53</v>
      </c>
      <c r="B60" s="160">
        <f>46713.25</f>
        <v>46713.25</v>
      </c>
      <c r="C60" s="251" t="s">
        <v>54</v>
      </c>
      <c r="D60" s="56"/>
      <c r="E60" s="56"/>
      <c r="F60" s="3"/>
      <c r="I60" s="137"/>
      <c r="J60" s="137"/>
    </row>
    <row r="61" spans="1:10" x14ac:dyDescent="0.25">
      <c r="A61" s="133" t="s">
        <v>154</v>
      </c>
      <c r="B61" s="258">
        <f>C37/1.02</f>
        <v>0</v>
      </c>
      <c r="C61" s="135"/>
      <c r="D61" s="56"/>
      <c r="E61" s="56"/>
      <c r="F61" s="3"/>
      <c r="I61" s="137"/>
      <c r="J61" s="137"/>
    </row>
    <row r="62" spans="1:10" ht="15.75" thickBot="1" x14ac:dyDescent="0.3">
      <c r="A62" s="73" t="s">
        <v>78</v>
      </c>
      <c r="B62" s="74">
        <f>G44/12*3</f>
        <v>465.8105042016806</v>
      </c>
      <c r="C62" s="75" t="s">
        <v>31</v>
      </c>
      <c r="D62" s="56"/>
      <c r="E62" s="56"/>
      <c r="F62" s="3"/>
      <c r="I62" s="137"/>
      <c r="J62" s="137"/>
    </row>
    <row r="63" spans="1:10" x14ac:dyDescent="0.25">
      <c r="A63" s="59"/>
      <c r="B63" s="60"/>
      <c r="C63" s="56"/>
      <c r="D63" s="56"/>
      <c r="E63" s="56"/>
      <c r="F63" s="3"/>
      <c r="I63" s="137"/>
      <c r="J63" s="137"/>
    </row>
    <row r="64" spans="1:10" x14ac:dyDescent="0.25">
      <c r="A64" s="59"/>
      <c r="B64" s="143"/>
      <c r="C64" s="56"/>
      <c r="D64" s="56"/>
      <c r="E64" s="56"/>
      <c r="F64" s="3"/>
      <c r="I64" s="137"/>
      <c r="J64" s="137"/>
    </row>
    <row r="65" spans="1:10" x14ac:dyDescent="0.25">
      <c r="A65" s="59" t="s">
        <v>166</v>
      </c>
      <c r="B65" s="2">
        <f>B66+B67+B68+B69+B70+B71</f>
        <v>655713.93830751569</v>
      </c>
      <c r="C65" s="56" t="s">
        <v>31</v>
      </c>
      <c r="D65" s="56"/>
      <c r="E65" s="56"/>
      <c r="F65" s="3"/>
      <c r="I65" s="137"/>
      <c r="J65" s="137"/>
    </row>
    <row r="66" spans="1:10" x14ac:dyDescent="0.25">
      <c r="A66" s="77" t="s">
        <v>56</v>
      </c>
      <c r="B66" s="78">
        <f>C20-B44-B62</f>
        <v>102311.1483075157</v>
      </c>
      <c r="C66" s="56" t="s">
        <v>31</v>
      </c>
      <c r="D66" s="56"/>
      <c r="E66" s="56"/>
      <c r="F66" s="3"/>
      <c r="I66" s="137"/>
      <c r="J66" s="137"/>
    </row>
    <row r="67" spans="1:10" x14ac:dyDescent="0.25">
      <c r="A67" s="77" t="s">
        <v>57</v>
      </c>
      <c r="B67" s="78">
        <f>C22-B57</f>
        <v>8281.7199999999993</v>
      </c>
      <c r="C67" s="56" t="s">
        <v>31</v>
      </c>
      <c r="D67" s="56"/>
      <c r="E67" s="56"/>
      <c r="F67" s="3"/>
      <c r="I67" s="137"/>
      <c r="J67" s="137"/>
    </row>
    <row r="68" spans="1:10" x14ac:dyDescent="0.25">
      <c r="A68" s="77" t="s">
        <v>58</v>
      </c>
      <c r="B68" s="78">
        <f>C26-B58</f>
        <v>2956.36</v>
      </c>
      <c r="C68" s="56" t="s">
        <v>31</v>
      </c>
      <c r="D68" s="56"/>
      <c r="E68" s="56"/>
      <c r="F68" s="3"/>
      <c r="I68" s="137"/>
      <c r="J68" s="137"/>
    </row>
    <row r="69" spans="1:10" x14ac:dyDescent="0.25">
      <c r="A69" s="77" t="s">
        <v>59</v>
      </c>
      <c r="B69" s="78">
        <f>C28-B59</f>
        <v>538274.88</v>
      </c>
      <c r="C69" s="56" t="s">
        <v>31</v>
      </c>
      <c r="D69" s="56"/>
      <c r="E69" s="56"/>
      <c r="F69" s="3"/>
      <c r="I69" s="137"/>
      <c r="J69" s="137"/>
    </row>
    <row r="70" spans="1:10" x14ac:dyDescent="0.25">
      <c r="A70" s="77" t="s">
        <v>60</v>
      </c>
      <c r="B70" s="78">
        <f>C35-B60</f>
        <v>3889.8300000000017</v>
      </c>
      <c r="C70" s="56" t="s">
        <v>31</v>
      </c>
      <c r="D70" s="56"/>
      <c r="E70" s="56"/>
      <c r="F70" s="3"/>
      <c r="I70" s="137"/>
      <c r="J70" s="137"/>
    </row>
    <row r="71" spans="1:10" x14ac:dyDescent="0.25">
      <c r="A71" s="77" t="s">
        <v>157</v>
      </c>
      <c r="B71" s="78">
        <f>C37-B61</f>
        <v>0</v>
      </c>
      <c r="C71" s="56" t="s">
        <v>31</v>
      </c>
      <c r="I71" s="137"/>
      <c r="J71" s="137"/>
    </row>
    <row r="72" spans="1:10" ht="15.75" thickBot="1" x14ac:dyDescent="0.3">
      <c r="A72" s="77"/>
      <c r="B72" s="78"/>
      <c r="C72" s="56"/>
      <c r="D72" s="98"/>
      <c r="E72" s="99"/>
      <c r="F72" s="100"/>
      <c r="G72" s="97"/>
      <c r="I72" s="137"/>
      <c r="J72" s="137"/>
    </row>
    <row r="73" spans="1:10" ht="15.75" thickBot="1" x14ac:dyDescent="0.3">
      <c r="A73" s="128" t="s">
        <v>146</v>
      </c>
      <c r="B73" s="129"/>
      <c r="C73" s="130"/>
      <c r="D73" s="98"/>
      <c r="E73" s="101"/>
      <c r="F73" s="101"/>
      <c r="G73" s="97"/>
      <c r="I73" s="137"/>
      <c r="J73" s="137"/>
    </row>
    <row r="74" spans="1:10" ht="51.75" thickBot="1" x14ac:dyDescent="0.3">
      <c r="A74" s="79" t="s">
        <v>80</v>
      </c>
      <c r="B74" s="80" t="s">
        <v>61</v>
      </c>
      <c r="C74" s="81" t="s">
        <v>67</v>
      </c>
      <c r="D74" s="98"/>
      <c r="E74" s="103"/>
      <c r="F74" s="104"/>
      <c r="G74" s="97"/>
      <c r="I74" s="137"/>
      <c r="J74" s="137"/>
    </row>
    <row r="75" spans="1:10" x14ac:dyDescent="0.25">
      <c r="A75" s="255" t="s">
        <v>62</v>
      </c>
      <c r="B75" s="256" t="s">
        <v>31</v>
      </c>
      <c r="C75" s="257" t="s">
        <v>31</v>
      </c>
      <c r="D75" s="98"/>
      <c r="E75" s="103"/>
      <c r="F75" s="104"/>
      <c r="G75" s="97"/>
      <c r="I75" s="137"/>
      <c r="J75" s="137"/>
    </row>
    <row r="76" spans="1:10" x14ac:dyDescent="0.25">
      <c r="A76" s="249" t="s">
        <v>179</v>
      </c>
      <c r="B76" s="173"/>
      <c r="C76" s="185">
        <v>6500</v>
      </c>
      <c r="D76" s="98"/>
      <c r="E76" s="103"/>
      <c r="F76" s="104"/>
      <c r="G76" s="97"/>
      <c r="I76" s="137"/>
      <c r="J76" s="137"/>
    </row>
    <row r="77" spans="1:10" ht="15.75" thickBot="1" x14ac:dyDescent="0.3">
      <c r="A77" s="145" t="s">
        <v>5</v>
      </c>
      <c r="B77" s="146">
        <f>B76</f>
        <v>0</v>
      </c>
      <c r="C77" s="147">
        <f>C76</f>
        <v>6500</v>
      </c>
      <c r="D77" s="105"/>
      <c r="E77" s="103"/>
      <c r="F77" s="104"/>
      <c r="G77" s="97"/>
    </row>
    <row r="78" spans="1:10" x14ac:dyDescent="0.25">
      <c r="A78" s="31"/>
      <c r="B78" s="33"/>
      <c r="C78" s="87"/>
      <c r="D78" s="105"/>
      <c r="E78" s="103"/>
      <c r="F78" s="104"/>
      <c r="G78" s="97"/>
    </row>
    <row r="79" spans="1:10" x14ac:dyDescent="0.25">
      <c r="A79" s="164" t="s">
        <v>132</v>
      </c>
      <c r="B79" s="149"/>
      <c r="C79" s="215"/>
      <c r="D79" s="216"/>
      <c r="E79" s="89"/>
    </row>
    <row r="80" spans="1:10" x14ac:dyDescent="0.25">
      <c r="A80" s="217"/>
      <c r="B80" s="149"/>
      <c r="C80" s="215"/>
      <c r="D80" s="218"/>
      <c r="E80" s="89"/>
    </row>
    <row r="81" spans="1:6" x14ac:dyDescent="0.25">
      <c r="A81" s="165" t="s">
        <v>133</v>
      </c>
      <c r="B81" s="149" t="s">
        <v>134</v>
      </c>
      <c r="C81" s="219"/>
      <c r="D81" s="216"/>
      <c r="E81" s="56"/>
    </row>
    <row r="82" spans="1:6" x14ac:dyDescent="0.25">
      <c r="A82" s="165"/>
      <c r="B82" s="149"/>
      <c r="C82" s="219"/>
      <c r="D82" s="216"/>
      <c r="E82" s="56"/>
    </row>
    <row r="83" spans="1:6" x14ac:dyDescent="0.25">
      <c r="A83" s="220"/>
      <c r="B83" s="221"/>
      <c r="C83" s="219"/>
      <c r="D83" s="150"/>
      <c r="E83" s="89"/>
    </row>
    <row r="84" spans="1:6" ht="15.75" x14ac:dyDescent="0.25">
      <c r="A84" s="223" t="s">
        <v>63</v>
      </c>
      <c r="B84" s="224" t="s">
        <v>134</v>
      </c>
      <c r="C84" s="225"/>
      <c r="D84" s="226" t="s">
        <v>66</v>
      </c>
      <c r="E84" s="89"/>
    </row>
    <row r="85" spans="1:6" x14ac:dyDescent="0.25">
      <c r="A85" s="31"/>
      <c r="B85" s="33"/>
      <c r="C85" s="89"/>
      <c r="D85" s="93"/>
      <c r="E85" s="89"/>
    </row>
    <row r="86" spans="1:6" x14ac:dyDescent="0.25">
      <c r="A86" s="95"/>
      <c r="B86" s="96"/>
      <c r="C86" s="89"/>
      <c r="D86" s="93"/>
      <c r="E86" s="89"/>
    </row>
    <row r="87" spans="1:6" x14ac:dyDescent="0.25">
      <c r="A87" s="95"/>
      <c r="B87" s="96"/>
      <c r="C87" s="89"/>
      <c r="D87" s="93"/>
      <c r="E87" s="89"/>
      <c r="F87" s="94"/>
    </row>
    <row r="88" spans="1:6" x14ac:dyDescent="0.25">
      <c r="A88" s="31"/>
      <c r="B88" s="33"/>
      <c r="C88" s="89"/>
      <c r="D88" s="93"/>
      <c r="E88" s="89"/>
    </row>
    <row r="89" spans="1:6" x14ac:dyDescent="0.25">
      <c r="A89" s="31"/>
      <c r="B89" s="33"/>
      <c r="C89" s="56"/>
      <c r="D89" s="87"/>
      <c r="E89" s="89"/>
    </row>
    <row r="90" spans="1:6" x14ac:dyDescent="0.25">
      <c r="A90" s="19"/>
      <c r="B90" s="20"/>
      <c r="C90" s="89"/>
      <c r="D90" s="87"/>
      <c r="E90" s="89"/>
    </row>
    <row r="91" spans="1:6" x14ac:dyDescent="0.25">
      <c r="A91" s="31"/>
      <c r="B91" s="33"/>
      <c r="C91" s="89"/>
      <c r="D91" s="56"/>
      <c r="E91" s="56"/>
      <c r="F91" s="3"/>
    </row>
    <row r="92" spans="1:6" x14ac:dyDescent="0.25">
      <c r="A92" s="31"/>
      <c r="B92" s="33"/>
      <c r="C92" s="33"/>
      <c r="D92" s="56"/>
      <c r="E92" s="89"/>
    </row>
    <row r="93" spans="1:6" x14ac:dyDescent="0.25">
      <c r="A93" s="31"/>
      <c r="B93" s="33"/>
      <c r="C93" s="33"/>
      <c r="D93" s="56"/>
      <c r="E93" s="56"/>
    </row>
    <row r="94" spans="1:6" x14ac:dyDescent="0.25">
      <c r="A94" s="31"/>
      <c r="B94" s="33"/>
      <c r="C94" s="33"/>
      <c r="D94" s="89"/>
      <c r="E94" s="89"/>
    </row>
    <row r="95" spans="1:6" x14ac:dyDescent="0.25">
      <c r="A95" s="31"/>
      <c r="B95" s="33"/>
      <c r="D95" s="89"/>
      <c r="E95" s="89"/>
    </row>
    <row r="96" spans="1:6" x14ac:dyDescent="0.25">
      <c r="D96" s="89"/>
      <c r="E96" s="89"/>
    </row>
    <row r="97" spans="2:6" x14ac:dyDescent="0.25">
      <c r="D97" s="89"/>
      <c r="E97" s="89"/>
    </row>
    <row r="98" spans="2:6" x14ac:dyDescent="0.25">
      <c r="D98" s="89"/>
      <c r="E98" s="89"/>
    </row>
    <row r="99" spans="2:6" x14ac:dyDescent="0.25">
      <c r="D99" s="89"/>
      <c r="E99" s="89"/>
    </row>
    <row r="100" spans="2:6" x14ac:dyDescent="0.25">
      <c r="B100"/>
      <c r="C100"/>
      <c r="D100" s="56"/>
      <c r="E100" s="56"/>
      <c r="F100" s="3"/>
    </row>
    <row r="101" spans="2:6" x14ac:dyDescent="0.25">
      <c r="B101"/>
      <c r="C101"/>
      <c r="D101" s="89"/>
      <c r="E101" s="89"/>
      <c r="F101" s="3"/>
    </row>
    <row r="102" spans="2:6" x14ac:dyDescent="0.25">
      <c r="B102"/>
      <c r="C102"/>
      <c r="D102" s="89"/>
      <c r="E102" s="89"/>
    </row>
    <row r="103" spans="2:6" x14ac:dyDescent="0.25">
      <c r="B103"/>
      <c r="C103"/>
      <c r="D103" s="33"/>
      <c r="E103" s="33"/>
    </row>
    <row r="104" spans="2:6" x14ac:dyDescent="0.25">
      <c r="B104"/>
      <c r="C104"/>
      <c r="D104" s="33"/>
      <c r="E104" s="33"/>
    </row>
    <row r="105" spans="2:6" x14ac:dyDescent="0.25">
      <c r="D105" s="33"/>
      <c r="E105" s="33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V104"/>
  <sheetViews>
    <sheetView view="pageBreakPreview" topLeftCell="A50" zoomScale="60" zoomScaleNormal="100" workbookViewId="0">
      <selection activeCell="A41" sqref="A41:XFD41"/>
    </sheetView>
  </sheetViews>
  <sheetFormatPr defaultRowHeight="15" x14ac:dyDescent="0.25"/>
  <cols>
    <col min="1" max="1" width="52.4257812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162</v>
      </c>
      <c r="B2" s="2"/>
      <c r="C2" s="2"/>
      <c r="D2" s="2"/>
    </row>
    <row r="3" spans="1:22" ht="15.75" thickBot="1" x14ac:dyDescent="0.3">
      <c r="A3" s="1"/>
      <c r="B3" s="2"/>
      <c r="C3" s="2"/>
      <c r="D3" s="2"/>
      <c r="L3" s="108"/>
      <c r="M3" s="108"/>
      <c r="N3" s="108"/>
      <c r="O3" s="108"/>
    </row>
    <row r="4" spans="1:22" ht="15.75" thickBot="1" x14ac:dyDescent="0.3">
      <c r="A4" s="287" t="s">
        <v>0</v>
      </c>
      <c r="B4" s="288"/>
      <c r="C4" s="288"/>
      <c r="D4" s="289"/>
      <c r="L4" s="108"/>
      <c r="M4" s="108"/>
      <c r="N4" s="108"/>
      <c r="O4" s="108"/>
    </row>
    <row r="5" spans="1:22" ht="40.5" customHeight="1" thickBot="1" x14ac:dyDescent="0.3">
      <c r="A5" s="290" t="s">
        <v>1</v>
      </c>
      <c r="B5" s="291"/>
      <c r="C5" s="292" t="s">
        <v>2</v>
      </c>
      <c r="D5" s="244" t="s">
        <v>3</v>
      </c>
      <c r="L5" s="108"/>
      <c r="M5" s="108"/>
      <c r="N5" s="108"/>
      <c r="O5" s="108"/>
    </row>
    <row r="6" spans="1:22" x14ac:dyDescent="0.25">
      <c r="A6" s="245" t="s">
        <v>163</v>
      </c>
      <c r="B6" s="158"/>
      <c r="C6" s="158">
        <v>2393.9</v>
      </c>
      <c r="D6" s="159">
        <v>24</v>
      </c>
      <c r="L6" s="108"/>
      <c r="M6" s="108"/>
      <c r="N6" s="108"/>
      <c r="O6" s="108"/>
    </row>
    <row r="7" spans="1:22" x14ac:dyDescent="0.25">
      <c r="A7" s="246"/>
      <c r="B7" s="160"/>
      <c r="C7" s="160"/>
      <c r="D7" s="161"/>
      <c r="L7" s="108"/>
      <c r="M7" s="108"/>
      <c r="N7" s="108"/>
      <c r="O7" s="108"/>
    </row>
    <row r="8" spans="1:22" ht="15.75" thickBot="1" x14ac:dyDescent="0.3">
      <c r="A8" s="261" t="s">
        <v>5</v>
      </c>
      <c r="B8" s="162"/>
      <c r="C8" s="162">
        <f>C6+C7</f>
        <v>2393.9</v>
      </c>
      <c r="D8" s="163">
        <f>D6</f>
        <v>24</v>
      </c>
      <c r="L8" s="108"/>
      <c r="M8" s="108"/>
      <c r="N8" s="108"/>
      <c r="O8" s="108"/>
    </row>
    <row r="9" spans="1:22" ht="15.75" thickBot="1" x14ac:dyDescent="0.3">
      <c r="A9" s="109"/>
      <c r="B9" s="110"/>
      <c r="C9" s="110"/>
      <c r="D9" s="293"/>
      <c r="L9" s="108"/>
      <c r="M9" s="108"/>
      <c r="N9" s="108"/>
      <c r="O9" s="108"/>
    </row>
    <row r="10" spans="1:22" ht="15.75" thickBot="1" x14ac:dyDescent="0.3">
      <c r="A10" s="287" t="s">
        <v>112</v>
      </c>
      <c r="B10" s="294"/>
      <c r="C10" s="294"/>
      <c r="D10" s="295" t="s">
        <v>6</v>
      </c>
      <c r="F10" s="97"/>
      <c r="G10" s="97"/>
      <c r="H10" s="97"/>
      <c r="I10" s="97"/>
      <c r="J10" s="97"/>
      <c r="K10" s="97"/>
      <c r="L10" s="108"/>
      <c r="M10" s="108"/>
      <c r="N10" s="108"/>
      <c r="O10" s="108"/>
    </row>
    <row r="11" spans="1:22" x14ac:dyDescent="0.25">
      <c r="A11" s="296" t="s">
        <v>7</v>
      </c>
      <c r="B11" s="110"/>
      <c r="C11" s="110"/>
      <c r="D11" s="168">
        <v>10.34</v>
      </c>
      <c r="F11" s="97"/>
      <c r="G11" s="97"/>
      <c r="H11" s="97"/>
      <c r="I11" s="97"/>
      <c r="J11" s="97"/>
      <c r="K11" s="97"/>
      <c r="L11" s="108"/>
      <c r="M11" s="108"/>
      <c r="N11" s="108"/>
      <c r="O11" s="108"/>
    </row>
    <row r="12" spans="1:22" x14ac:dyDescent="0.25">
      <c r="A12" s="296" t="s">
        <v>8</v>
      </c>
      <c r="B12" s="110"/>
      <c r="C12" s="110"/>
      <c r="D12" s="168">
        <v>4.03</v>
      </c>
      <c r="F12" s="97"/>
      <c r="G12" s="97"/>
      <c r="H12" s="97"/>
      <c r="I12" s="97"/>
      <c r="J12" s="97"/>
      <c r="K12" s="97"/>
      <c r="L12" s="108"/>
      <c r="M12" s="108"/>
      <c r="N12" s="108"/>
      <c r="O12" s="108"/>
    </row>
    <row r="13" spans="1:22" x14ac:dyDescent="0.25">
      <c r="A13" s="296" t="s">
        <v>9</v>
      </c>
      <c r="B13" s="110"/>
      <c r="C13" s="110"/>
      <c r="D13" s="167">
        <v>0.9</v>
      </c>
      <c r="F13" s="97"/>
      <c r="G13" s="97"/>
      <c r="H13" s="97"/>
      <c r="I13" s="97"/>
      <c r="J13" s="97"/>
      <c r="K13" s="97"/>
      <c r="L13" s="108"/>
      <c r="M13" s="108"/>
      <c r="N13" s="108"/>
      <c r="O13" s="108"/>
    </row>
    <row r="14" spans="1:22" ht="15.75" thickBot="1" x14ac:dyDescent="0.3">
      <c r="A14" s="297" t="s">
        <v>10</v>
      </c>
      <c r="B14" s="298"/>
      <c r="C14" s="298"/>
      <c r="D14" s="170">
        <v>0</v>
      </c>
      <c r="F14" s="97"/>
      <c r="G14" s="97"/>
      <c r="H14" s="97"/>
      <c r="I14" s="97"/>
      <c r="J14" s="97"/>
      <c r="K14" s="97"/>
      <c r="L14" s="108"/>
      <c r="M14" s="108"/>
      <c r="N14" s="108"/>
      <c r="O14" s="108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97"/>
      <c r="G15" s="97"/>
      <c r="H15" s="97"/>
      <c r="I15" s="97"/>
      <c r="J15" s="97"/>
      <c r="K15" s="97"/>
      <c r="L15" s="108"/>
      <c r="M15" s="108"/>
      <c r="N15" s="108"/>
      <c r="O15" s="108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113</v>
      </c>
      <c r="B16" s="126"/>
      <c r="C16" s="126"/>
      <c r="D16" s="126"/>
      <c r="E16" s="127"/>
      <c r="F16" s="97"/>
      <c r="G16" s="97"/>
      <c r="H16" s="97"/>
      <c r="I16" s="97"/>
      <c r="J16" s="97"/>
      <c r="K16" s="97"/>
      <c r="L16" s="108"/>
      <c r="M16" s="109"/>
      <c r="N16" s="109"/>
      <c r="O16" s="108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39"/>
      <c r="F17" s="97"/>
      <c r="G17" s="97"/>
      <c r="H17" s="97"/>
      <c r="I17" s="97"/>
      <c r="J17" s="97"/>
      <c r="K17" s="97"/>
      <c r="L17" s="109"/>
      <c r="M17" s="110"/>
      <c r="N17" s="109"/>
      <c r="O17" s="108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39"/>
      <c r="F18" s="97"/>
      <c r="G18" s="97"/>
      <c r="H18" s="97"/>
      <c r="I18" s="97"/>
      <c r="J18" s="97"/>
      <c r="K18" s="97"/>
      <c r="L18" s="108"/>
      <c r="M18" s="108"/>
      <c r="N18" s="108"/>
      <c r="O18" s="108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114</v>
      </c>
      <c r="C19" s="38" t="s">
        <v>115</v>
      </c>
      <c r="D19" s="38" t="s">
        <v>116</v>
      </c>
      <c r="E19" s="39" t="s">
        <v>117</v>
      </c>
      <c r="F19" s="97"/>
      <c r="G19" s="97"/>
      <c r="H19" s="97"/>
      <c r="I19" s="97"/>
      <c r="J19" s="97"/>
      <c r="K19" s="97"/>
      <c r="L19" s="108"/>
      <c r="M19" s="111"/>
      <c r="N19" s="111"/>
      <c r="O19" s="108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/>
      <c r="C20" s="171">
        <f>73601.1</f>
        <v>73601.100000000006</v>
      </c>
      <c r="D20" s="171">
        <f>7574.22</f>
        <v>7574.22</v>
      </c>
      <c r="E20" s="42">
        <f t="shared" ref="E20:E38" si="0">C20-D20+B20</f>
        <v>66026.880000000005</v>
      </c>
      <c r="F20" s="116">
        <f>C20+F22</f>
        <v>102287.1</v>
      </c>
      <c r="G20" s="117">
        <f>100</f>
        <v>100</v>
      </c>
      <c r="H20" s="115" t="s">
        <v>64</v>
      </c>
      <c r="I20" s="97"/>
      <c r="J20" s="97"/>
      <c r="K20" s="97"/>
      <c r="L20" s="108"/>
      <c r="M20" s="108"/>
      <c r="N20" s="108"/>
      <c r="O20" s="108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173"/>
      <c r="D21" s="173"/>
      <c r="E21" s="45">
        <f t="shared" si="0"/>
        <v>0</v>
      </c>
      <c r="F21" s="116"/>
      <c r="G21" s="117"/>
      <c r="H21" s="115"/>
      <c r="I21" s="97"/>
      <c r="J21" s="97"/>
      <c r="K21" s="97"/>
      <c r="L21" s="108"/>
      <c r="M21" s="108"/>
      <c r="N21" s="108"/>
      <c r="O21" s="108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/>
      <c r="C22" s="173">
        <f>28686</f>
        <v>28686</v>
      </c>
      <c r="D22" s="173">
        <f>2952.1</f>
        <v>2952.1</v>
      </c>
      <c r="E22" s="45">
        <f t="shared" si="0"/>
        <v>25733.9</v>
      </c>
      <c r="F22" s="116">
        <f>C22</f>
        <v>28686</v>
      </c>
      <c r="G22" s="118">
        <f>F22*G20/F20</f>
        <v>28.044592133318861</v>
      </c>
      <c r="H22" s="115" t="s">
        <v>64</v>
      </c>
      <c r="I22" s="97"/>
      <c r="J22" s="97"/>
      <c r="K22" s="97"/>
      <c r="L22" s="108"/>
      <c r="M22" s="108"/>
      <c r="N22" s="111"/>
      <c r="O22" s="108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173"/>
      <c r="D23" s="173"/>
      <c r="E23" s="45">
        <f t="shared" si="0"/>
        <v>0</v>
      </c>
      <c r="F23" s="97"/>
      <c r="G23" s="97"/>
      <c r="H23" s="97"/>
      <c r="I23" s="97"/>
      <c r="J23" s="97"/>
      <c r="K23" s="97"/>
      <c r="L23" s="108"/>
      <c r="M23" s="108"/>
      <c r="N23" s="108"/>
      <c r="O23" s="108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173"/>
      <c r="D24" s="173"/>
      <c r="E24" s="45">
        <f t="shared" si="0"/>
        <v>0</v>
      </c>
      <c r="F24" s="97"/>
      <c r="G24" s="97"/>
      <c r="H24" s="97"/>
      <c r="I24" s="97"/>
      <c r="J24" s="97"/>
      <c r="K24" s="97"/>
      <c r="L24" s="108"/>
      <c r="M24" s="108"/>
      <c r="N24" s="108"/>
      <c r="O24" s="108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173"/>
      <c r="D25" s="173"/>
      <c r="E25" s="45">
        <f t="shared" si="0"/>
        <v>0</v>
      </c>
      <c r="F25" s="97"/>
      <c r="G25" s="97"/>
      <c r="H25" s="97"/>
      <c r="I25" s="97"/>
      <c r="J25" s="97"/>
      <c r="K25" s="97"/>
      <c r="L25" s="108"/>
      <c r="M25" s="108"/>
      <c r="N25" s="108"/>
      <c r="O25" s="108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/>
      <c r="C26" s="173">
        <f>6406.29</f>
        <v>6406.29</v>
      </c>
      <c r="D26" s="173">
        <f>659.34</f>
        <v>659.34</v>
      </c>
      <c r="E26" s="45">
        <f t="shared" si="0"/>
        <v>5746.95</v>
      </c>
      <c r="F26" s="97"/>
      <c r="G26" s="97"/>
      <c r="H26" s="97"/>
      <c r="I26" s="97"/>
      <c r="J26" s="97"/>
      <c r="K26" s="97"/>
      <c r="L26" s="108"/>
      <c r="M26" s="108"/>
      <c r="N26" s="108"/>
      <c r="O26" s="108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83</v>
      </c>
      <c r="B27" s="44"/>
      <c r="C27" s="173"/>
      <c r="D27" s="173"/>
      <c r="E27" s="45">
        <f t="shared" si="0"/>
        <v>0</v>
      </c>
      <c r="F27" s="97"/>
      <c r="G27" s="97"/>
      <c r="H27" s="97"/>
      <c r="I27" s="97"/>
      <c r="J27" s="97"/>
      <c r="K27" s="97"/>
      <c r="L27" s="108"/>
      <c r="M27" s="108"/>
      <c r="N27" s="108"/>
      <c r="O27" s="108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0</v>
      </c>
      <c r="C28" s="197">
        <f>C29+C30+C31+C33</f>
        <v>245468.85</v>
      </c>
      <c r="D28" s="197">
        <f>D29+D30+D31+D33+D32</f>
        <v>11604.77</v>
      </c>
      <c r="E28" s="51">
        <f>C28-D28+B28</f>
        <v>233864.08000000002</v>
      </c>
      <c r="F28" s="97"/>
      <c r="G28" s="97"/>
      <c r="H28" s="97"/>
      <c r="I28" s="97"/>
      <c r="J28" s="97"/>
      <c r="K28" s="97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40"/>
      <c r="C29" s="171">
        <v>208377.58</v>
      </c>
      <c r="D29" s="171">
        <f>8016.57</f>
        <v>8016.57</v>
      </c>
      <c r="E29" s="42">
        <f t="shared" si="0"/>
        <v>200361.00999999998</v>
      </c>
      <c r="F29" s="97"/>
      <c r="G29" s="97"/>
      <c r="H29" s="97"/>
      <c r="I29" s="97"/>
      <c r="J29" s="97"/>
      <c r="K29" s="97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23</v>
      </c>
      <c r="B30" s="43"/>
      <c r="C30" s="173">
        <f>23040.31</f>
        <v>23040.31</v>
      </c>
      <c r="D30" s="173">
        <f>2183.89</f>
        <v>2183.89</v>
      </c>
      <c r="E30" s="45">
        <f t="shared" si="0"/>
        <v>20856.420000000002</v>
      </c>
      <c r="F30" s="97"/>
      <c r="G30" s="97"/>
      <c r="H30" s="97"/>
      <c r="I30" s="97"/>
      <c r="J30" s="97"/>
      <c r="K30" s="97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43"/>
      <c r="C31" s="173">
        <f>5415.42</f>
        <v>5415.42</v>
      </c>
      <c r="D31" s="173">
        <f>549.78</f>
        <v>549.78</v>
      </c>
      <c r="E31" s="45">
        <f t="shared" si="0"/>
        <v>4865.6400000000003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53" t="s">
        <v>90</v>
      </c>
      <c r="B32" s="43"/>
      <c r="C32" s="173"/>
      <c r="D32" s="173"/>
      <c r="E32" s="45">
        <f t="shared" si="0"/>
        <v>0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43"/>
      <c r="C33" s="173">
        <f>8635.54</f>
        <v>8635.5400000000009</v>
      </c>
      <c r="D33" s="173">
        <f>854.53</f>
        <v>854.53</v>
      </c>
      <c r="E33" s="45">
        <f t="shared" si="0"/>
        <v>7781.0100000000011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43"/>
      <c r="C34" s="173"/>
      <c r="D34" s="173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74</v>
      </c>
      <c r="B35" s="54"/>
      <c r="C35" s="180"/>
      <c r="D35" s="180"/>
      <c r="E35" s="45">
        <f t="shared" si="0"/>
        <v>0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173"/>
      <c r="D36" s="173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155</v>
      </c>
      <c r="B37" s="44"/>
      <c r="C37" s="173"/>
      <c r="D37" s="173"/>
      <c r="E37" s="45">
        <f t="shared" si="0"/>
        <v>0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/>
      <c r="C38" s="46"/>
      <c r="D38" s="46"/>
      <c r="E38" s="47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0</v>
      </c>
      <c r="C39" s="58">
        <f>C20+C21+C22+C23+C24+C25+C26+C28+C35+C36+C37+C38</f>
        <v>354162.24</v>
      </c>
      <c r="D39" s="58">
        <f>D20+D21+D22+D23+D24+D25+D26+D28+D35+D36+D37+D38+D27</f>
        <v>22790.43</v>
      </c>
      <c r="E39" s="58">
        <f>E20+E21+E22+E23+E24+E25+E26+E28+E35+E36+E37+E38+E27</f>
        <v>331371.81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ht="15.75" thickBot="1" x14ac:dyDescent="0.3">
      <c r="A40" s="59"/>
      <c r="B40" s="60"/>
      <c r="C40" s="56"/>
      <c r="D40" s="56"/>
      <c r="E40" s="56"/>
      <c r="F40" s="136"/>
      <c r="G40" s="137"/>
      <c r="H40" s="137"/>
      <c r="I40" s="124"/>
      <c r="J40" s="137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61" t="s">
        <v>30</v>
      </c>
      <c r="B41" s="62">
        <f>B43+B58+B59+B56+B61+B57+B60</f>
        <v>181333.54171439441</v>
      </c>
      <c r="C41" s="63" t="s">
        <v>31</v>
      </c>
      <c r="D41" s="119">
        <f>C39-B41-B61</f>
        <v>171621.68988224425</v>
      </c>
      <c r="E41" s="272" t="s">
        <v>32</v>
      </c>
      <c r="F41" s="273">
        <v>5512727.4500000002</v>
      </c>
      <c r="G41" s="274">
        <f>F41/F47*C8/12*4</f>
        <v>36966.157542170869</v>
      </c>
      <c r="H41" s="137"/>
      <c r="I41" s="97"/>
      <c r="J41" s="97"/>
    </row>
    <row r="42" spans="1:22" x14ac:dyDescent="0.25">
      <c r="A42" s="64"/>
      <c r="B42" s="65"/>
      <c r="C42" s="69" t="s">
        <v>31</v>
      </c>
      <c r="D42" s="119"/>
      <c r="E42" s="272" t="s">
        <v>33</v>
      </c>
      <c r="F42" s="273">
        <v>1264951.0900000001</v>
      </c>
      <c r="G42" s="274">
        <f>F42/F47*C8/12*4</f>
        <v>8482.2588637282915</v>
      </c>
      <c r="H42" s="137"/>
      <c r="I42" s="97"/>
      <c r="J42" s="97"/>
    </row>
    <row r="43" spans="1:22" x14ac:dyDescent="0.25">
      <c r="A43" s="67" t="s">
        <v>34</v>
      </c>
      <c r="B43" s="68">
        <f>B44+B45+B47+B48+B49+B50+B51+B52+B53+B54+B55+B46</f>
        <v>116356.53331103307</v>
      </c>
      <c r="C43" s="69" t="s">
        <v>31</v>
      </c>
      <c r="D43" s="119"/>
      <c r="E43" s="272" t="s">
        <v>35</v>
      </c>
      <c r="F43" s="273">
        <v>180000</v>
      </c>
      <c r="G43" s="274">
        <f>F43/F47*C8/12*4</f>
        <v>1207.0084033613446</v>
      </c>
      <c r="H43" s="137"/>
      <c r="I43" s="97"/>
      <c r="J43" s="97"/>
    </row>
    <row r="44" spans="1:22" x14ac:dyDescent="0.25">
      <c r="A44" s="70" t="s">
        <v>76</v>
      </c>
      <c r="B44" s="184"/>
      <c r="C44" s="71" t="s">
        <v>31</v>
      </c>
      <c r="D44" s="119"/>
      <c r="E44" s="272" t="s">
        <v>18</v>
      </c>
      <c r="F44" s="273">
        <f>299837.27</f>
        <v>299837.27</v>
      </c>
      <c r="G44" s="274">
        <f>F44/F47*C8/12*4</f>
        <v>2010.5894696162468</v>
      </c>
      <c r="H44" s="137"/>
      <c r="I44" s="97"/>
      <c r="J44" s="97"/>
    </row>
    <row r="45" spans="1:22" x14ac:dyDescent="0.25">
      <c r="A45" s="72" t="s">
        <v>37</v>
      </c>
      <c r="B45" s="184">
        <f>(G41+G42)</f>
        <v>45448.416405899159</v>
      </c>
      <c r="C45" s="71" t="s">
        <v>31</v>
      </c>
      <c r="D45" s="119"/>
      <c r="E45" s="275" t="s">
        <v>38</v>
      </c>
      <c r="F45" s="273">
        <f>7000+1260+30890+4200</f>
        <v>43350</v>
      </c>
      <c r="G45" s="274">
        <f>F45/F47*C8/12*4</f>
        <v>290.68785714285713</v>
      </c>
      <c r="H45" s="137"/>
      <c r="I45" s="97"/>
      <c r="J45" s="97"/>
    </row>
    <row r="46" spans="1:22" x14ac:dyDescent="0.25">
      <c r="A46" s="72" t="s">
        <v>39</v>
      </c>
      <c r="B46" s="184"/>
      <c r="C46" s="71" t="s">
        <v>31</v>
      </c>
      <c r="D46" s="119"/>
      <c r="E46" s="274" t="s">
        <v>12</v>
      </c>
      <c r="F46" s="273">
        <f>8022857.59-F45</f>
        <v>7979507.5899999999</v>
      </c>
      <c r="G46" s="274">
        <f>F46/F47*C8/12*4</f>
        <v>53507.4039767535</v>
      </c>
      <c r="H46" s="137"/>
      <c r="I46" s="97"/>
      <c r="J46" s="97"/>
    </row>
    <row r="47" spans="1:22" x14ac:dyDescent="0.25">
      <c r="A47" s="70" t="s">
        <v>40</v>
      </c>
      <c r="B47" s="184">
        <f>G45</f>
        <v>290.68785714285713</v>
      </c>
      <c r="C47" s="71" t="s">
        <v>31</v>
      </c>
      <c r="D47" s="119"/>
      <c r="E47" s="276" t="s">
        <v>41</v>
      </c>
      <c r="F47" s="277">
        <f>119000</f>
        <v>119000</v>
      </c>
      <c r="G47" s="274"/>
      <c r="H47" s="137"/>
      <c r="I47" s="97"/>
      <c r="J47" s="97"/>
    </row>
    <row r="48" spans="1:22" x14ac:dyDescent="0.25">
      <c r="A48" s="70" t="s">
        <v>42</v>
      </c>
      <c r="B48" s="184">
        <f>G44</f>
        <v>2010.5894696162468</v>
      </c>
      <c r="C48" s="71" t="s">
        <v>31</v>
      </c>
      <c r="D48" s="119"/>
      <c r="E48" s="278"/>
      <c r="F48" s="274"/>
      <c r="G48" s="274"/>
      <c r="H48" s="137"/>
      <c r="I48" s="97"/>
      <c r="J48" s="97"/>
    </row>
    <row r="49" spans="1:10" x14ac:dyDescent="0.25">
      <c r="A49" s="70" t="s">
        <v>141</v>
      </c>
      <c r="B49" s="184">
        <f>G46</f>
        <v>53507.4039767535</v>
      </c>
      <c r="C49" s="71" t="s">
        <v>31</v>
      </c>
      <c r="D49" s="119"/>
      <c r="E49" s="279" t="s">
        <v>70</v>
      </c>
      <c r="F49" s="277">
        <f>1910.32</f>
        <v>1910.32</v>
      </c>
      <c r="G49" s="279">
        <f>F49/F47*C8/12*4</f>
        <v>12.809846072829131</v>
      </c>
      <c r="H49" s="137"/>
      <c r="I49" s="97"/>
      <c r="J49" s="97"/>
    </row>
    <row r="50" spans="1:10" x14ac:dyDescent="0.25">
      <c r="A50" s="70" t="s">
        <v>44</v>
      </c>
      <c r="B50" s="184">
        <f>F53/12*6</f>
        <v>0</v>
      </c>
      <c r="C50" s="71" t="s">
        <v>31</v>
      </c>
      <c r="D50" s="119"/>
      <c r="E50" s="119"/>
      <c r="F50" s="120"/>
      <c r="G50" s="121"/>
      <c r="H50" s="137"/>
      <c r="I50" s="97"/>
      <c r="J50" s="97"/>
    </row>
    <row r="51" spans="1:10" x14ac:dyDescent="0.25">
      <c r="A51" s="70" t="s">
        <v>45</v>
      </c>
      <c r="B51" s="184">
        <f>G49</f>
        <v>12.809846072829131</v>
      </c>
      <c r="C51" s="71" t="s">
        <v>31</v>
      </c>
      <c r="D51" s="119"/>
      <c r="E51" s="119" t="s">
        <v>69</v>
      </c>
      <c r="F51" s="280">
        <f>16429.6</f>
        <v>16429.599999999999</v>
      </c>
      <c r="G51" s="279">
        <f>F51/F47*C8/12*4</f>
        <v>110.1703625770308</v>
      </c>
      <c r="H51" s="137"/>
      <c r="I51" s="97"/>
      <c r="J51" s="97"/>
    </row>
    <row r="52" spans="1:10" x14ac:dyDescent="0.25">
      <c r="A52" s="70" t="s">
        <v>46</v>
      </c>
      <c r="B52" s="184"/>
      <c r="C52" s="71" t="s">
        <v>31</v>
      </c>
      <c r="D52" s="119"/>
      <c r="E52" s="119"/>
      <c r="F52" s="120"/>
      <c r="G52" s="121"/>
      <c r="H52" s="137"/>
      <c r="I52" s="97"/>
      <c r="J52" s="97"/>
    </row>
    <row r="53" spans="1:10" ht="26.25" x14ac:dyDescent="0.25">
      <c r="A53" s="191" t="s">
        <v>144</v>
      </c>
      <c r="B53" s="184">
        <f>1500+1050+623.05</f>
        <v>3173.05</v>
      </c>
      <c r="C53" s="71" t="s">
        <v>31</v>
      </c>
      <c r="D53" s="119"/>
      <c r="E53" s="119"/>
      <c r="F53" s="120"/>
      <c r="G53" s="121"/>
      <c r="H53" s="137"/>
      <c r="I53" s="97"/>
      <c r="J53" s="97"/>
    </row>
    <row r="54" spans="1:10" x14ac:dyDescent="0.25">
      <c r="A54" s="70" t="s">
        <v>48</v>
      </c>
      <c r="B54" s="184">
        <v>1469.28</v>
      </c>
      <c r="C54" s="71" t="s">
        <v>31</v>
      </c>
      <c r="D54" s="56"/>
      <c r="E54" s="56"/>
      <c r="F54" s="136"/>
      <c r="G54" s="137"/>
      <c r="H54" s="137"/>
      <c r="I54" s="97"/>
      <c r="J54" s="97"/>
    </row>
    <row r="55" spans="1:10" x14ac:dyDescent="0.25">
      <c r="A55" s="70" t="s">
        <v>49</v>
      </c>
      <c r="B55" s="184">
        <f>(B45+B46+B47+B48+B49+B51+B52+B53)*0.1</f>
        <v>10444.295755548461</v>
      </c>
      <c r="C55" s="71" t="s">
        <v>31</v>
      </c>
      <c r="D55" s="56"/>
      <c r="E55" s="56"/>
      <c r="F55" s="136"/>
      <c r="G55" s="137"/>
      <c r="H55" s="137"/>
      <c r="I55" s="137"/>
      <c r="J55" s="137"/>
    </row>
    <row r="56" spans="1:10" x14ac:dyDescent="0.25">
      <c r="A56" s="67" t="s">
        <v>50</v>
      </c>
      <c r="B56" s="160">
        <f>C76</f>
        <v>63770</v>
      </c>
      <c r="C56" s="69" t="s">
        <v>31</v>
      </c>
      <c r="D56" s="122"/>
      <c r="E56" s="122"/>
      <c r="F56" s="123"/>
      <c r="G56" s="124"/>
      <c r="H56" s="124"/>
      <c r="I56" s="137"/>
      <c r="J56" s="137"/>
    </row>
    <row r="57" spans="1:10" x14ac:dyDescent="0.25">
      <c r="A57" s="67" t="s">
        <v>51</v>
      </c>
      <c r="B57" s="160"/>
      <c r="C57" s="69" t="s">
        <v>31</v>
      </c>
      <c r="D57" s="122"/>
      <c r="E57" s="122"/>
      <c r="F57" s="123"/>
      <c r="G57" s="124"/>
      <c r="H57" s="124"/>
      <c r="I57" s="137"/>
      <c r="J57" s="137"/>
    </row>
    <row r="58" spans="1:10" x14ac:dyDescent="0.25">
      <c r="A58" s="67" t="s">
        <v>52</v>
      </c>
      <c r="B58" s="160"/>
      <c r="C58" s="69" t="s">
        <v>31</v>
      </c>
      <c r="D58" s="56"/>
      <c r="E58" s="56"/>
      <c r="F58" s="3"/>
      <c r="I58" s="137"/>
      <c r="J58" s="137"/>
    </row>
    <row r="59" spans="1:10" x14ac:dyDescent="0.25">
      <c r="A59" s="67" t="s">
        <v>53</v>
      </c>
      <c r="B59" s="160"/>
      <c r="C59" s="69" t="s">
        <v>54</v>
      </c>
      <c r="D59" s="56"/>
      <c r="E59" s="56"/>
      <c r="F59" s="3"/>
      <c r="I59" s="137"/>
      <c r="J59" s="137"/>
    </row>
    <row r="60" spans="1:10" x14ac:dyDescent="0.25">
      <c r="A60" s="133" t="s">
        <v>154</v>
      </c>
      <c r="B60" s="258">
        <f>C37/1.02</f>
        <v>0</v>
      </c>
      <c r="C60" s="135"/>
      <c r="D60" s="56"/>
      <c r="E60" s="56"/>
      <c r="F60" s="3"/>
      <c r="I60" s="137"/>
      <c r="J60" s="137"/>
    </row>
    <row r="61" spans="1:10" ht="15.75" thickBot="1" x14ac:dyDescent="0.3">
      <c r="A61" s="73" t="s">
        <v>78</v>
      </c>
      <c r="B61" s="74">
        <f>G43</f>
        <v>1207.0084033613446</v>
      </c>
      <c r="C61" s="75" t="s">
        <v>31</v>
      </c>
      <c r="D61" s="56"/>
      <c r="E61" s="56"/>
      <c r="F61" s="3"/>
      <c r="I61" s="137"/>
      <c r="J61" s="137"/>
    </row>
    <row r="62" spans="1:10" x14ac:dyDescent="0.25">
      <c r="A62" s="59"/>
      <c r="B62" s="143"/>
      <c r="C62" s="56" t="s">
        <v>31</v>
      </c>
      <c r="D62" s="56"/>
      <c r="E62" s="56"/>
      <c r="F62" s="3"/>
      <c r="I62" s="137"/>
      <c r="J62" s="137"/>
    </row>
    <row r="63" spans="1:10" x14ac:dyDescent="0.25">
      <c r="A63" s="59" t="s">
        <v>166</v>
      </c>
      <c r="B63" s="2">
        <f>B64+B65+B66+B67+B68+B69</f>
        <v>172828.69828560558</v>
      </c>
      <c r="C63" s="56" t="s">
        <v>31</v>
      </c>
      <c r="D63" s="56"/>
      <c r="E63" s="56"/>
      <c r="F63" s="3"/>
      <c r="I63" s="137"/>
      <c r="J63" s="137"/>
    </row>
    <row r="64" spans="1:10" x14ac:dyDescent="0.25">
      <c r="A64" s="77" t="s">
        <v>56</v>
      </c>
      <c r="B64" s="78">
        <f>C20-B43-B61</f>
        <v>-43962.441714394408</v>
      </c>
      <c r="C64" s="56" t="s">
        <v>31</v>
      </c>
      <c r="D64" s="56"/>
      <c r="E64" s="56"/>
      <c r="F64" s="3"/>
      <c r="I64" s="137"/>
      <c r="J64" s="137"/>
    </row>
    <row r="65" spans="1:10" x14ac:dyDescent="0.25">
      <c r="A65" s="77" t="s">
        <v>57</v>
      </c>
      <c r="B65" s="78">
        <f>C22-B56</f>
        <v>-35084</v>
      </c>
      <c r="C65" s="56" t="s">
        <v>31</v>
      </c>
      <c r="D65" s="56"/>
      <c r="E65" s="56"/>
      <c r="F65" s="3"/>
      <c r="I65" s="137"/>
      <c r="J65" s="137"/>
    </row>
    <row r="66" spans="1:10" x14ac:dyDescent="0.25">
      <c r="A66" s="77" t="s">
        <v>58</v>
      </c>
      <c r="B66" s="78">
        <f>C26-B57</f>
        <v>6406.29</v>
      </c>
      <c r="C66" s="56" t="s">
        <v>31</v>
      </c>
      <c r="D66" s="56"/>
      <c r="E66" s="56"/>
      <c r="F66" s="3"/>
      <c r="I66" s="137"/>
      <c r="J66" s="137"/>
    </row>
    <row r="67" spans="1:10" x14ac:dyDescent="0.25">
      <c r="A67" s="77" t="s">
        <v>59</v>
      </c>
      <c r="B67" s="78">
        <f>C28-B58</f>
        <v>245468.85</v>
      </c>
      <c r="C67" s="56" t="s">
        <v>31</v>
      </c>
      <c r="D67" s="56"/>
      <c r="E67" s="56"/>
      <c r="F67" s="3"/>
      <c r="I67" s="137"/>
      <c r="J67" s="137"/>
    </row>
    <row r="68" spans="1:10" x14ac:dyDescent="0.25">
      <c r="A68" s="77" t="s">
        <v>60</v>
      </c>
      <c r="B68" s="78">
        <f>C35-B59</f>
        <v>0</v>
      </c>
      <c r="C68" s="56" t="s">
        <v>31</v>
      </c>
      <c r="D68" s="56"/>
      <c r="E68" s="56"/>
      <c r="F68" s="3"/>
      <c r="I68" s="137"/>
      <c r="J68" s="137"/>
    </row>
    <row r="69" spans="1:10" x14ac:dyDescent="0.25">
      <c r="A69" s="77" t="s">
        <v>157</v>
      </c>
      <c r="B69" s="78">
        <f>C37-B60</f>
        <v>0</v>
      </c>
      <c r="C69" s="56" t="s">
        <v>31</v>
      </c>
      <c r="I69" s="137"/>
      <c r="J69" s="137"/>
    </row>
    <row r="70" spans="1:10" ht="15.75" thickBot="1" x14ac:dyDescent="0.3">
      <c r="A70" s="77"/>
      <c r="B70" s="78"/>
      <c r="C70" s="56"/>
      <c r="D70" s="98"/>
      <c r="E70" s="99"/>
      <c r="F70" s="100"/>
      <c r="G70" s="97"/>
      <c r="I70" s="137"/>
      <c r="J70" s="137"/>
    </row>
    <row r="71" spans="1:10" ht="15.75" thickBot="1" x14ac:dyDescent="0.3">
      <c r="A71" s="128" t="s">
        <v>146</v>
      </c>
      <c r="B71" s="129"/>
      <c r="C71" s="130"/>
      <c r="D71" s="101"/>
      <c r="E71" s="101"/>
      <c r="F71" s="101"/>
      <c r="G71" s="97"/>
      <c r="I71" s="137"/>
      <c r="J71" s="137"/>
    </row>
    <row r="72" spans="1:10" ht="51.75" thickBot="1" x14ac:dyDescent="0.3">
      <c r="A72" s="79" t="s">
        <v>80</v>
      </c>
      <c r="B72" s="80" t="s">
        <v>61</v>
      </c>
      <c r="C72" s="81" t="s">
        <v>67</v>
      </c>
      <c r="D72" s="102"/>
      <c r="E72" s="103"/>
      <c r="F72" s="104"/>
      <c r="G72" s="97"/>
      <c r="I72" s="137"/>
      <c r="J72" s="137"/>
    </row>
    <row r="73" spans="1:10" x14ac:dyDescent="0.25">
      <c r="A73" s="82" t="s">
        <v>62</v>
      </c>
      <c r="B73" s="113" t="s">
        <v>31</v>
      </c>
      <c r="C73" s="114" t="s">
        <v>31</v>
      </c>
      <c r="D73" s="102"/>
      <c r="E73" s="103"/>
      <c r="F73" s="104"/>
      <c r="G73" s="97"/>
      <c r="I73" s="137"/>
      <c r="J73" s="137"/>
    </row>
    <row r="74" spans="1:10" x14ac:dyDescent="0.25">
      <c r="A74" s="53" t="s">
        <v>172</v>
      </c>
      <c r="B74" s="43"/>
      <c r="C74" s="185">
        <f>51126</f>
        <v>51126</v>
      </c>
      <c r="D74" s="102"/>
      <c r="E74" s="103"/>
      <c r="F74" s="104"/>
      <c r="G74" s="97"/>
      <c r="I74" s="137"/>
      <c r="J74" s="137"/>
    </row>
    <row r="75" spans="1:10" x14ac:dyDescent="0.25">
      <c r="A75" s="53" t="s">
        <v>184</v>
      </c>
      <c r="B75" s="43"/>
      <c r="C75" s="173">
        <v>12644</v>
      </c>
      <c r="D75" s="102"/>
      <c r="E75" s="103"/>
      <c r="F75" s="104"/>
      <c r="G75" s="97"/>
      <c r="I75" s="137"/>
      <c r="J75" s="137"/>
    </row>
    <row r="76" spans="1:10" ht="15.75" thickBot="1" x14ac:dyDescent="0.3">
      <c r="A76" s="145" t="s">
        <v>5</v>
      </c>
      <c r="B76" s="146">
        <f>B74</f>
        <v>0</v>
      </c>
      <c r="C76" s="147">
        <f>C74+C75</f>
        <v>63770</v>
      </c>
      <c r="D76" s="105"/>
      <c r="E76" s="103"/>
      <c r="F76" s="104"/>
      <c r="G76" s="97"/>
      <c r="I76" s="137"/>
      <c r="J76" s="137"/>
    </row>
    <row r="77" spans="1:10" x14ac:dyDescent="0.25">
      <c r="A77" s="31"/>
      <c r="B77" s="33"/>
      <c r="C77" s="87"/>
      <c r="D77" s="105"/>
      <c r="E77" s="103"/>
      <c r="F77" s="104"/>
      <c r="G77" s="97"/>
      <c r="I77" s="137"/>
      <c r="J77" s="137"/>
    </row>
    <row r="78" spans="1:10" x14ac:dyDescent="0.25">
      <c r="A78" s="164" t="s">
        <v>132</v>
      </c>
      <c r="B78" s="149"/>
      <c r="C78" s="215"/>
      <c r="D78" s="216"/>
      <c r="E78" s="89"/>
      <c r="I78" s="137"/>
      <c r="J78" s="137"/>
    </row>
    <row r="79" spans="1:10" x14ac:dyDescent="0.25">
      <c r="A79" s="217"/>
      <c r="B79" s="149"/>
      <c r="C79" s="215"/>
      <c r="D79" s="218"/>
      <c r="E79" s="89"/>
      <c r="I79" s="137"/>
      <c r="J79" s="137"/>
    </row>
    <row r="80" spans="1:10" x14ac:dyDescent="0.25">
      <c r="A80" s="165" t="s">
        <v>133</v>
      </c>
      <c r="B80" s="149" t="s">
        <v>134</v>
      </c>
      <c r="C80" s="219"/>
      <c r="D80" s="216"/>
      <c r="E80" s="56"/>
    </row>
    <row r="81" spans="1:6" x14ac:dyDescent="0.25">
      <c r="A81" s="165"/>
      <c r="B81" s="149"/>
      <c r="C81" s="219"/>
      <c r="D81" s="216"/>
      <c r="E81" s="56"/>
    </row>
    <row r="82" spans="1:6" x14ac:dyDescent="0.25">
      <c r="A82" s="220"/>
      <c r="B82" s="221"/>
      <c r="C82" s="219"/>
      <c r="D82" s="150"/>
      <c r="E82" s="89"/>
    </row>
    <row r="83" spans="1:6" ht="15.75" x14ac:dyDescent="0.25">
      <c r="A83" s="223" t="s">
        <v>63</v>
      </c>
      <c r="B83" s="224" t="s">
        <v>134</v>
      </c>
      <c r="C83" s="225"/>
      <c r="D83" s="226" t="s">
        <v>66</v>
      </c>
      <c r="E83" s="89"/>
    </row>
    <row r="84" spans="1:6" x14ac:dyDescent="0.25">
      <c r="A84" s="31"/>
      <c r="B84" s="33"/>
      <c r="C84" s="89"/>
      <c r="D84" s="93"/>
      <c r="E84" s="89"/>
    </row>
    <row r="85" spans="1:6" x14ac:dyDescent="0.25">
      <c r="A85" s="95"/>
      <c r="B85" s="96"/>
      <c r="C85" s="89"/>
      <c r="D85" s="93"/>
      <c r="E85" s="89"/>
    </row>
    <row r="86" spans="1:6" x14ac:dyDescent="0.25">
      <c r="A86" s="95"/>
      <c r="B86" s="96"/>
      <c r="C86" s="89"/>
      <c r="D86" s="93"/>
      <c r="E86" s="89"/>
      <c r="F86" s="94"/>
    </row>
    <row r="87" spans="1:6" x14ac:dyDescent="0.25">
      <c r="A87" s="31"/>
      <c r="B87" s="33"/>
      <c r="C87" s="89"/>
      <c r="D87" s="93"/>
      <c r="E87" s="89"/>
    </row>
    <row r="88" spans="1:6" x14ac:dyDescent="0.25">
      <c r="A88" s="31"/>
      <c r="B88" s="33"/>
      <c r="C88" s="56"/>
      <c r="D88" s="87"/>
      <c r="E88" s="89"/>
    </row>
    <row r="89" spans="1:6" x14ac:dyDescent="0.25">
      <c r="A89" s="19"/>
      <c r="B89" s="20"/>
      <c r="C89" s="89"/>
      <c r="D89" s="87"/>
      <c r="E89" s="89"/>
    </row>
    <row r="90" spans="1:6" x14ac:dyDescent="0.25">
      <c r="A90" s="31"/>
      <c r="B90" s="33"/>
      <c r="C90" s="89"/>
      <c r="D90" s="56"/>
      <c r="E90" s="56"/>
      <c r="F90" s="3"/>
    </row>
    <row r="91" spans="1:6" x14ac:dyDescent="0.25">
      <c r="A91" s="31"/>
      <c r="B91" s="33"/>
      <c r="C91" s="33"/>
      <c r="D91" s="56"/>
      <c r="E91" s="89"/>
    </row>
    <row r="92" spans="1:6" x14ac:dyDescent="0.25">
      <c r="A92" s="31"/>
      <c r="B92" s="33"/>
      <c r="C92" s="33"/>
      <c r="D92" s="56"/>
      <c r="E92" s="56"/>
    </row>
    <row r="93" spans="1:6" x14ac:dyDescent="0.25">
      <c r="A93" s="31"/>
      <c r="B93" s="33"/>
      <c r="C93" s="33"/>
      <c r="D93" s="89"/>
      <c r="E93" s="89"/>
    </row>
    <row r="94" spans="1:6" x14ac:dyDescent="0.25">
      <c r="A94" s="31"/>
      <c r="B94" s="33"/>
      <c r="D94" s="89"/>
      <c r="E94" s="89"/>
    </row>
    <row r="95" spans="1:6" x14ac:dyDescent="0.25">
      <c r="D95" s="89"/>
      <c r="E95" s="89"/>
    </row>
    <row r="96" spans="1:6" x14ac:dyDescent="0.25">
      <c r="D96" s="89"/>
      <c r="E96" s="89"/>
    </row>
    <row r="97" spans="2:6" x14ac:dyDescent="0.25">
      <c r="D97" s="89"/>
      <c r="E97" s="89"/>
    </row>
    <row r="98" spans="2:6" x14ac:dyDescent="0.25">
      <c r="D98" s="89"/>
      <c r="E98" s="89"/>
    </row>
    <row r="99" spans="2:6" x14ac:dyDescent="0.25">
      <c r="B99"/>
      <c r="C99"/>
      <c r="D99" s="56"/>
      <c r="E99" s="56"/>
      <c r="F99" s="3"/>
    </row>
    <row r="100" spans="2:6" x14ac:dyDescent="0.25">
      <c r="B100"/>
      <c r="C100"/>
      <c r="D100" s="89"/>
      <c r="E100" s="89"/>
      <c r="F100" s="3"/>
    </row>
    <row r="101" spans="2:6" x14ac:dyDescent="0.25">
      <c r="B101"/>
      <c r="C101"/>
      <c r="D101" s="89"/>
      <c r="E101" s="89"/>
    </row>
    <row r="102" spans="2:6" x14ac:dyDescent="0.25">
      <c r="B102"/>
      <c r="C102"/>
      <c r="D102" s="33"/>
      <c r="E102" s="33"/>
    </row>
    <row r="103" spans="2:6" x14ac:dyDescent="0.25">
      <c r="B103"/>
      <c r="C103"/>
      <c r="D103" s="33"/>
      <c r="E103" s="33"/>
    </row>
    <row r="104" spans="2:6" x14ac:dyDescent="0.25">
      <c r="D104" s="33"/>
      <c r="E104" s="33"/>
    </row>
  </sheetData>
  <pageMargins left="0.7" right="0.7" top="0.75" bottom="0.75" header="0.3" footer="0.3"/>
  <pageSetup paperSize="9" scale="5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Q109"/>
  <sheetViews>
    <sheetView view="pageBreakPreview" topLeftCell="A50" zoomScale="60" zoomScaleNormal="100" workbookViewId="0">
      <selection activeCell="C80" sqref="C80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9" max="9" width="10.7109375" customWidth="1"/>
    <col min="252" max="252" width="44.85546875" customWidth="1"/>
    <col min="253" max="253" width="16.5703125" customWidth="1"/>
    <col min="254" max="254" width="19.5703125" customWidth="1"/>
    <col min="255" max="255" width="16.42578125" customWidth="1"/>
    <col min="256" max="256" width="16.28515625" customWidth="1"/>
    <col min="257" max="257" width="12.7109375" customWidth="1"/>
    <col min="258" max="258" width="10.140625" bestFit="1" customWidth="1"/>
    <col min="261" max="261" width="15.140625" customWidth="1"/>
    <col min="262" max="262" width="15.28515625" customWidth="1"/>
    <col min="263" max="263" width="18.85546875" customWidth="1"/>
    <col min="264" max="264" width="13" customWidth="1"/>
    <col min="265" max="265" width="10.7109375" customWidth="1"/>
    <col min="508" max="508" width="44.85546875" customWidth="1"/>
    <col min="509" max="509" width="16.5703125" customWidth="1"/>
    <col min="510" max="510" width="19.5703125" customWidth="1"/>
    <col min="511" max="511" width="16.42578125" customWidth="1"/>
    <col min="512" max="512" width="16.28515625" customWidth="1"/>
    <col min="513" max="513" width="12.7109375" customWidth="1"/>
    <col min="514" max="514" width="10.140625" bestFit="1" customWidth="1"/>
    <col min="517" max="517" width="15.140625" customWidth="1"/>
    <col min="518" max="518" width="15.28515625" customWidth="1"/>
    <col min="519" max="519" width="18.85546875" customWidth="1"/>
    <col min="520" max="520" width="13" customWidth="1"/>
    <col min="521" max="521" width="10.7109375" customWidth="1"/>
    <col min="764" max="764" width="44.85546875" customWidth="1"/>
    <col min="765" max="765" width="16.5703125" customWidth="1"/>
    <col min="766" max="766" width="19.5703125" customWidth="1"/>
    <col min="767" max="767" width="16.42578125" customWidth="1"/>
    <col min="768" max="768" width="16.28515625" customWidth="1"/>
    <col min="769" max="769" width="12.7109375" customWidth="1"/>
    <col min="770" max="770" width="10.140625" bestFit="1" customWidth="1"/>
    <col min="773" max="773" width="15.140625" customWidth="1"/>
    <col min="774" max="774" width="15.28515625" customWidth="1"/>
    <col min="775" max="775" width="18.85546875" customWidth="1"/>
    <col min="776" max="776" width="13" customWidth="1"/>
    <col min="777" max="777" width="10.7109375" customWidth="1"/>
    <col min="1020" max="1020" width="44.85546875" customWidth="1"/>
    <col min="1021" max="1021" width="16.5703125" customWidth="1"/>
    <col min="1022" max="1022" width="19.5703125" customWidth="1"/>
    <col min="1023" max="1023" width="16.42578125" customWidth="1"/>
    <col min="1024" max="1024" width="16.28515625" customWidth="1"/>
    <col min="1025" max="1025" width="12.7109375" customWidth="1"/>
    <col min="1026" max="1026" width="10.140625" bestFit="1" customWidth="1"/>
    <col min="1029" max="1029" width="15.140625" customWidth="1"/>
    <col min="1030" max="1030" width="15.28515625" customWidth="1"/>
    <col min="1031" max="1031" width="18.85546875" customWidth="1"/>
    <col min="1032" max="1032" width="13" customWidth="1"/>
    <col min="1033" max="1033" width="10.7109375" customWidth="1"/>
    <col min="1276" max="1276" width="44.85546875" customWidth="1"/>
    <col min="1277" max="1277" width="16.5703125" customWidth="1"/>
    <col min="1278" max="1278" width="19.5703125" customWidth="1"/>
    <col min="1279" max="1279" width="16.42578125" customWidth="1"/>
    <col min="1280" max="1280" width="16.28515625" customWidth="1"/>
    <col min="1281" max="1281" width="12.7109375" customWidth="1"/>
    <col min="1282" max="1282" width="10.140625" bestFit="1" customWidth="1"/>
    <col min="1285" max="1285" width="15.140625" customWidth="1"/>
    <col min="1286" max="1286" width="15.28515625" customWidth="1"/>
    <col min="1287" max="1287" width="18.85546875" customWidth="1"/>
    <col min="1288" max="1288" width="13" customWidth="1"/>
    <col min="1289" max="1289" width="10.7109375" customWidth="1"/>
    <col min="1532" max="1532" width="44.85546875" customWidth="1"/>
    <col min="1533" max="1533" width="16.5703125" customWidth="1"/>
    <col min="1534" max="1534" width="19.5703125" customWidth="1"/>
    <col min="1535" max="1535" width="16.42578125" customWidth="1"/>
    <col min="1536" max="1536" width="16.28515625" customWidth="1"/>
    <col min="1537" max="1537" width="12.7109375" customWidth="1"/>
    <col min="1538" max="1538" width="10.140625" bestFit="1" customWidth="1"/>
    <col min="1541" max="1541" width="15.140625" customWidth="1"/>
    <col min="1542" max="1542" width="15.28515625" customWidth="1"/>
    <col min="1543" max="1543" width="18.85546875" customWidth="1"/>
    <col min="1544" max="1544" width="13" customWidth="1"/>
    <col min="1545" max="1545" width="10.7109375" customWidth="1"/>
    <col min="1788" max="1788" width="44.85546875" customWidth="1"/>
    <col min="1789" max="1789" width="16.5703125" customWidth="1"/>
    <col min="1790" max="1790" width="19.5703125" customWidth="1"/>
    <col min="1791" max="1791" width="16.42578125" customWidth="1"/>
    <col min="1792" max="1792" width="16.28515625" customWidth="1"/>
    <col min="1793" max="1793" width="12.7109375" customWidth="1"/>
    <col min="1794" max="1794" width="10.140625" bestFit="1" customWidth="1"/>
    <col min="1797" max="1797" width="15.140625" customWidth="1"/>
    <col min="1798" max="1798" width="15.28515625" customWidth="1"/>
    <col min="1799" max="1799" width="18.85546875" customWidth="1"/>
    <col min="1800" max="1800" width="13" customWidth="1"/>
    <col min="1801" max="1801" width="10.7109375" customWidth="1"/>
    <col min="2044" max="2044" width="44.85546875" customWidth="1"/>
    <col min="2045" max="2045" width="16.5703125" customWidth="1"/>
    <col min="2046" max="2046" width="19.5703125" customWidth="1"/>
    <col min="2047" max="2047" width="16.42578125" customWidth="1"/>
    <col min="2048" max="2048" width="16.28515625" customWidth="1"/>
    <col min="2049" max="2049" width="12.7109375" customWidth="1"/>
    <col min="2050" max="2050" width="10.140625" bestFit="1" customWidth="1"/>
    <col min="2053" max="2053" width="15.140625" customWidth="1"/>
    <col min="2054" max="2054" width="15.28515625" customWidth="1"/>
    <col min="2055" max="2055" width="18.85546875" customWidth="1"/>
    <col min="2056" max="2056" width="13" customWidth="1"/>
    <col min="2057" max="2057" width="10.7109375" customWidth="1"/>
    <col min="2300" max="2300" width="44.85546875" customWidth="1"/>
    <col min="2301" max="2301" width="16.5703125" customWidth="1"/>
    <col min="2302" max="2302" width="19.5703125" customWidth="1"/>
    <col min="2303" max="2303" width="16.42578125" customWidth="1"/>
    <col min="2304" max="2304" width="16.28515625" customWidth="1"/>
    <col min="2305" max="2305" width="12.7109375" customWidth="1"/>
    <col min="2306" max="2306" width="10.140625" bestFit="1" customWidth="1"/>
    <col min="2309" max="2309" width="15.140625" customWidth="1"/>
    <col min="2310" max="2310" width="15.28515625" customWidth="1"/>
    <col min="2311" max="2311" width="18.85546875" customWidth="1"/>
    <col min="2312" max="2312" width="13" customWidth="1"/>
    <col min="2313" max="2313" width="10.7109375" customWidth="1"/>
    <col min="2556" max="2556" width="44.85546875" customWidth="1"/>
    <col min="2557" max="2557" width="16.5703125" customWidth="1"/>
    <col min="2558" max="2558" width="19.5703125" customWidth="1"/>
    <col min="2559" max="2559" width="16.42578125" customWidth="1"/>
    <col min="2560" max="2560" width="16.28515625" customWidth="1"/>
    <col min="2561" max="2561" width="12.7109375" customWidth="1"/>
    <col min="2562" max="2562" width="10.140625" bestFit="1" customWidth="1"/>
    <col min="2565" max="2565" width="15.140625" customWidth="1"/>
    <col min="2566" max="2566" width="15.28515625" customWidth="1"/>
    <col min="2567" max="2567" width="18.85546875" customWidth="1"/>
    <col min="2568" max="2568" width="13" customWidth="1"/>
    <col min="2569" max="2569" width="10.7109375" customWidth="1"/>
    <col min="2812" max="2812" width="44.85546875" customWidth="1"/>
    <col min="2813" max="2813" width="16.5703125" customWidth="1"/>
    <col min="2814" max="2814" width="19.5703125" customWidth="1"/>
    <col min="2815" max="2815" width="16.42578125" customWidth="1"/>
    <col min="2816" max="2816" width="16.28515625" customWidth="1"/>
    <col min="2817" max="2817" width="12.7109375" customWidth="1"/>
    <col min="2818" max="2818" width="10.140625" bestFit="1" customWidth="1"/>
    <col min="2821" max="2821" width="15.140625" customWidth="1"/>
    <col min="2822" max="2822" width="15.28515625" customWidth="1"/>
    <col min="2823" max="2823" width="18.85546875" customWidth="1"/>
    <col min="2824" max="2824" width="13" customWidth="1"/>
    <col min="2825" max="2825" width="10.7109375" customWidth="1"/>
    <col min="3068" max="3068" width="44.85546875" customWidth="1"/>
    <col min="3069" max="3069" width="16.5703125" customWidth="1"/>
    <col min="3070" max="3070" width="19.5703125" customWidth="1"/>
    <col min="3071" max="3071" width="16.42578125" customWidth="1"/>
    <col min="3072" max="3072" width="16.28515625" customWidth="1"/>
    <col min="3073" max="3073" width="12.7109375" customWidth="1"/>
    <col min="3074" max="3074" width="10.140625" bestFit="1" customWidth="1"/>
    <col min="3077" max="3077" width="15.140625" customWidth="1"/>
    <col min="3078" max="3078" width="15.28515625" customWidth="1"/>
    <col min="3079" max="3079" width="18.85546875" customWidth="1"/>
    <col min="3080" max="3080" width="13" customWidth="1"/>
    <col min="3081" max="3081" width="10.7109375" customWidth="1"/>
    <col min="3324" max="3324" width="44.85546875" customWidth="1"/>
    <col min="3325" max="3325" width="16.5703125" customWidth="1"/>
    <col min="3326" max="3326" width="19.5703125" customWidth="1"/>
    <col min="3327" max="3327" width="16.42578125" customWidth="1"/>
    <col min="3328" max="3328" width="16.28515625" customWidth="1"/>
    <col min="3329" max="3329" width="12.7109375" customWidth="1"/>
    <col min="3330" max="3330" width="10.140625" bestFit="1" customWidth="1"/>
    <col min="3333" max="3333" width="15.140625" customWidth="1"/>
    <col min="3334" max="3334" width="15.28515625" customWidth="1"/>
    <col min="3335" max="3335" width="18.85546875" customWidth="1"/>
    <col min="3336" max="3336" width="13" customWidth="1"/>
    <col min="3337" max="3337" width="10.7109375" customWidth="1"/>
    <col min="3580" max="3580" width="44.85546875" customWidth="1"/>
    <col min="3581" max="3581" width="16.5703125" customWidth="1"/>
    <col min="3582" max="3582" width="19.5703125" customWidth="1"/>
    <col min="3583" max="3583" width="16.42578125" customWidth="1"/>
    <col min="3584" max="3584" width="16.28515625" customWidth="1"/>
    <col min="3585" max="3585" width="12.7109375" customWidth="1"/>
    <col min="3586" max="3586" width="10.140625" bestFit="1" customWidth="1"/>
    <col min="3589" max="3589" width="15.140625" customWidth="1"/>
    <col min="3590" max="3590" width="15.28515625" customWidth="1"/>
    <col min="3591" max="3591" width="18.85546875" customWidth="1"/>
    <col min="3592" max="3592" width="13" customWidth="1"/>
    <col min="3593" max="3593" width="10.7109375" customWidth="1"/>
    <col min="3836" max="3836" width="44.85546875" customWidth="1"/>
    <col min="3837" max="3837" width="16.5703125" customWidth="1"/>
    <col min="3838" max="3838" width="19.5703125" customWidth="1"/>
    <col min="3839" max="3839" width="16.42578125" customWidth="1"/>
    <col min="3840" max="3840" width="16.28515625" customWidth="1"/>
    <col min="3841" max="3841" width="12.7109375" customWidth="1"/>
    <col min="3842" max="3842" width="10.140625" bestFit="1" customWidth="1"/>
    <col min="3845" max="3845" width="15.140625" customWidth="1"/>
    <col min="3846" max="3846" width="15.28515625" customWidth="1"/>
    <col min="3847" max="3847" width="18.85546875" customWidth="1"/>
    <col min="3848" max="3848" width="13" customWidth="1"/>
    <col min="3849" max="3849" width="10.7109375" customWidth="1"/>
    <col min="4092" max="4092" width="44.85546875" customWidth="1"/>
    <col min="4093" max="4093" width="16.5703125" customWidth="1"/>
    <col min="4094" max="4094" width="19.5703125" customWidth="1"/>
    <col min="4095" max="4095" width="16.42578125" customWidth="1"/>
    <col min="4096" max="4096" width="16.28515625" customWidth="1"/>
    <col min="4097" max="4097" width="12.7109375" customWidth="1"/>
    <col min="4098" max="4098" width="10.140625" bestFit="1" customWidth="1"/>
    <col min="4101" max="4101" width="15.140625" customWidth="1"/>
    <col min="4102" max="4102" width="15.28515625" customWidth="1"/>
    <col min="4103" max="4103" width="18.85546875" customWidth="1"/>
    <col min="4104" max="4104" width="13" customWidth="1"/>
    <col min="4105" max="4105" width="10.7109375" customWidth="1"/>
    <col min="4348" max="4348" width="44.85546875" customWidth="1"/>
    <col min="4349" max="4349" width="16.5703125" customWidth="1"/>
    <col min="4350" max="4350" width="19.5703125" customWidth="1"/>
    <col min="4351" max="4351" width="16.42578125" customWidth="1"/>
    <col min="4352" max="4352" width="16.28515625" customWidth="1"/>
    <col min="4353" max="4353" width="12.7109375" customWidth="1"/>
    <col min="4354" max="4354" width="10.140625" bestFit="1" customWidth="1"/>
    <col min="4357" max="4357" width="15.140625" customWidth="1"/>
    <col min="4358" max="4358" width="15.28515625" customWidth="1"/>
    <col min="4359" max="4359" width="18.85546875" customWidth="1"/>
    <col min="4360" max="4360" width="13" customWidth="1"/>
    <col min="4361" max="4361" width="10.7109375" customWidth="1"/>
    <col min="4604" max="4604" width="44.85546875" customWidth="1"/>
    <col min="4605" max="4605" width="16.5703125" customWidth="1"/>
    <col min="4606" max="4606" width="19.5703125" customWidth="1"/>
    <col min="4607" max="4607" width="16.42578125" customWidth="1"/>
    <col min="4608" max="4608" width="16.28515625" customWidth="1"/>
    <col min="4609" max="4609" width="12.7109375" customWidth="1"/>
    <col min="4610" max="4610" width="10.140625" bestFit="1" customWidth="1"/>
    <col min="4613" max="4613" width="15.140625" customWidth="1"/>
    <col min="4614" max="4614" width="15.28515625" customWidth="1"/>
    <col min="4615" max="4615" width="18.85546875" customWidth="1"/>
    <col min="4616" max="4616" width="13" customWidth="1"/>
    <col min="4617" max="4617" width="10.7109375" customWidth="1"/>
    <col min="4860" max="4860" width="44.85546875" customWidth="1"/>
    <col min="4861" max="4861" width="16.5703125" customWidth="1"/>
    <col min="4862" max="4862" width="19.5703125" customWidth="1"/>
    <col min="4863" max="4863" width="16.42578125" customWidth="1"/>
    <col min="4864" max="4864" width="16.28515625" customWidth="1"/>
    <col min="4865" max="4865" width="12.7109375" customWidth="1"/>
    <col min="4866" max="4866" width="10.140625" bestFit="1" customWidth="1"/>
    <col min="4869" max="4869" width="15.140625" customWidth="1"/>
    <col min="4870" max="4870" width="15.28515625" customWidth="1"/>
    <col min="4871" max="4871" width="18.85546875" customWidth="1"/>
    <col min="4872" max="4872" width="13" customWidth="1"/>
    <col min="4873" max="4873" width="10.7109375" customWidth="1"/>
    <col min="5116" max="5116" width="44.85546875" customWidth="1"/>
    <col min="5117" max="5117" width="16.5703125" customWidth="1"/>
    <col min="5118" max="5118" width="19.5703125" customWidth="1"/>
    <col min="5119" max="5119" width="16.42578125" customWidth="1"/>
    <col min="5120" max="5120" width="16.28515625" customWidth="1"/>
    <col min="5121" max="5121" width="12.7109375" customWidth="1"/>
    <col min="5122" max="5122" width="10.140625" bestFit="1" customWidth="1"/>
    <col min="5125" max="5125" width="15.140625" customWidth="1"/>
    <col min="5126" max="5126" width="15.28515625" customWidth="1"/>
    <col min="5127" max="5127" width="18.85546875" customWidth="1"/>
    <col min="5128" max="5128" width="13" customWidth="1"/>
    <col min="5129" max="5129" width="10.7109375" customWidth="1"/>
    <col min="5372" max="5372" width="44.85546875" customWidth="1"/>
    <col min="5373" max="5373" width="16.5703125" customWidth="1"/>
    <col min="5374" max="5374" width="19.5703125" customWidth="1"/>
    <col min="5375" max="5375" width="16.42578125" customWidth="1"/>
    <col min="5376" max="5376" width="16.28515625" customWidth="1"/>
    <col min="5377" max="5377" width="12.7109375" customWidth="1"/>
    <col min="5378" max="5378" width="10.140625" bestFit="1" customWidth="1"/>
    <col min="5381" max="5381" width="15.140625" customWidth="1"/>
    <col min="5382" max="5382" width="15.28515625" customWidth="1"/>
    <col min="5383" max="5383" width="18.85546875" customWidth="1"/>
    <col min="5384" max="5384" width="13" customWidth="1"/>
    <col min="5385" max="5385" width="10.7109375" customWidth="1"/>
    <col min="5628" max="5628" width="44.85546875" customWidth="1"/>
    <col min="5629" max="5629" width="16.5703125" customWidth="1"/>
    <col min="5630" max="5630" width="19.5703125" customWidth="1"/>
    <col min="5631" max="5631" width="16.42578125" customWidth="1"/>
    <col min="5632" max="5632" width="16.28515625" customWidth="1"/>
    <col min="5633" max="5633" width="12.7109375" customWidth="1"/>
    <col min="5634" max="5634" width="10.140625" bestFit="1" customWidth="1"/>
    <col min="5637" max="5637" width="15.140625" customWidth="1"/>
    <col min="5638" max="5638" width="15.28515625" customWidth="1"/>
    <col min="5639" max="5639" width="18.85546875" customWidth="1"/>
    <col min="5640" max="5640" width="13" customWidth="1"/>
    <col min="5641" max="5641" width="10.7109375" customWidth="1"/>
    <col min="5884" max="5884" width="44.85546875" customWidth="1"/>
    <col min="5885" max="5885" width="16.5703125" customWidth="1"/>
    <col min="5886" max="5886" width="19.5703125" customWidth="1"/>
    <col min="5887" max="5887" width="16.42578125" customWidth="1"/>
    <col min="5888" max="5888" width="16.28515625" customWidth="1"/>
    <col min="5889" max="5889" width="12.7109375" customWidth="1"/>
    <col min="5890" max="5890" width="10.140625" bestFit="1" customWidth="1"/>
    <col min="5893" max="5893" width="15.140625" customWidth="1"/>
    <col min="5894" max="5894" width="15.28515625" customWidth="1"/>
    <col min="5895" max="5895" width="18.85546875" customWidth="1"/>
    <col min="5896" max="5896" width="13" customWidth="1"/>
    <col min="5897" max="5897" width="10.7109375" customWidth="1"/>
    <col min="6140" max="6140" width="44.85546875" customWidth="1"/>
    <col min="6141" max="6141" width="16.5703125" customWidth="1"/>
    <col min="6142" max="6142" width="19.5703125" customWidth="1"/>
    <col min="6143" max="6143" width="16.42578125" customWidth="1"/>
    <col min="6144" max="6144" width="16.28515625" customWidth="1"/>
    <col min="6145" max="6145" width="12.7109375" customWidth="1"/>
    <col min="6146" max="6146" width="10.140625" bestFit="1" customWidth="1"/>
    <col min="6149" max="6149" width="15.140625" customWidth="1"/>
    <col min="6150" max="6150" width="15.28515625" customWidth="1"/>
    <col min="6151" max="6151" width="18.85546875" customWidth="1"/>
    <col min="6152" max="6152" width="13" customWidth="1"/>
    <col min="6153" max="6153" width="10.7109375" customWidth="1"/>
    <col min="6396" max="6396" width="44.85546875" customWidth="1"/>
    <col min="6397" max="6397" width="16.5703125" customWidth="1"/>
    <col min="6398" max="6398" width="19.5703125" customWidth="1"/>
    <col min="6399" max="6399" width="16.42578125" customWidth="1"/>
    <col min="6400" max="6400" width="16.28515625" customWidth="1"/>
    <col min="6401" max="6401" width="12.7109375" customWidth="1"/>
    <col min="6402" max="6402" width="10.140625" bestFit="1" customWidth="1"/>
    <col min="6405" max="6405" width="15.140625" customWidth="1"/>
    <col min="6406" max="6406" width="15.28515625" customWidth="1"/>
    <col min="6407" max="6407" width="18.85546875" customWidth="1"/>
    <col min="6408" max="6408" width="13" customWidth="1"/>
    <col min="6409" max="6409" width="10.7109375" customWidth="1"/>
    <col min="6652" max="6652" width="44.85546875" customWidth="1"/>
    <col min="6653" max="6653" width="16.5703125" customWidth="1"/>
    <col min="6654" max="6654" width="19.5703125" customWidth="1"/>
    <col min="6655" max="6655" width="16.42578125" customWidth="1"/>
    <col min="6656" max="6656" width="16.28515625" customWidth="1"/>
    <col min="6657" max="6657" width="12.7109375" customWidth="1"/>
    <col min="6658" max="6658" width="10.140625" bestFit="1" customWidth="1"/>
    <col min="6661" max="6661" width="15.140625" customWidth="1"/>
    <col min="6662" max="6662" width="15.28515625" customWidth="1"/>
    <col min="6663" max="6663" width="18.85546875" customWidth="1"/>
    <col min="6664" max="6664" width="13" customWidth="1"/>
    <col min="6665" max="6665" width="10.7109375" customWidth="1"/>
    <col min="6908" max="6908" width="44.85546875" customWidth="1"/>
    <col min="6909" max="6909" width="16.5703125" customWidth="1"/>
    <col min="6910" max="6910" width="19.5703125" customWidth="1"/>
    <col min="6911" max="6911" width="16.42578125" customWidth="1"/>
    <col min="6912" max="6912" width="16.28515625" customWidth="1"/>
    <col min="6913" max="6913" width="12.7109375" customWidth="1"/>
    <col min="6914" max="6914" width="10.140625" bestFit="1" customWidth="1"/>
    <col min="6917" max="6917" width="15.140625" customWidth="1"/>
    <col min="6918" max="6918" width="15.28515625" customWidth="1"/>
    <col min="6919" max="6919" width="18.85546875" customWidth="1"/>
    <col min="6920" max="6920" width="13" customWidth="1"/>
    <col min="6921" max="6921" width="10.7109375" customWidth="1"/>
    <col min="7164" max="7164" width="44.85546875" customWidth="1"/>
    <col min="7165" max="7165" width="16.5703125" customWidth="1"/>
    <col min="7166" max="7166" width="19.5703125" customWidth="1"/>
    <col min="7167" max="7167" width="16.42578125" customWidth="1"/>
    <col min="7168" max="7168" width="16.28515625" customWidth="1"/>
    <col min="7169" max="7169" width="12.7109375" customWidth="1"/>
    <col min="7170" max="7170" width="10.140625" bestFit="1" customWidth="1"/>
    <col min="7173" max="7173" width="15.140625" customWidth="1"/>
    <col min="7174" max="7174" width="15.28515625" customWidth="1"/>
    <col min="7175" max="7175" width="18.85546875" customWidth="1"/>
    <col min="7176" max="7176" width="13" customWidth="1"/>
    <col min="7177" max="7177" width="10.7109375" customWidth="1"/>
    <col min="7420" max="7420" width="44.85546875" customWidth="1"/>
    <col min="7421" max="7421" width="16.5703125" customWidth="1"/>
    <col min="7422" max="7422" width="19.5703125" customWidth="1"/>
    <col min="7423" max="7423" width="16.42578125" customWidth="1"/>
    <col min="7424" max="7424" width="16.28515625" customWidth="1"/>
    <col min="7425" max="7425" width="12.7109375" customWidth="1"/>
    <col min="7426" max="7426" width="10.140625" bestFit="1" customWidth="1"/>
    <col min="7429" max="7429" width="15.140625" customWidth="1"/>
    <col min="7430" max="7430" width="15.28515625" customWidth="1"/>
    <col min="7431" max="7431" width="18.85546875" customWidth="1"/>
    <col min="7432" max="7432" width="13" customWidth="1"/>
    <col min="7433" max="7433" width="10.7109375" customWidth="1"/>
    <col min="7676" max="7676" width="44.85546875" customWidth="1"/>
    <col min="7677" max="7677" width="16.5703125" customWidth="1"/>
    <col min="7678" max="7678" width="19.5703125" customWidth="1"/>
    <col min="7679" max="7679" width="16.42578125" customWidth="1"/>
    <col min="7680" max="7680" width="16.28515625" customWidth="1"/>
    <col min="7681" max="7681" width="12.7109375" customWidth="1"/>
    <col min="7682" max="7682" width="10.140625" bestFit="1" customWidth="1"/>
    <col min="7685" max="7685" width="15.140625" customWidth="1"/>
    <col min="7686" max="7686" width="15.28515625" customWidth="1"/>
    <col min="7687" max="7687" width="18.85546875" customWidth="1"/>
    <col min="7688" max="7688" width="13" customWidth="1"/>
    <col min="7689" max="7689" width="10.7109375" customWidth="1"/>
    <col min="7932" max="7932" width="44.85546875" customWidth="1"/>
    <col min="7933" max="7933" width="16.5703125" customWidth="1"/>
    <col min="7934" max="7934" width="19.5703125" customWidth="1"/>
    <col min="7935" max="7935" width="16.42578125" customWidth="1"/>
    <col min="7936" max="7936" width="16.28515625" customWidth="1"/>
    <col min="7937" max="7937" width="12.7109375" customWidth="1"/>
    <col min="7938" max="7938" width="10.140625" bestFit="1" customWidth="1"/>
    <col min="7941" max="7941" width="15.140625" customWidth="1"/>
    <col min="7942" max="7942" width="15.28515625" customWidth="1"/>
    <col min="7943" max="7943" width="18.85546875" customWidth="1"/>
    <col min="7944" max="7944" width="13" customWidth="1"/>
    <col min="7945" max="7945" width="10.7109375" customWidth="1"/>
    <col min="8188" max="8188" width="44.85546875" customWidth="1"/>
    <col min="8189" max="8189" width="16.5703125" customWidth="1"/>
    <col min="8190" max="8190" width="19.5703125" customWidth="1"/>
    <col min="8191" max="8191" width="16.42578125" customWidth="1"/>
    <col min="8192" max="8192" width="16.28515625" customWidth="1"/>
    <col min="8193" max="8193" width="12.7109375" customWidth="1"/>
    <col min="8194" max="8194" width="10.140625" bestFit="1" customWidth="1"/>
    <col min="8197" max="8197" width="15.140625" customWidth="1"/>
    <col min="8198" max="8198" width="15.28515625" customWidth="1"/>
    <col min="8199" max="8199" width="18.85546875" customWidth="1"/>
    <col min="8200" max="8200" width="13" customWidth="1"/>
    <col min="8201" max="8201" width="10.7109375" customWidth="1"/>
    <col min="8444" max="8444" width="44.85546875" customWidth="1"/>
    <col min="8445" max="8445" width="16.5703125" customWidth="1"/>
    <col min="8446" max="8446" width="19.5703125" customWidth="1"/>
    <col min="8447" max="8447" width="16.42578125" customWidth="1"/>
    <col min="8448" max="8448" width="16.28515625" customWidth="1"/>
    <col min="8449" max="8449" width="12.7109375" customWidth="1"/>
    <col min="8450" max="8450" width="10.140625" bestFit="1" customWidth="1"/>
    <col min="8453" max="8453" width="15.140625" customWidth="1"/>
    <col min="8454" max="8454" width="15.28515625" customWidth="1"/>
    <col min="8455" max="8455" width="18.85546875" customWidth="1"/>
    <col min="8456" max="8456" width="13" customWidth="1"/>
    <col min="8457" max="8457" width="10.7109375" customWidth="1"/>
    <col min="8700" max="8700" width="44.85546875" customWidth="1"/>
    <col min="8701" max="8701" width="16.5703125" customWidth="1"/>
    <col min="8702" max="8702" width="19.5703125" customWidth="1"/>
    <col min="8703" max="8703" width="16.42578125" customWidth="1"/>
    <col min="8704" max="8704" width="16.28515625" customWidth="1"/>
    <col min="8705" max="8705" width="12.7109375" customWidth="1"/>
    <col min="8706" max="8706" width="10.140625" bestFit="1" customWidth="1"/>
    <col min="8709" max="8709" width="15.140625" customWidth="1"/>
    <col min="8710" max="8710" width="15.28515625" customWidth="1"/>
    <col min="8711" max="8711" width="18.85546875" customWidth="1"/>
    <col min="8712" max="8712" width="13" customWidth="1"/>
    <col min="8713" max="8713" width="10.7109375" customWidth="1"/>
    <col min="8956" max="8956" width="44.85546875" customWidth="1"/>
    <col min="8957" max="8957" width="16.5703125" customWidth="1"/>
    <col min="8958" max="8958" width="19.5703125" customWidth="1"/>
    <col min="8959" max="8959" width="16.42578125" customWidth="1"/>
    <col min="8960" max="8960" width="16.28515625" customWidth="1"/>
    <col min="8961" max="8961" width="12.7109375" customWidth="1"/>
    <col min="8962" max="8962" width="10.140625" bestFit="1" customWidth="1"/>
    <col min="8965" max="8965" width="15.140625" customWidth="1"/>
    <col min="8966" max="8966" width="15.28515625" customWidth="1"/>
    <col min="8967" max="8967" width="18.85546875" customWidth="1"/>
    <col min="8968" max="8968" width="13" customWidth="1"/>
    <col min="8969" max="8969" width="10.7109375" customWidth="1"/>
    <col min="9212" max="9212" width="44.85546875" customWidth="1"/>
    <col min="9213" max="9213" width="16.5703125" customWidth="1"/>
    <col min="9214" max="9214" width="19.5703125" customWidth="1"/>
    <col min="9215" max="9215" width="16.42578125" customWidth="1"/>
    <col min="9216" max="9216" width="16.28515625" customWidth="1"/>
    <col min="9217" max="9217" width="12.7109375" customWidth="1"/>
    <col min="9218" max="9218" width="10.140625" bestFit="1" customWidth="1"/>
    <col min="9221" max="9221" width="15.140625" customWidth="1"/>
    <col min="9222" max="9222" width="15.28515625" customWidth="1"/>
    <col min="9223" max="9223" width="18.85546875" customWidth="1"/>
    <col min="9224" max="9224" width="13" customWidth="1"/>
    <col min="9225" max="9225" width="10.7109375" customWidth="1"/>
    <col min="9468" max="9468" width="44.85546875" customWidth="1"/>
    <col min="9469" max="9469" width="16.5703125" customWidth="1"/>
    <col min="9470" max="9470" width="19.5703125" customWidth="1"/>
    <col min="9471" max="9471" width="16.42578125" customWidth="1"/>
    <col min="9472" max="9472" width="16.28515625" customWidth="1"/>
    <col min="9473" max="9473" width="12.7109375" customWidth="1"/>
    <col min="9474" max="9474" width="10.140625" bestFit="1" customWidth="1"/>
    <col min="9477" max="9477" width="15.140625" customWidth="1"/>
    <col min="9478" max="9478" width="15.28515625" customWidth="1"/>
    <col min="9479" max="9479" width="18.85546875" customWidth="1"/>
    <col min="9480" max="9480" width="13" customWidth="1"/>
    <col min="9481" max="9481" width="10.7109375" customWidth="1"/>
    <col min="9724" max="9724" width="44.85546875" customWidth="1"/>
    <col min="9725" max="9725" width="16.5703125" customWidth="1"/>
    <col min="9726" max="9726" width="19.5703125" customWidth="1"/>
    <col min="9727" max="9727" width="16.42578125" customWidth="1"/>
    <col min="9728" max="9728" width="16.28515625" customWidth="1"/>
    <col min="9729" max="9729" width="12.7109375" customWidth="1"/>
    <col min="9730" max="9730" width="10.140625" bestFit="1" customWidth="1"/>
    <col min="9733" max="9733" width="15.140625" customWidth="1"/>
    <col min="9734" max="9734" width="15.28515625" customWidth="1"/>
    <col min="9735" max="9735" width="18.85546875" customWidth="1"/>
    <col min="9736" max="9736" width="13" customWidth="1"/>
    <col min="9737" max="9737" width="10.7109375" customWidth="1"/>
    <col min="9980" max="9980" width="44.85546875" customWidth="1"/>
    <col min="9981" max="9981" width="16.5703125" customWidth="1"/>
    <col min="9982" max="9982" width="19.5703125" customWidth="1"/>
    <col min="9983" max="9983" width="16.42578125" customWidth="1"/>
    <col min="9984" max="9984" width="16.28515625" customWidth="1"/>
    <col min="9985" max="9985" width="12.7109375" customWidth="1"/>
    <col min="9986" max="9986" width="10.140625" bestFit="1" customWidth="1"/>
    <col min="9989" max="9989" width="15.140625" customWidth="1"/>
    <col min="9990" max="9990" width="15.28515625" customWidth="1"/>
    <col min="9991" max="9991" width="18.85546875" customWidth="1"/>
    <col min="9992" max="9992" width="13" customWidth="1"/>
    <col min="9993" max="9993" width="10.7109375" customWidth="1"/>
    <col min="10236" max="10236" width="44.85546875" customWidth="1"/>
    <col min="10237" max="10237" width="16.5703125" customWidth="1"/>
    <col min="10238" max="10238" width="19.5703125" customWidth="1"/>
    <col min="10239" max="10239" width="16.42578125" customWidth="1"/>
    <col min="10240" max="10240" width="16.28515625" customWidth="1"/>
    <col min="10241" max="10241" width="12.7109375" customWidth="1"/>
    <col min="10242" max="10242" width="10.140625" bestFit="1" customWidth="1"/>
    <col min="10245" max="10245" width="15.140625" customWidth="1"/>
    <col min="10246" max="10246" width="15.28515625" customWidth="1"/>
    <col min="10247" max="10247" width="18.85546875" customWidth="1"/>
    <col min="10248" max="10248" width="13" customWidth="1"/>
    <col min="10249" max="10249" width="10.7109375" customWidth="1"/>
    <col min="10492" max="10492" width="44.85546875" customWidth="1"/>
    <col min="10493" max="10493" width="16.5703125" customWidth="1"/>
    <col min="10494" max="10494" width="19.5703125" customWidth="1"/>
    <col min="10495" max="10495" width="16.42578125" customWidth="1"/>
    <col min="10496" max="10496" width="16.28515625" customWidth="1"/>
    <col min="10497" max="10497" width="12.7109375" customWidth="1"/>
    <col min="10498" max="10498" width="10.140625" bestFit="1" customWidth="1"/>
    <col min="10501" max="10501" width="15.140625" customWidth="1"/>
    <col min="10502" max="10502" width="15.28515625" customWidth="1"/>
    <col min="10503" max="10503" width="18.85546875" customWidth="1"/>
    <col min="10504" max="10504" width="13" customWidth="1"/>
    <col min="10505" max="10505" width="10.7109375" customWidth="1"/>
    <col min="10748" max="10748" width="44.85546875" customWidth="1"/>
    <col min="10749" max="10749" width="16.5703125" customWidth="1"/>
    <col min="10750" max="10750" width="19.5703125" customWidth="1"/>
    <col min="10751" max="10751" width="16.42578125" customWidth="1"/>
    <col min="10752" max="10752" width="16.28515625" customWidth="1"/>
    <col min="10753" max="10753" width="12.7109375" customWidth="1"/>
    <col min="10754" max="10754" width="10.140625" bestFit="1" customWidth="1"/>
    <col min="10757" max="10757" width="15.140625" customWidth="1"/>
    <col min="10758" max="10758" width="15.28515625" customWidth="1"/>
    <col min="10759" max="10759" width="18.85546875" customWidth="1"/>
    <col min="10760" max="10760" width="13" customWidth="1"/>
    <col min="10761" max="10761" width="10.7109375" customWidth="1"/>
    <col min="11004" max="11004" width="44.85546875" customWidth="1"/>
    <col min="11005" max="11005" width="16.5703125" customWidth="1"/>
    <col min="11006" max="11006" width="19.5703125" customWidth="1"/>
    <col min="11007" max="11007" width="16.42578125" customWidth="1"/>
    <col min="11008" max="11008" width="16.28515625" customWidth="1"/>
    <col min="11009" max="11009" width="12.7109375" customWidth="1"/>
    <col min="11010" max="11010" width="10.140625" bestFit="1" customWidth="1"/>
    <col min="11013" max="11013" width="15.140625" customWidth="1"/>
    <col min="11014" max="11014" width="15.28515625" customWidth="1"/>
    <col min="11015" max="11015" width="18.85546875" customWidth="1"/>
    <col min="11016" max="11016" width="13" customWidth="1"/>
    <col min="11017" max="11017" width="10.7109375" customWidth="1"/>
    <col min="11260" max="11260" width="44.85546875" customWidth="1"/>
    <col min="11261" max="11261" width="16.5703125" customWidth="1"/>
    <col min="11262" max="11262" width="19.5703125" customWidth="1"/>
    <col min="11263" max="11263" width="16.42578125" customWidth="1"/>
    <col min="11264" max="11264" width="16.28515625" customWidth="1"/>
    <col min="11265" max="11265" width="12.7109375" customWidth="1"/>
    <col min="11266" max="11266" width="10.140625" bestFit="1" customWidth="1"/>
    <col min="11269" max="11269" width="15.140625" customWidth="1"/>
    <col min="11270" max="11270" width="15.28515625" customWidth="1"/>
    <col min="11271" max="11271" width="18.85546875" customWidth="1"/>
    <col min="11272" max="11272" width="13" customWidth="1"/>
    <col min="11273" max="11273" width="10.7109375" customWidth="1"/>
    <col min="11516" max="11516" width="44.85546875" customWidth="1"/>
    <col min="11517" max="11517" width="16.5703125" customWidth="1"/>
    <col min="11518" max="11518" width="19.5703125" customWidth="1"/>
    <col min="11519" max="11519" width="16.42578125" customWidth="1"/>
    <col min="11520" max="11520" width="16.28515625" customWidth="1"/>
    <col min="11521" max="11521" width="12.7109375" customWidth="1"/>
    <col min="11522" max="11522" width="10.140625" bestFit="1" customWidth="1"/>
    <col min="11525" max="11525" width="15.140625" customWidth="1"/>
    <col min="11526" max="11526" width="15.28515625" customWidth="1"/>
    <col min="11527" max="11527" width="18.85546875" customWidth="1"/>
    <col min="11528" max="11528" width="13" customWidth="1"/>
    <col min="11529" max="11529" width="10.7109375" customWidth="1"/>
    <col min="11772" max="11772" width="44.85546875" customWidth="1"/>
    <col min="11773" max="11773" width="16.5703125" customWidth="1"/>
    <col min="11774" max="11774" width="19.5703125" customWidth="1"/>
    <col min="11775" max="11775" width="16.42578125" customWidth="1"/>
    <col min="11776" max="11776" width="16.28515625" customWidth="1"/>
    <col min="11777" max="11777" width="12.7109375" customWidth="1"/>
    <col min="11778" max="11778" width="10.140625" bestFit="1" customWidth="1"/>
    <col min="11781" max="11781" width="15.140625" customWidth="1"/>
    <col min="11782" max="11782" width="15.28515625" customWidth="1"/>
    <col min="11783" max="11783" width="18.85546875" customWidth="1"/>
    <col min="11784" max="11784" width="13" customWidth="1"/>
    <col min="11785" max="11785" width="10.7109375" customWidth="1"/>
    <col min="12028" max="12028" width="44.85546875" customWidth="1"/>
    <col min="12029" max="12029" width="16.5703125" customWidth="1"/>
    <col min="12030" max="12030" width="19.5703125" customWidth="1"/>
    <col min="12031" max="12031" width="16.42578125" customWidth="1"/>
    <col min="12032" max="12032" width="16.28515625" customWidth="1"/>
    <col min="12033" max="12033" width="12.7109375" customWidth="1"/>
    <col min="12034" max="12034" width="10.140625" bestFit="1" customWidth="1"/>
    <col min="12037" max="12037" width="15.140625" customWidth="1"/>
    <col min="12038" max="12038" width="15.28515625" customWidth="1"/>
    <col min="12039" max="12039" width="18.85546875" customWidth="1"/>
    <col min="12040" max="12040" width="13" customWidth="1"/>
    <col min="12041" max="12041" width="10.7109375" customWidth="1"/>
    <col min="12284" max="12284" width="44.85546875" customWidth="1"/>
    <col min="12285" max="12285" width="16.5703125" customWidth="1"/>
    <col min="12286" max="12286" width="19.5703125" customWidth="1"/>
    <col min="12287" max="12287" width="16.42578125" customWidth="1"/>
    <col min="12288" max="12288" width="16.28515625" customWidth="1"/>
    <col min="12289" max="12289" width="12.7109375" customWidth="1"/>
    <col min="12290" max="12290" width="10.140625" bestFit="1" customWidth="1"/>
    <col min="12293" max="12293" width="15.140625" customWidth="1"/>
    <col min="12294" max="12294" width="15.28515625" customWidth="1"/>
    <col min="12295" max="12295" width="18.85546875" customWidth="1"/>
    <col min="12296" max="12296" width="13" customWidth="1"/>
    <col min="12297" max="12297" width="10.7109375" customWidth="1"/>
    <col min="12540" max="12540" width="44.85546875" customWidth="1"/>
    <col min="12541" max="12541" width="16.5703125" customWidth="1"/>
    <col min="12542" max="12542" width="19.5703125" customWidth="1"/>
    <col min="12543" max="12543" width="16.42578125" customWidth="1"/>
    <col min="12544" max="12544" width="16.28515625" customWidth="1"/>
    <col min="12545" max="12545" width="12.7109375" customWidth="1"/>
    <col min="12546" max="12546" width="10.140625" bestFit="1" customWidth="1"/>
    <col min="12549" max="12549" width="15.140625" customWidth="1"/>
    <col min="12550" max="12550" width="15.28515625" customWidth="1"/>
    <col min="12551" max="12551" width="18.85546875" customWidth="1"/>
    <col min="12552" max="12552" width="13" customWidth="1"/>
    <col min="12553" max="12553" width="10.7109375" customWidth="1"/>
    <col min="12796" max="12796" width="44.85546875" customWidth="1"/>
    <col min="12797" max="12797" width="16.5703125" customWidth="1"/>
    <col min="12798" max="12798" width="19.5703125" customWidth="1"/>
    <col min="12799" max="12799" width="16.42578125" customWidth="1"/>
    <col min="12800" max="12800" width="16.28515625" customWidth="1"/>
    <col min="12801" max="12801" width="12.7109375" customWidth="1"/>
    <col min="12802" max="12802" width="10.140625" bestFit="1" customWidth="1"/>
    <col min="12805" max="12805" width="15.140625" customWidth="1"/>
    <col min="12806" max="12806" width="15.28515625" customWidth="1"/>
    <col min="12807" max="12807" width="18.85546875" customWidth="1"/>
    <col min="12808" max="12808" width="13" customWidth="1"/>
    <col min="12809" max="12809" width="10.7109375" customWidth="1"/>
    <col min="13052" max="13052" width="44.85546875" customWidth="1"/>
    <col min="13053" max="13053" width="16.5703125" customWidth="1"/>
    <col min="13054" max="13054" width="19.5703125" customWidth="1"/>
    <col min="13055" max="13055" width="16.42578125" customWidth="1"/>
    <col min="13056" max="13056" width="16.28515625" customWidth="1"/>
    <col min="13057" max="13057" width="12.7109375" customWidth="1"/>
    <col min="13058" max="13058" width="10.140625" bestFit="1" customWidth="1"/>
    <col min="13061" max="13061" width="15.140625" customWidth="1"/>
    <col min="13062" max="13062" width="15.28515625" customWidth="1"/>
    <col min="13063" max="13063" width="18.85546875" customWidth="1"/>
    <col min="13064" max="13064" width="13" customWidth="1"/>
    <col min="13065" max="13065" width="10.7109375" customWidth="1"/>
    <col min="13308" max="13308" width="44.85546875" customWidth="1"/>
    <col min="13309" max="13309" width="16.5703125" customWidth="1"/>
    <col min="13310" max="13310" width="19.5703125" customWidth="1"/>
    <col min="13311" max="13311" width="16.42578125" customWidth="1"/>
    <col min="13312" max="13312" width="16.28515625" customWidth="1"/>
    <col min="13313" max="13313" width="12.7109375" customWidth="1"/>
    <col min="13314" max="13314" width="10.140625" bestFit="1" customWidth="1"/>
    <col min="13317" max="13317" width="15.140625" customWidth="1"/>
    <col min="13318" max="13318" width="15.28515625" customWidth="1"/>
    <col min="13319" max="13319" width="18.85546875" customWidth="1"/>
    <col min="13320" max="13320" width="13" customWidth="1"/>
    <col min="13321" max="13321" width="10.7109375" customWidth="1"/>
    <col min="13564" max="13564" width="44.85546875" customWidth="1"/>
    <col min="13565" max="13565" width="16.5703125" customWidth="1"/>
    <col min="13566" max="13566" width="19.5703125" customWidth="1"/>
    <col min="13567" max="13567" width="16.42578125" customWidth="1"/>
    <col min="13568" max="13568" width="16.28515625" customWidth="1"/>
    <col min="13569" max="13569" width="12.7109375" customWidth="1"/>
    <col min="13570" max="13570" width="10.140625" bestFit="1" customWidth="1"/>
    <col min="13573" max="13573" width="15.140625" customWidth="1"/>
    <col min="13574" max="13574" width="15.28515625" customWidth="1"/>
    <col min="13575" max="13575" width="18.85546875" customWidth="1"/>
    <col min="13576" max="13576" width="13" customWidth="1"/>
    <col min="13577" max="13577" width="10.7109375" customWidth="1"/>
    <col min="13820" max="13820" width="44.85546875" customWidth="1"/>
    <col min="13821" max="13821" width="16.5703125" customWidth="1"/>
    <col min="13822" max="13822" width="19.5703125" customWidth="1"/>
    <col min="13823" max="13823" width="16.42578125" customWidth="1"/>
    <col min="13824" max="13824" width="16.28515625" customWidth="1"/>
    <col min="13825" max="13825" width="12.7109375" customWidth="1"/>
    <col min="13826" max="13826" width="10.140625" bestFit="1" customWidth="1"/>
    <col min="13829" max="13829" width="15.140625" customWidth="1"/>
    <col min="13830" max="13830" width="15.28515625" customWidth="1"/>
    <col min="13831" max="13831" width="18.85546875" customWidth="1"/>
    <col min="13832" max="13832" width="13" customWidth="1"/>
    <col min="13833" max="13833" width="10.7109375" customWidth="1"/>
    <col min="14076" max="14076" width="44.85546875" customWidth="1"/>
    <col min="14077" max="14077" width="16.5703125" customWidth="1"/>
    <col min="14078" max="14078" width="19.5703125" customWidth="1"/>
    <col min="14079" max="14079" width="16.42578125" customWidth="1"/>
    <col min="14080" max="14080" width="16.28515625" customWidth="1"/>
    <col min="14081" max="14081" width="12.7109375" customWidth="1"/>
    <col min="14082" max="14082" width="10.140625" bestFit="1" customWidth="1"/>
    <col min="14085" max="14085" width="15.140625" customWidth="1"/>
    <col min="14086" max="14086" width="15.28515625" customWidth="1"/>
    <col min="14087" max="14087" width="18.85546875" customWidth="1"/>
    <col min="14088" max="14088" width="13" customWidth="1"/>
    <col min="14089" max="14089" width="10.7109375" customWidth="1"/>
    <col min="14332" max="14332" width="44.85546875" customWidth="1"/>
    <col min="14333" max="14333" width="16.5703125" customWidth="1"/>
    <col min="14334" max="14334" width="19.5703125" customWidth="1"/>
    <col min="14335" max="14335" width="16.42578125" customWidth="1"/>
    <col min="14336" max="14336" width="16.28515625" customWidth="1"/>
    <col min="14337" max="14337" width="12.7109375" customWidth="1"/>
    <col min="14338" max="14338" width="10.140625" bestFit="1" customWidth="1"/>
    <col min="14341" max="14341" width="15.140625" customWidth="1"/>
    <col min="14342" max="14342" width="15.28515625" customWidth="1"/>
    <col min="14343" max="14343" width="18.85546875" customWidth="1"/>
    <col min="14344" max="14344" width="13" customWidth="1"/>
    <col min="14345" max="14345" width="10.7109375" customWidth="1"/>
    <col min="14588" max="14588" width="44.85546875" customWidth="1"/>
    <col min="14589" max="14589" width="16.5703125" customWidth="1"/>
    <col min="14590" max="14590" width="19.5703125" customWidth="1"/>
    <col min="14591" max="14591" width="16.42578125" customWidth="1"/>
    <col min="14592" max="14592" width="16.28515625" customWidth="1"/>
    <col min="14593" max="14593" width="12.7109375" customWidth="1"/>
    <col min="14594" max="14594" width="10.140625" bestFit="1" customWidth="1"/>
    <col min="14597" max="14597" width="15.140625" customWidth="1"/>
    <col min="14598" max="14598" width="15.28515625" customWidth="1"/>
    <col min="14599" max="14599" width="18.85546875" customWidth="1"/>
    <col min="14600" max="14600" width="13" customWidth="1"/>
    <col min="14601" max="14601" width="10.7109375" customWidth="1"/>
    <col min="14844" max="14844" width="44.85546875" customWidth="1"/>
    <col min="14845" max="14845" width="16.5703125" customWidth="1"/>
    <col min="14846" max="14846" width="19.5703125" customWidth="1"/>
    <col min="14847" max="14847" width="16.42578125" customWidth="1"/>
    <col min="14848" max="14848" width="16.28515625" customWidth="1"/>
    <col min="14849" max="14849" width="12.7109375" customWidth="1"/>
    <col min="14850" max="14850" width="10.140625" bestFit="1" customWidth="1"/>
    <col min="14853" max="14853" width="15.140625" customWidth="1"/>
    <col min="14854" max="14854" width="15.28515625" customWidth="1"/>
    <col min="14855" max="14855" width="18.85546875" customWidth="1"/>
    <col min="14856" max="14856" width="13" customWidth="1"/>
    <col min="14857" max="14857" width="10.7109375" customWidth="1"/>
    <col min="15100" max="15100" width="44.85546875" customWidth="1"/>
    <col min="15101" max="15101" width="16.5703125" customWidth="1"/>
    <col min="15102" max="15102" width="19.5703125" customWidth="1"/>
    <col min="15103" max="15103" width="16.42578125" customWidth="1"/>
    <col min="15104" max="15104" width="16.28515625" customWidth="1"/>
    <col min="15105" max="15105" width="12.7109375" customWidth="1"/>
    <col min="15106" max="15106" width="10.140625" bestFit="1" customWidth="1"/>
    <col min="15109" max="15109" width="15.140625" customWidth="1"/>
    <col min="15110" max="15110" width="15.28515625" customWidth="1"/>
    <col min="15111" max="15111" width="18.85546875" customWidth="1"/>
    <col min="15112" max="15112" width="13" customWidth="1"/>
    <col min="15113" max="15113" width="10.7109375" customWidth="1"/>
    <col min="15356" max="15356" width="44.85546875" customWidth="1"/>
    <col min="15357" max="15357" width="16.5703125" customWidth="1"/>
    <col min="15358" max="15358" width="19.5703125" customWidth="1"/>
    <col min="15359" max="15359" width="16.42578125" customWidth="1"/>
    <col min="15360" max="15360" width="16.28515625" customWidth="1"/>
    <col min="15361" max="15361" width="12.7109375" customWidth="1"/>
    <col min="15362" max="15362" width="10.140625" bestFit="1" customWidth="1"/>
    <col min="15365" max="15365" width="15.140625" customWidth="1"/>
    <col min="15366" max="15366" width="15.28515625" customWidth="1"/>
    <col min="15367" max="15367" width="18.85546875" customWidth="1"/>
    <col min="15368" max="15368" width="13" customWidth="1"/>
    <col min="15369" max="15369" width="10.7109375" customWidth="1"/>
    <col min="15612" max="15612" width="44.85546875" customWidth="1"/>
    <col min="15613" max="15613" width="16.5703125" customWidth="1"/>
    <col min="15614" max="15614" width="19.5703125" customWidth="1"/>
    <col min="15615" max="15615" width="16.42578125" customWidth="1"/>
    <col min="15616" max="15616" width="16.28515625" customWidth="1"/>
    <col min="15617" max="15617" width="12.7109375" customWidth="1"/>
    <col min="15618" max="15618" width="10.140625" bestFit="1" customWidth="1"/>
    <col min="15621" max="15621" width="15.140625" customWidth="1"/>
    <col min="15622" max="15622" width="15.28515625" customWidth="1"/>
    <col min="15623" max="15623" width="18.85546875" customWidth="1"/>
    <col min="15624" max="15624" width="13" customWidth="1"/>
    <col min="15625" max="15625" width="10.7109375" customWidth="1"/>
    <col min="15868" max="15868" width="44.85546875" customWidth="1"/>
    <col min="15869" max="15869" width="16.5703125" customWidth="1"/>
    <col min="15870" max="15870" width="19.5703125" customWidth="1"/>
    <col min="15871" max="15871" width="16.42578125" customWidth="1"/>
    <col min="15872" max="15872" width="16.28515625" customWidth="1"/>
    <col min="15873" max="15873" width="12.7109375" customWidth="1"/>
    <col min="15874" max="15874" width="10.140625" bestFit="1" customWidth="1"/>
    <col min="15877" max="15877" width="15.140625" customWidth="1"/>
    <col min="15878" max="15878" width="15.28515625" customWidth="1"/>
    <col min="15879" max="15879" width="18.85546875" customWidth="1"/>
    <col min="15880" max="15880" width="13" customWidth="1"/>
    <col min="15881" max="15881" width="10.7109375" customWidth="1"/>
    <col min="16124" max="16124" width="44.85546875" customWidth="1"/>
    <col min="16125" max="16125" width="16.5703125" customWidth="1"/>
    <col min="16126" max="16126" width="19.5703125" customWidth="1"/>
    <col min="16127" max="16127" width="16.42578125" customWidth="1"/>
    <col min="16128" max="16128" width="16.28515625" customWidth="1"/>
    <col min="16129" max="16129" width="12.7109375" customWidth="1"/>
    <col min="16130" max="16130" width="10.140625" bestFit="1" customWidth="1"/>
    <col min="16133" max="16133" width="15.140625" customWidth="1"/>
    <col min="16134" max="16134" width="15.28515625" customWidth="1"/>
    <col min="16135" max="16135" width="18.85546875" customWidth="1"/>
    <col min="16136" max="16136" width="13" customWidth="1"/>
    <col min="16137" max="16137" width="10.7109375" customWidth="1"/>
  </cols>
  <sheetData>
    <row r="2" spans="1:17" x14ac:dyDescent="0.25">
      <c r="A2" s="1" t="s">
        <v>187</v>
      </c>
      <c r="B2" s="2"/>
      <c r="C2" s="2"/>
      <c r="D2" s="2"/>
    </row>
    <row r="3" spans="1:17" ht="15.75" thickBot="1" x14ac:dyDescent="0.3">
      <c r="A3" s="1"/>
      <c r="B3" s="2"/>
      <c r="C3" s="2"/>
      <c r="D3" s="2"/>
      <c r="I3" s="108"/>
      <c r="J3" s="108"/>
    </row>
    <row r="4" spans="1:17" ht="15.75" thickBot="1" x14ac:dyDescent="0.3">
      <c r="A4" s="22" t="s">
        <v>0</v>
      </c>
      <c r="B4" s="126"/>
      <c r="C4" s="126"/>
      <c r="D4" s="127"/>
      <c r="I4" s="108"/>
      <c r="J4" s="108"/>
    </row>
    <row r="5" spans="1:17" ht="40.5" customHeight="1" thickBot="1" x14ac:dyDescent="0.3">
      <c r="A5" s="6" t="s">
        <v>1</v>
      </c>
      <c r="B5" s="7"/>
      <c r="C5" s="8" t="s">
        <v>2</v>
      </c>
      <c r="D5" s="9" t="s">
        <v>3</v>
      </c>
      <c r="I5" s="108"/>
      <c r="J5" s="108"/>
    </row>
    <row r="6" spans="1:17" x14ac:dyDescent="0.25">
      <c r="A6" s="10" t="s">
        <v>94</v>
      </c>
      <c r="B6" s="158"/>
      <c r="C6" s="158">
        <v>1373.4</v>
      </c>
      <c r="D6" s="159">
        <v>49</v>
      </c>
      <c r="I6" s="108"/>
      <c r="J6" s="108"/>
    </row>
    <row r="7" spans="1:17" x14ac:dyDescent="0.25">
      <c r="A7" s="13"/>
      <c r="B7" s="160"/>
      <c r="C7" s="160"/>
      <c r="D7" s="161"/>
      <c r="I7" s="108"/>
      <c r="J7" s="108"/>
    </row>
    <row r="8" spans="1:17" ht="15.75" thickBot="1" x14ac:dyDescent="0.3">
      <c r="A8" s="16" t="s">
        <v>5</v>
      </c>
      <c r="B8" s="162"/>
      <c r="C8" s="162">
        <f>C6+C7</f>
        <v>1373.4</v>
      </c>
      <c r="D8" s="163">
        <f>D6</f>
        <v>49</v>
      </c>
      <c r="I8" s="108"/>
      <c r="J8" s="108"/>
    </row>
    <row r="9" spans="1:17" ht="15.75" thickBot="1" x14ac:dyDescent="0.3">
      <c r="A9" s="19"/>
      <c r="B9" s="20"/>
      <c r="C9" s="20"/>
      <c r="D9" s="21"/>
      <c r="I9" s="108"/>
      <c r="J9" s="108"/>
    </row>
    <row r="10" spans="1:17" ht="15.75" thickBot="1" x14ac:dyDescent="0.3">
      <c r="A10" s="22" t="s">
        <v>112</v>
      </c>
      <c r="B10" s="23"/>
      <c r="C10" s="23"/>
      <c r="D10" s="24" t="s">
        <v>6</v>
      </c>
      <c r="F10" s="97"/>
      <c r="G10" s="97"/>
      <c r="H10" s="97"/>
      <c r="I10" s="108"/>
      <c r="J10" s="108"/>
    </row>
    <row r="11" spans="1:17" x14ac:dyDescent="0.25">
      <c r="A11" s="25" t="s">
        <v>7</v>
      </c>
      <c r="B11" s="20"/>
      <c r="C11" s="20"/>
      <c r="D11" s="168" t="s">
        <v>95</v>
      </c>
      <c r="F11" s="97"/>
      <c r="G11" s="97"/>
      <c r="H11" s="97"/>
      <c r="I11" s="108"/>
      <c r="J11" s="108"/>
    </row>
    <row r="12" spans="1:17" x14ac:dyDescent="0.25">
      <c r="A12" s="25" t="s">
        <v>8</v>
      </c>
      <c r="B12" s="20"/>
      <c r="C12" s="20"/>
      <c r="D12" s="27">
        <v>0</v>
      </c>
      <c r="F12" s="97"/>
      <c r="G12" s="97"/>
      <c r="H12" s="97"/>
      <c r="I12" s="108"/>
      <c r="J12" s="108"/>
    </row>
    <row r="13" spans="1:17" x14ac:dyDescent="0.25">
      <c r="A13" s="25" t="s">
        <v>9</v>
      </c>
      <c r="B13" s="20"/>
      <c r="C13" s="20"/>
      <c r="D13" s="26">
        <v>0</v>
      </c>
      <c r="F13" s="97"/>
      <c r="G13" s="97"/>
      <c r="H13" s="97"/>
      <c r="I13" s="108"/>
      <c r="J13" s="108"/>
    </row>
    <row r="14" spans="1:17" ht="15.75" thickBot="1" x14ac:dyDescent="0.3">
      <c r="A14" s="28" t="s">
        <v>10</v>
      </c>
      <c r="B14" s="29"/>
      <c r="C14" s="29"/>
      <c r="D14" s="30">
        <v>0</v>
      </c>
      <c r="F14" s="97"/>
      <c r="G14" s="97"/>
      <c r="H14" s="97"/>
      <c r="I14" s="108"/>
      <c r="J14" s="108"/>
      <c r="K14" s="31"/>
      <c r="L14" s="31"/>
      <c r="M14" s="31"/>
      <c r="N14" s="31"/>
      <c r="O14" s="31"/>
      <c r="P14" s="31"/>
      <c r="Q14" s="31"/>
    </row>
    <row r="15" spans="1:17" ht="15.75" thickBot="1" x14ac:dyDescent="0.3">
      <c r="A15" s="32"/>
      <c r="B15" s="33"/>
      <c r="C15" s="33"/>
      <c r="D15" s="33"/>
      <c r="F15" s="97"/>
      <c r="G15" s="97"/>
      <c r="H15" s="97"/>
      <c r="I15" s="108"/>
      <c r="J15" s="108"/>
      <c r="K15" s="31"/>
      <c r="L15" s="31"/>
      <c r="M15" s="31"/>
      <c r="N15" s="31"/>
      <c r="O15" s="31"/>
      <c r="P15" s="31"/>
      <c r="Q15" s="31"/>
    </row>
    <row r="16" spans="1:17" ht="15.75" thickBot="1" x14ac:dyDescent="0.3">
      <c r="A16" s="22" t="s">
        <v>113</v>
      </c>
      <c r="B16" s="126"/>
      <c r="C16" s="126"/>
      <c r="D16" s="126"/>
      <c r="E16" s="127"/>
      <c r="F16" s="97"/>
      <c r="G16" s="97"/>
      <c r="H16" s="97"/>
      <c r="I16" s="109"/>
      <c r="J16" s="108"/>
      <c r="K16" s="31"/>
      <c r="L16" s="31"/>
      <c r="M16" s="31"/>
      <c r="N16" s="31"/>
      <c r="O16" s="31"/>
      <c r="P16" s="31"/>
      <c r="Q16" s="31"/>
    </row>
    <row r="17" spans="1:17" ht="15.75" hidden="1" thickBot="1" x14ac:dyDescent="0.3">
      <c r="A17" s="25"/>
      <c r="B17" s="33"/>
      <c r="C17" s="33"/>
      <c r="D17" s="33"/>
      <c r="E17" s="139"/>
      <c r="F17" s="97"/>
      <c r="G17" s="97"/>
      <c r="H17" s="97"/>
      <c r="I17" s="109"/>
      <c r="J17" s="108"/>
      <c r="K17" s="31"/>
      <c r="L17" s="31"/>
      <c r="M17" s="31"/>
      <c r="N17" s="31"/>
      <c r="O17" s="31"/>
      <c r="P17" s="31"/>
      <c r="Q17" s="31"/>
    </row>
    <row r="18" spans="1:17" ht="15.75" hidden="1" thickBot="1" x14ac:dyDescent="0.3">
      <c r="A18" s="25"/>
      <c r="B18" s="33"/>
      <c r="C18" s="33"/>
      <c r="D18" s="33"/>
      <c r="E18" s="139"/>
      <c r="F18" s="97"/>
      <c r="G18" s="97"/>
      <c r="H18" s="97"/>
      <c r="I18" s="108"/>
      <c r="J18" s="108"/>
      <c r="K18" s="31"/>
      <c r="L18" s="31"/>
      <c r="M18" s="31"/>
      <c r="N18" s="31"/>
      <c r="O18" s="31"/>
      <c r="P18" s="31"/>
      <c r="Q18" s="31"/>
    </row>
    <row r="19" spans="1:17" ht="65.25" customHeight="1" thickBot="1" x14ac:dyDescent="0.3">
      <c r="A19" s="36" t="s">
        <v>11</v>
      </c>
      <c r="B19" s="37" t="s">
        <v>114</v>
      </c>
      <c r="C19" s="38" t="s">
        <v>115</v>
      </c>
      <c r="D19" s="38" t="s">
        <v>116</v>
      </c>
      <c r="E19" s="39" t="s">
        <v>117</v>
      </c>
      <c r="F19" s="97"/>
      <c r="G19" s="97"/>
      <c r="H19" s="97"/>
      <c r="I19" s="111"/>
      <c r="J19" s="108"/>
      <c r="K19" s="31"/>
      <c r="L19" s="31"/>
      <c r="M19" s="31"/>
      <c r="N19" s="31"/>
      <c r="O19" s="31"/>
      <c r="P19" s="31"/>
      <c r="Q19" s="31"/>
    </row>
    <row r="20" spans="1:17" x14ac:dyDescent="0.25">
      <c r="A20" s="10" t="s">
        <v>13</v>
      </c>
      <c r="B20" s="40">
        <v>28990.37</v>
      </c>
      <c r="C20" s="41">
        <f>224739.5+16975.01</f>
        <v>241714.51</v>
      </c>
      <c r="D20" s="40">
        <f>214078.7+7263.41</f>
        <v>221342.11000000002</v>
      </c>
      <c r="E20" s="42">
        <f t="shared" ref="E20:E38" si="0">C20-D20+B20</f>
        <v>49362.76999999999</v>
      </c>
      <c r="F20" s="116">
        <f>C20+F22</f>
        <v>241714.51</v>
      </c>
      <c r="G20" s="117">
        <f>100</f>
        <v>100</v>
      </c>
      <c r="H20" s="115" t="s">
        <v>64</v>
      </c>
      <c r="I20" s="108"/>
      <c r="J20" s="108"/>
      <c r="K20" s="31"/>
      <c r="L20" s="31"/>
      <c r="M20" s="31"/>
      <c r="N20" s="31"/>
      <c r="O20" s="31"/>
      <c r="P20" s="31"/>
      <c r="Q20" s="31"/>
    </row>
    <row r="21" spans="1:17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16"/>
      <c r="G21" s="117"/>
      <c r="H21" s="115"/>
      <c r="I21" s="108"/>
      <c r="J21" s="108"/>
      <c r="K21" s="31"/>
      <c r="L21" s="31"/>
      <c r="M21" s="31"/>
      <c r="N21" s="31"/>
      <c r="O21" s="31"/>
      <c r="P21" s="31"/>
      <c r="Q21" s="31"/>
    </row>
    <row r="22" spans="1:17" x14ac:dyDescent="0.25">
      <c r="A22" s="13" t="s">
        <v>15</v>
      </c>
      <c r="B22" s="43"/>
      <c r="C22" s="44"/>
      <c r="D22" s="43"/>
      <c r="E22" s="45">
        <f t="shared" si="0"/>
        <v>0</v>
      </c>
      <c r="F22" s="116">
        <f>C22</f>
        <v>0</v>
      </c>
      <c r="G22" s="118">
        <f>F22*G20/F20</f>
        <v>0</v>
      </c>
      <c r="H22" s="115" t="s">
        <v>64</v>
      </c>
      <c r="I22" s="111"/>
      <c r="J22" s="108"/>
      <c r="K22" s="31"/>
      <c r="L22" s="31"/>
      <c r="M22" s="31"/>
      <c r="N22" s="31"/>
      <c r="O22" s="31"/>
      <c r="P22" s="31"/>
      <c r="Q22" s="31"/>
    </row>
    <row r="23" spans="1:17" hidden="1" x14ac:dyDescent="0.25">
      <c r="A23" s="13" t="s">
        <v>16</v>
      </c>
      <c r="B23" s="43"/>
      <c r="C23" s="44"/>
      <c r="D23" s="44"/>
      <c r="E23" s="45">
        <f t="shared" si="0"/>
        <v>0</v>
      </c>
      <c r="F23" s="97"/>
      <c r="G23" s="97"/>
      <c r="H23" s="97"/>
      <c r="I23" s="108"/>
      <c r="J23" s="108"/>
      <c r="K23" s="31"/>
      <c r="L23" s="31"/>
      <c r="M23" s="31"/>
      <c r="N23" s="31"/>
      <c r="O23" s="31"/>
      <c r="P23" s="31"/>
      <c r="Q23" s="31"/>
    </row>
    <row r="24" spans="1:17" x14ac:dyDescent="0.25">
      <c r="A24" s="13" t="s">
        <v>17</v>
      </c>
      <c r="B24" s="44"/>
      <c r="C24" s="44"/>
      <c r="D24" s="44"/>
      <c r="E24" s="45">
        <f t="shared" si="0"/>
        <v>0</v>
      </c>
      <c r="F24" s="97"/>
      <c r="G24" s="97"/>
      <c r="H24" s="97"/>
      <c r="I24" s="108"/>
      <c r="J24" s="108"/>
      <c r="K24" s="31"/>
      <c r="L24" s="31"/>
      <c r="M24" s="31"/>
      <c r="N24" s="31"/>
      <c r="O24" s="31"/>
      <c r="P24" s="31"/>
      <c r="Q24" s="31"/>
    </row>
    <row r="25" spans="1:17" hidden="1" x14ac:dyDescent="0.25">
      <c r="A25" s="13" t="s">
        <v>19</v>
      </c>
      <c r="B25" s="44"/>
      <c r="C25" s="44"/>
      <c r="D25" s="44"/>
      <c r="E25" s="45">
        <f t="shared" si="0"/>
        <v>0</v>
      </c>
      <c r="F25" s="97"/>
      <c r="G25" s="97"/>
      <c r="H25" s="97"/>
      <c r="I25" s="108"/>
      <c r="J25" s="108"/>
      <c r="K25" s="31"/>
      <c r="L25" s="31"/>
      <c r="M25" s="31"/>
      <c r="N25" s="31"/>
      <c r="O25" s="31"/>
      <c r="P25" s="31"/>
      <c r="Q25" s="31"/>
    </row>
    <row r="26" spans="1:17" x14ac:dyDescent="0.25">
      <c r="A26" s="13" t="s">
        <v>20</v>
      </c>
      <c r="B26" s="44"/>
      <c r="C26" s="44"/>
      <c r="D26" s="44"/>
      <c r="E26" s="45">
        <f t="shared" si="0"/>
        <v>0</v>
      </c>
      <c r="F26" s="97"/>
      <c r="G26" s="97"/>
      <c r="H26" s="97"/>
      <c r="I26" s="108"/>
      <c r="J26" s="108"/>
      <c r="K26" s="31"/>
      <c r="L26" s="31"/>
      <c r="M26" s="31"/>
      <c r="N26" s="31"/>
      <c r="O26" s="31"/>
      <c r="P26" s="31"/>
      <c r="Q26" s="31"/>
    </row>
    <row r="27" spans="1:17" x14ac:dyDescent="0.25">
      <c r="A27" s="13" t="s">
        <v>83</v>
      </c>
      <c r="B27" s="44"/>
      <c r="C27" s="44"/>
      <c r="D27" s="44"/>
      <c r="E27" s="45">
        <f t="shared" si="0"/>
        <v>0</v>
      </c>
      <c r="F27" s="97"/>
      <c r="G27" s="97"/>
      <c r="H27" s="97"/>
      <c r="I27" s="108"/>
      <c r="J27" s="108"/>
      <c r="K27" s="31"/>
      <c r="L27" s="31"/>
      <c r="M27" s="31"/>
      <c r="N27" s="31"/>
      <c r="O27" s="31"/>
      <c r="P27" s="31"/>
      <c r="Q27" s="31"/>
    </row>
    <row r="28" spans="1:17" ht="15.75" thickBot="1" x14ac:dyDescent="0.3">
      <c r="A28" s="48" t="s">
        <v>21</v>
      </c>
      <c r="B28" s="49">
        <f>B29+B30+B31+B33+B32</f>
        <v>69424.100000000006</v>
      </c>
      <c r="C28" s="50">
        <f>C29+C30+C31+C33</f>
        <v>504027.96999999991</v>
      </c>
      <c r="D28" s="50">
        <f>D29+D30+D31+D33+D32</f>
        <v>456053.08999999997</v>
      </c>
      <c r="E28" s="51">
        <f>C28-D28+B28</f>
        <v>117398.97999999995</v>
      </c>
      <c r="F28" s="97"/>
      <c r="G28" s="97"/>
      <c r="H28" s="97"/>
      <c r="I28" s="31"/>
      <c r="J28" s="31"/>
      <c r="K28" s="31"/>
      <c r="L28" s="31"/>
      <c r="M28" s="31"/>
      <c r="N28" s="31"/>
      <c r="O28" s="31"/>
      <c r="P28" s="31"/>
      <c r="Q28" s="31"/>
    </row>
    <row r="29" spans="1:17" x14ac:dyDescent="0.25">
      <c r="A29" s="52" t="s">
        <v>22</v>
      </c>
      <c r="B29" s="40">
        <v>50695.45</v>
      </c>
      <c r="C29" s="40">
        <f>258857.18+25201.86</f>
        <v>284059.03999999998</v>
      </c>
      <c r="D29" s="40">
        <f>249362.54+8634.97</f>
        <v>257997.51</v>
      </c>
      <c r="E29" s="42">
        <f t="shared" si="0"/>
        <v>76756.979999999967</v>
      </c>
      <c r="F29" s="97"/>
      <c r="G29" s="97"/>
      <c r="H29" s="97"/>
      <c r="I29" s="31"/>
      <c r="J29" s="31"/>
      <c r="K29" s="31"/>
      <c r="L29" s="31"/>
      <c r="M29" s="31"/>
      <c r="N29" s="31"/>
      <c r="O29" s="31"/>
      <c r="P29" s="31"/>
      <c r="Q29" s="31"/>
    </row>
    <row r="30" spans="1:17" x14ac:dyDescent="0.25">
      <c r="A30" s="53" t="s">
        <v>23</v>
      </c>
      <c r="B30" s="43">
        <f>1983.37+10327.96</f>
        <v>12311.329999999998</v>
      </c>
      <c r="C30" s="43">
        <f>102568.36+41136.31+7451.84-5210.25</f>
        <v>145946.25999999998</v>
      </c>
      <c r="D30" s="43">
        <f>87934.36+42047.73+3404.24+1026.25</f>
        <v>134412.57999999999</v>
      </c>
      <c r="E30" s="45">
        <f t="shared" si="0"/>
        <v>23845.009999999991</v>
      </c>
      <c r="F30" s="97"/>
      <c r="G30" s="97"/>
      <c r="H30" s="97"/>
      <c r="I30" s="31"/>
      <c r="J30" s="31"/>
      <c r="K30" s="31"/>
      <c r="L30" s="31"/>
      <c r="M30" s="31"/>
      <c r="N30" s="31"/>
      <c r="O30" s="31"/>
      <c r="P30" s="31"/>
      <c r="Q30" s="31"/>
    </row>
    <row r="31" spans="1:17" x14ac:dyDescent="0.25">
      <c r="A31" s="53" t="s">
        <v>24</v>
      </c>
      <c r="B31" s="43">
        <v>1250.48</v>
      </c>
      <c r="C31" s="43">
        <f>26722.31+397.43</f>
        <v>27119.74</v>
      </c>
      <c r="D31" s="43">
        <f>21707.49+661.77</f>
        <v>22369.260000000002</v>
      </c>
      <c r="E31" s="45">
        <f t="shared" si="0"/>
        <v>6000.9599999999991</v>
      </c>
      <c r="I31" s="31"/>
      <c r="J31" s="31"/>
      <c r="K31" s="31"/>
      <c r="L31" s="31"/>
      <c r="M31" s="31"/>
      <c r="N31" s="31"/>
      <c r="O31" s="31"/>
      <c r="P31" s="31"/>
      <c r="Q31" s="31"/>
    </row>
    <row r="32" spans="1:17" x14ac:dyDescent="0.25">
      <c r="A32" s="53" t="s">
        <v>90</v>
      </c>
      <c r="B32" s="43"/>
      <c r="C32" s="43"/>
      <c r="D32" s="43"/>
      <c r="E32" s="45">
        <f t="shared" si="0"/>
        <v>0</v>
      </c>
      <c r="I32" s="31"/>
      <c r="J32" s="31"/>
      <c r="K32" s="31"/>
      <c r="L32" s="31"/>
      <c r="M32" s="31"/>
      <c r="N32" s="31"/>
      <c r="O32" s="31"/>
      <c r="P32" s="31"/>
      <c r="Q32" s="31"/>
    </row>
    <row r="33" spans="1:17" x14ac:dyDescent="0.25">
      <c r="A33" s="53" t="s">
        <v>25</v>
      </c>
      <c r="B33" s="43">
        <v>5166.84</v>
      </c>
      <c r="C33" s="43">
        <f>46789.56+113.37</f>
        <v>46902.93</v>
      </c>
      <c r="D33" s="43">
        <f>39992.37+1281.37</f>
        <v>41273.740000000005</v>
      </c>
      <c r="E33" s="45">
        <f t="shared" si="0"/>
        <v>10796.029999999995</v>
      </c>
      <c r="I33" s="31"/>
      <c r="J33" s="31"/>
      <c r="K33" s="31"/>
      <c r="L33" s="31"/>
      <c r="M33" s="31"/>
      <c r="N33" s="31"/>
      <c r="O33" s="31"/>
      <c r="P33" s="31"/>
      <c r="Q33" s="31"/>
    </row>
    <row r="34" spans="1:17" hidden="1" x14ac:dyDescent="0.25">
      <c r="A34" s="53"/>
      <c r="B34" s="43"/>
      <c r="C34" s="44"/>
      <c r="D34" s="44"/>
      <c r="E34" s="45">
        <f t="shared" si="0"/>
        <v>0</v>
      </c>
      <c r="I34" s="31"/>
      <c r="J34" s="31"/>
      <c r="K34" s="31"/>
      <c r="L34" s="31"/>
      <c r="M34" s="31"/>
      <c r="N34" s="31"/>
      <c r="O34" s="31"/>
      <c r="P34" s="31"/>
      <c r="Q34" s="31"/>
    </row>
    <row r="35" spans="1:17" x14ac:dyDescent="0.25">
      <c r="A35" s="13" t="s">
        <v>74</v>
      </c>
      <c r="B35" s="54"/>
      <c r="C35" s="55"/>
      <c r="D35" s="55"/>
      <c r="E35" s="45">
        <f t="shared" si="0"/>
        <v>0</v>
      </c>
      <c r="I35" s="31"/>
      <c r="J35" s="31"/>
      <c r="K35" s="31"/>
      <c r="L35" s="31"/>
      <c r="M35" s="31"/>
      <c r="N35" s="31"/>
      <c r="O35" s="31"/>
      <c r="P35" s="31"/>
      <c r="Q35" s="31"/>
    </row>
    <row r="36" spans="1:17" hidden="1" x14ac:dyDescent="0.25">
      <c r="A36" s="13"/>
      <c r="B36" s="44"/>
      <c r="C36" s="44"/>
      <c r="D36" s="44"/>
      <c r="E36" s="45">
        <f>C36-D36+B36</f>
        <v>0</v>
      </c>
      <c r="I36" s="31"/>
      <c r="J36" s="31"/>
      <c r="K36" s="31"/>
      <c r="L36" s="31"/>
      <c r="M36" s="31"/>
      <c r="N36" s="31"/>
      <c r="O36" s="31"/>
      <c r="P36" s="31"/>
      <c r="Q36" s="31"/>
    </row>
    <row r="37" spans="1:17" x14ac:dyDescent="0.25">
      <c r="A37" s="13" t="s">
        <v>155</v>
      </c>
      <c r="B37" s="44"/>
      <c r="C37" s="44"/>
      <c r="D37" s="44"/>
      <c r="E37" s="45">
        <f t="shared" si="0"/>
        <v>0</v>
      </c>
      <c r="I37" s="31"/>
      <c r="J37" s="31"/>
      <c r="K37" s="31"/>
      <c r="L37" s="31"/>
      <c r="M37" s="31"/>
      <c r="N37" s="31"/>
      <c r="O37" s="31"/>
      <c r="P37" s="31"/>
      <c r="Q37" s="31"/>
    </row>
    <row r="38" spans="1:17" ht="15.75" thickBot="1" x14ac:dyDescent="0.3">
      <c r="A38" s="16" t="s">
        <v>28</v>
      </c>
      <c r="B38" s="46"/>
      <c r="C38" s="46"/>
      <c r="D38" s="46"/>
      <c r="E38" s="47">
        <f t="shared" si="0"/>
        <v>0</v>
      </c>
      <c r="I38" s="31"/>
      <c r="J38" s="31"/>
      <c r="K38" s="31"/>
      <c r="L38" s="31"/>
      <c r="M38" s="31"/>
      <c r="N38" s="31"/>
      <c r="O38" s="31"/>
      <c r="P38" s="31"/>
      <c r="Q38" s="31"/>
    </row>
    <row r="39" spans="1:17" ht="15.75" thickBot="1" x14ac:dyDescent="0.3">
      <c r="A39" s="57" t="s">
        <v>29</v>
      </c>
      <c r="B39" s="58">
        <f>B20+B21+B22+B23+B24+B25+B26+B28+B35+B36+B37+B38+B27</f>
        <v>98414.47</v>
      </c>
      <c r="C39" s="58">
        <f>C20+C21+C22+C23+C24+C25+C26+C28+C35+C36+C37+C38</f>
        <v>745742.48</v>
      </c>
      <c r="D39" s="58">
        <f>D20+D21+D22+D23+D24+D25+D26+D28+D35+D36+D37+D38+D27</f>
        <v>677395.2</v>
      </c>
      <c r="E39" s="58">
        <f>E20+E21+E22+E23+E24+E25+E26+E28+E35+E36+E37+E38+E27</f>
        <v>166761.74999999994</v>
      </c>
      <c r="F39" s="3"/>
      <c r="I39" s="31"/>
      <c r="J39" s="31"/>
      <c r="K39" s="31"/>
      <c r="L39" s="31"/>
      <c r="M39" s="31"/>
      <c r="N39" s="31"/>
      <c r="O39" s="31"/>
      <c r="P39" s="31"/>
      <c r="Q39" s="31"/>
    </row>
    <row r="40" spans="1:17" x14ac:dyDescent="0.25">
      <c r="A40" s="59"/>
      <c r="B40" s="60"/>
      <c r="C40" s="56"/>
      <c r="D40" s="122"/>
      <c r="E40" s="122"/>
      <c r="F40" s="123"/>
      <c r="G40" s="124"/>
      <c r="H40" s="124"/>
      <c r="I40" s="31"/>
      <c r="J40" s="31"/>
      <c r="K40" s="31"/>
      <c r="L40" s="31"/>
      <c r="M40" s="31"/>
      <c r="N40" s="31"/>
      <c r="O40" s="31"/>
      <c r="P40" s="31"/>
      <c r="Q40" s="31"/>
    </row>
    <row r="41" spans="1:17" ht="15.75" thickBot="1" x14ac:dyDescent="0.3">
      <c r="A41" s="59"/>
      <c r="B41" s="60"/>
      <c r="C41" s="56"/>
      <c r="D41" s="119"/>
      <c r="E41" s="119"/>
      <c r="F41" s="138"/>
      <c r="G41" s="115"/>
      <c r="H41" s="137"/>
    </row>
    <row r="42" spans="1:17" ht="15.75" thickBot="1" x14ac:dyDescent="0.3">
      <c r="A42" s="61" t="s">
        <v>30</v>
      </c>
      <c r="B42" s="62">
        <f>B44+B59+B60+B57+B62+B58+B61</f>
        <v>800921.1303512</v>
      </c>
      <c r="C42" s="63" t="s">
        <v>31</v>
      </c>
      <c r="D42" s="119">
        <f>C39-B42-B62</f>
        <v>-57256.062115905901</v>
      </c>
      <c r="E42" s="272" t="s">
        <v>32</v>
      </c>
      <c r="F42" s="273">
        <v>5512727.4500000002</v>
      </c>
      <c r="G42" s="274">
        <f>F42/F48*C8</f>
        <v>63623.360334705882</v>
      </c>
      <c r="H42" s="137"/>
    </row>
    <row r="43" spans="1:17" x14ac:dyDescent="0.25">
      <c r="A43" s="59" t="s">
        <v>152</v>
      </c>
      <c r="B43" s="183">
        <v>112534.72</v>
      </c>
      <c r="C43" s="69" t="s">
        <v>31</v>
      </c>
      <c r="D43" s="119"/>
      <c r="E43" s="272" t="s">
        <v>33</v>
      </c>
      <c r="F43" s="273">
        <v>1264951.0900000001</v>
      </c>
      <c r="G43" s="274">
        <f>F43/F48*C8</f>
        <v>14599.023756352944</v>
      </c>
      <c r="H43" s="137"/>
    </row>
    <row r="44" spans="1:17" x14ac:dyDescent="0.25">
      <c r="A44" s="67" t="s">
        <v>34</v>
      </c>
      <c r="B44" s="160">
        <f>B45+B46+B48+B49+B50+B51+B52+B53+B54+B55+B56+B47</f>
        <v>302069.45858649415</v>
      </c>
      <c r="C44" s="69" t="s">
        <v>31</v>
      </c>
      <c r="D44" s="119"/>
      <c r="E44" s="272" t="s">
        <v>35</v>
      </c>
      <c r="F44" s="273">
        <v>180000</v>
      </c>
      <c r="G44" s="274">
        <f>F44/F48*C8</f>
        <v>2077.4117647058824</v>
      </c>
      <c r="H44" s="137"/>
    </row>
    <row r="45" spans="1:17" x14ac:dyDescent="0.25">
      <c r="A45" s="70" t="s">
        <v>76</v>
      </c>
      <c r="B45" s="184">
        <v>72976.19</v>
      </c>
      <c r="C45" s="71" t="s">
        <v>31</v>
      </c>
      <c r="D45" s="119"/>
      <c r="E45" s="272" t="s">
        <v>18</v>
      </c>
      <c r="F45" s="273">
        <f>299837.27</f>
        <v>299837.27</v>
      </c>
      <c r="G45" s="274">
        <f>F45/F48*C8</f>
        <v>3460.4748455294125</v>
      </c>
      <c r="H45" s="137"/>
    </row>
    <row r="46" spans="1:17" x14ac:dyDescent="0.25">
      <c r="A46" s="72" t="s">
        <v>37</v>
      </c>
      <c r="B46" s="184">
        <f>(G42+G43)</f>
        <v>78222.384091058833</v>
      </c>
      <c r="C46" s="71" t="s">
        <v>31</v>
      </c>
      <c r="D46" s="119"/>
      <c r="E46" s="275" t="s">
        <v>38</v>
      </c>
      <c r="F46" s="273">
        <f>7000+1260+30890+4200</f>
        <v>43350</v>
      </c>
      <c r="G46" s="274">
        <f>F46/F48*C8</f>
        <v>500.31</v>
      </c>
      <c r="H46" s="137"/>
    </row>
    <row r="47" spans="1:17" x14ac:dyDescent="0.25">
      <c r="A47" s="72" t="s">
        <v>39</v>
      </c>
      <c r="B47" s="184">
        <v>9600</v>
      </c>
      <c r="C47" s="71" t="s">
        <v>31</v>
      </c>
      <c r="D47" s="119"/>
      <c r="E47" s="274" t="s">
        <v>12</v>
      </c>
      <c r="F47" s="273">
        <f>8022857.59-F46</f>
        <v>7979507.5899999999</v>
      </c>
      <c r="G47" s="274">
        <f>F47/F48*C8</f>
        <v>92092.905244588226</v>
      </c>
      <c r="H47" s="137"/>
    </row>
    <row r="48" spans="1:17" x14ac:dyDescent="0.25">
      <c r="A48" s="70" t="s">
        <v>40</v>
      </c>
      <c r="B48" s="184">
        <f>G46+13548.46</f>
        <v>14048.769999999999</v>
      </c>
      <c r="C48" s="71" t="s">
        <v>31</v>
      </c>
      <c r="D48" s="119"/>
      <c r="E48" s="276" t="s">
        <v>41</v>
      </c>
      <c r="F48" s="277">
        <f>119000</f>
        <v>119000</v>
      </c>
      <c r="G48" s="274"/>
      <c r="H48" s="137"/>
    </row>
    <row r="49" spans="1:8" x14ac:dyDescent="0.25">
      <c r="A49" s="70" t="s">
        <v>42</v>
      </c>
      <c r="B49" s="184">
        <f>G45</f>
        <v>3460.4748455294125</v>
      </c>
      <c r="C49" s="71" t="s">
        <v>31</v>
      </c>
      <c r="D49" s="119"/>
      <c r="E49" s="278"/>
      <c r="F49" s="274"/>
      <c r="G49" s="274"/>
      <c r="H49" s="137"/>
    </row>
    <row r="50" spans="1:8" x14ac:dyDescent="0.25">
      <c r="A50" s="70" t="s">
        <v>43</v>
      </c>
      <c r="B50" s="184">
        <f>G47</f>
        <v>92092.905244588226</v>
      </c>
      <c r="C50" s="71" t="s">
        <v>31</v>
      </c>
      <c r="D50" s="119"/>
      <c r="E50" s="279" t="s">
        <v>70</v>
      </c>
      <c r="F50" s="277">
        <f>1910.32</f>
        <v>1910.32</v>
      </c>
      <c r="G50" s="279">
        <f>F50/F48*C8</f>
        <v>22.047340235294119</v>
      </c>
      <c r="H50" s="137"/>
    </row>
    <row r="51" spans="1:8" x14ac:dyDescent="0.25">
      <c r="A51" s="70" t="s">
        <v>44</v>
      </c>
      <c r="B51" s="184">
        <f>G52</f>
        <v>189.61691294117645</v>
      </c>
      <c r="C51" s="71" t="s">
        <v>31</v>
      </c>
      <c r="D51" s="119"/>
      <c r="E51" s="119"/>
      <c r="F51" s="120"/>
      <c r="G51" s="279"/>
      <c r="H51" s="137"/>
    </row>
    <row r="52" spans="1:8" x14ac:dyDescent="0.25">
      <c r="A52" s="70" t="s">
        <v>45</v>
      </c>
      <c r="B52" s="184">
        <f>G50</f>
        <v>22.047340235294119</v>
      </c>
      <c r="C52" s="71" t="s">
        <v>31</v>
      </c>
      <c r="D52" s="119"/>
      <c r="E52" s="119" t="s">
        <v>125</v>
      </c>
      <c r="F52" s="280">
        <f>16429.6</f>
        <v>16429.599999999999</v>
      </c>
      <c r="G52" s="279">
        <f>F52/F48*C8</f>
        <v>189.61691294117645</v>
      </c>
      <c r="H52" s="137"/>
    </row>
    <row r="53" spans="1:8" x14ac:dyDescent="0.25">
      <c r="A53" s="70" t="s">
        <v>46</v>
      </c>
      <c r="B53" s="184">
        <v>2981.32</v>
      </c>
      <c r="C53" s="71" t="s">
        <v>31</v>
      </c>
      <c r="D53" s="119"/>
      <c r="E53" s="119"/>
      <c r="F53" s="120"/>
      <c r="G53" s="121"/>
      <c r="H53" s="137"/>
    </row>
    <row r="54" spans="1:8" x14ac:dyDescent="0.25">
      <c r="A54" s="191" t="s">
        <v>209</v>
      </c>
      <c r="B54" s="184">
        <v>2950</v>
      </c>
      <c r="C54" s="71" t="s">
        <v>31</v>
      </c>
      <c r="D54" s="119"/>
      <c r="E54" s="119"/>
      <c r="F54" s="120"/>
      <c r="G54" s="121"/>
      <c r="H54" s="137"/>
    </row>
    <row r="55" spans="1:8" x14ac:dyDescent="0.25">
      <c r="A55" s="70" t="s">
        <v>48</v>
      </c>
      <c r="B55" s="184">
        <v>5187.96</v>
      </c>
      <c r="C55" s="71" t="s">
        <v>31</v>
      </c>
      <c r="D55" s="56"/>
      <c r="E55" s="56"/>
      <c r="F55" s="136"/>
      <c r="G55" s="137"/>
      <c r="H55" s="137"/>
    </row>
    <row r="56" spans="1:8" x14ac:dyDescent="0.25">
      <c r="A56" s="70" t="s">
        <v>49</v>
      </c>
      <c r="B56" s="184">
        <f>(B46+B47+B48+B49+B50+B52+B53+B54)*0.1</f>
        <v>20337.79015214118</v>
      </c>
      <c r="C56" s="71" t="s">
        <v>31</v>
      </c>
      <c r="D56" s="56"/>
      <c r="E56" s="56"/>
      <c r="F56" s="136"/>
      <c r="G56" s="137"/>
      <c r="H56" s="137"/>
    </row>
    <row r="57" spans="1:8" x14ac:dyDescent="0.25">
      <c r="A57" s="67" t="s">
        <v>50</v>
      </c>
      <c r="B57" s="160">
        <f>C79</f>
        <v>9393.3700000000008</v>
      </c>
      <c r="C57" s="69" t="s">
        <v>31</v>
      </c>
      <c r="D57" s="122"/>
      <c r="E57" s="122"/>
      <c r="F57" s="123"/>
      <c r="G57" s="124"/>
      <c r="H57" s="124"/>
    </row>
    <row r="58" spans="1:8" x14ac:dyDescent="0.25">
      <c r="A58" s="67" t="s">
        <v>51</v>
      </c>
      <c r="B58" s="160">
        <f>1800</f>
        <v>1800</v>
      </c>
      <c r="C58" s="69" t="s">
        <v>31</v>
      </c>
      <c r="D58" s="122"/>
      <c r="E58" s="122"/>
      <c r="F58" s="123"/>
      <c r="G58" s="124"/>
      <c r="H58" s="124"/>
    </row>
    <row r="59" spans="1:8" x14ac:dyDescent="0.25">
      <c r="A59" s="67" t="s">
        <v>52</v>
      </c>
      <c r="B59" s="160">
        <f>35692.52+36847.36+394330.82+4447.5+14262.69</f>
        <v>485580.89</v>
      </c>
      <c r="C59" s="69" t="s">
        <v>31</v>
      </c>
      <c r="D59" s="56"/>
      <c r="E59" s="56"/>
      <c r="F59" s="3"/>
    </row>
    <row r="60" spans="1:8" x14ac:dyDescent="0.25">
      <c r="A60" s="67" t="s">
        <v>53</v>
      </c>
      <c r="B60" s="160"/>
      <c r="C60" s="69" t="s">
        <v>54</v>
      </c>
      <c r="D60" s="56"/>
      <c r="E60" s="56"/>
      <c r="F60" s="3"/>
    </row>
    <row r="61" spans="1:8" x14ac:dyDescent="0.25">
      <c r="A61" s="133" t="s">
        <v>154</v>
      </c>
      <c r="B61" s="258">
        <f>C37/1.02</f>
        <v>0</v>
      </c>
      <c r="C61" s="135"/>
      <c r="D61" s="56"/>
      <c r="E61" s="56"/>
      <c r="F61" s="3"/>
    </row>
    <row r="62" spans="1:8" ht="15.75" thickBot="1" x14ac:dyDescent="0.3">
      <c r="A62" s="73" t="s">
        <v>78</v>
      </c>
      <c r="B62" s="74">
        <f>G44</f>
        <v>2077.4117647058824</v>
      </c>
      <c r="C62" s="75" t="s">
        <v>31</v>
      </c>
      <c r="D62" s="56"/>
      <c r="E62" s="56"/>
      <c r="F62" s="3"/>
    </row>
    <row r="63" spans="1:8" x14ac:dyDescent="0.25">
      <c r="A63" s="59"/>
      <c r="B63" s="60"/>
      <c r="C63" s="56"/>
      <c r="D63" s="56"/>
      <c r="E63" s="56"/>
      <c r="F63" s="3"/>
    </row>
    <row r="64" spans="1:8" x14ac:dyDescent="0.25">
      <c r="A64" s="59" t="s">
        <v>142</v>
      </c>
      <c r="B64" s="143">
        <f>C39-C24+B43-B42</f>
        <v>57356.069648799952</v>
      </c>
      <c r="C64" s="56" t="s">
        <v>31</v>
      </c>
      <c r="D64" s="56"/>
      <c r="E64" s="56"/>
      <c r="F64" s="3"/>
    </row>
    <row r="65" spans="1:7" x14ac:dyDescent="0.25">
      <c r="A65" s="59" t="s">
        <v>68</v>
      </c>
      <c r="B65" s="2">
        <f>B66+B67+B68+B69+B70+B71</f>
        <v>-55178.650351200122</v>
      </c>
      <c r="C65" s="56" t="s">
        <v>31</v>
      </c>
      <c r="D65" s="56"/>
      <c r="E65" s="56"/>
      <c r="F65" s="3"/>
    </row>
    <row r="66" spans="1:7" x14ac:dyDescent="0.25">
      <c r="A66" s="77" t="s">
        <v>56</v>
      </c>
      <c r="B66" s="78">
        <f>C20-B44-B62</f>
        <v>-62432.360351200019</v>
      </c>
      <c r="C66" s="56" t="s">
        <v>31</v>
      </c>
      <c r="D66" s="56"/>
      <c r="E66" s="56"/>
      <c r="F66" s="3"/>
    </row>
    <row r="67" spans="1:7" x14ac:dyDescent="0.25">
      <c r="A67" s="77" t="s">
        <v>57</v>
      </c>
      <c r="B67" s="78">
        <f>C22-B57</f>
        <v>-9393.3700000000008</v>
      </c>
      <c r="C67" s="56" t="s">
        <v>31</v>
      </c>
      <c r="D67" s="56"/>
      <c r="E67" s="56"/>
      <c r="F67" s="3"/>
    </row>
    <row r="68" spans="1:7" x14ac:dyDescent="0.25">
      <c r="A68" s="77" t="s">
        <v>58</v>
      </c>
      <c r="B68" s="78">
        <f>C26-B58</f>
        <v>-1800</v>
      </c>
      <c r="C68" s="56" t="s">
        <v>31</v>
      </c>
      <c r="D68" s="56"/>
      <c r="E68" s="56"/>
      <c r="F68" s="3"/>
    </row>
    <row r="69" spans="1:7" x14ac:dyDescent="0.25">
      <c r="A69" s="77" t="s">
        <v>59</v>
      </c>
      <c r="B69" s="78">
        <f>C28-B59</f>
        <v>18447.0799999999</v>
      </c>
      <c r="C69" s="56" t="s">
        <v>31</v>
      </c>
      <c r="D69" s="56"/>
      <c r="E69" s="56"/>
      <c r="F69" s="3"/>
    </row>
    <row r="70" spans="1:7" x14ac:dyDescent="0.25">
      <c r="A70" s="77" t="s">
        <v>60</v>
      </c>
      <c r="B70" s="78">
        <f>C35-B60</f>
        <v>0</v>
      </c>
      <c r="C70" s="56" t="s">
        <v>31</v>
      </c>
      <c r="D70" s="56"/>
      <c r="E70" s="56"/>
      <c r="F70" s="3"/>
    </row>
    <row r="71" spans="1:7" x14ac:dyDescent="0.25">
      <c r="A71" s="77" t="s">
        <v>157</v>
      </c>
      <c r="B71" s="78">
        <f>C37-B61</f>
        <v>0</v>
      </c>
      <c r="C71" s="56" t="s">
        <v>31</v>
      </c>
    </row>
    <row r="72" spans="1:7" ht="15.75" thickBot="1" x14ac:dyDescent="0.3">
      <c r="A72" s="77"/>
      <c r="B72" s="78"/>
      <c r="C72" s="56"/>
      <c r="D72" s="98"/>
      <c r="E72" s="99"/>
      <c r="F72" s="100"/>
      <c r="G72" s="97"/>
    </row>
    <row r="73" spans="1:7" ht="15.75" thickBot="1" x14ac:dyDescent="0.3">
      <c r="A73" s="128" t="s">
        <v>146</v>
      </c>
      <c r="B73" s="129"/>
      <c r="C73" s="130"/>
      <c r="D73" s="101"/>
      <c r="E73" s="101"/>
      <c r="F73" s="101"/>
      <c r="G73" s="97"/>
    </row>
    <row r="74" spans="1:7" ht="51.75" thickBot="1" x14ac:dyDescent="0.3">
      <c r="A74" s="79" t="s">
        <v>80</v>
      </c>
      <c r="B74" s="80" t="s">
        <v>61</v>
      </c>
      <c r="C74" s="81" t="s">
        <v>67</v>
      </c>
      <c r="D74" s="102"/>
      <c r="E74" s="103"/>
      <c r="F74" s="104"/>
      <c r="G74" s="97"/>
    </row>
    <row r="75" spans="1:7" x14ac:dyDescent="0.25">
      <c r="A75" s="82" t="s">
        <v>62</v>
      </c>
      <c r="B75" s="113" t="s">
        <v>31</v>
      </c>
      <c r="C75" s="114" t="s">
        <v>31</v>
      </c>
      <c r="D75" s="102"/>
      <c r="E75" s="103"/>
      <c r="F75" s="104"/>
      <c r="G75" s="97"/>
    </row>
    <row r="76" spans="1:7" x14ac:dyDescent="0.25">
      <c r="A76" s="76" t="s">
        <v>179</v>
      </c>
      <c r="B76" s="43"/>
      <c r="C76" s="185">
        <v>6500</v>
      </c>
      <c r="D76" s="102"/>
      <c r="E76" s="103"/>
      <c r="F76" s="104"/>
      <c r="G76" s="97"/>
    </row>
    <row r="77" spans="1:7" x14ac:dyDescent="0.25">
      <c r="A77" s="53" t="s">
        <v>188</v>
      </c>
      <c r="B77" s="43"/>
      <c r="C77" s="185">
        <v>2750</v>
      </c>
      <c r="D77" s="102"/>
      <c r="E77" s="103"/>
      <c r="F77" s="104"/>
      <c r="G77" s="97"/>
    </row>
    <row r="78" spans="1:7" x14ac:dyDescent="0.25">
      <c r="A78" s="53" t="s">
        <v>189</v>
      </c>
      <c r="B78" s="43"/>
      <c r="C78" s="185">
        <v>143.37</v>
      </c>
      <c r="D78" s="102"/>
      <c r="E78" s="103"/>
      <c r="F78" s="104"/>
      <c r="G78" s="97"/>
    </row>
    <row r="79" spans="1:7" ht="15.75" thickBot="1" x14ac:dyDescent="0.3">
      <c r="A79" s="145" t="s">
        <v>5</v>
      </c>
      <c r="B79" s="146">
        <f>B76</f>
        <v>0</v>
      </c>
      <c r="C79" s="147">
        <f>C76+C77+C78</f>
        <v>9393.3700000000008</v>
      </c>
      <c r="D79" s="105"/>
      <c r="E79" s="103"/>
      <c r="F79" s="104"/>
      <c r="G79" s="97"/>
    </row>
    <row r="80" spans="1:7" x14ac:dyDescent="0.25">
      <c r="A80" s="31"/>
      <c r="B80" s="33"/>
      <c r="C80" s="87"/>
      <c r="D80" s="105"/>
      <c r="E80" s="103"/>
      <c r="F80" s="104"/>
      <c r="G80" s="97"/>
    </row>
    <row r="81" spans="1:6" x14ac:dyDescent="0.25">
      <c r="A81" s="164" t="s">
        <v>132</v>
      </c>
      <c r="B81" s="149"/>
      <c r="C81" s="215"/>
      <c r="D81" s="216"/>
      <c r="E81" s="89"/>
    </row>
    <row r="82" spans="1:6" x14ac:dyDescent="0.25">
      <c r="A82" s="217"/>
      <c r="B82" s="149"/>
      <c r="C82" s="215"/>
      <c r="D82" s="218"/>
      <c r="E82" s="89"/>
    </row>
    <row r="83" spans="1:6" x14ac:dyDescent="0.25">
      <c r="A83" s="165" t="s">
        <v>133</v>
      </c>
      <c r="B83" s="149" t="s">
        <v>134</v>
      </c>
      <c r="C83" s="219"/>
      <c r="D83" s="216"/>
      <c r="E83" s="89"/>
    </row>
    <row r="84" spans="1:6" x14ac:dyDescent="0.25">
      <c r="A84" s="165"/>
      <c r="B84" s="149"/>
      <c r="C84" s="219"/>
      <c r="D84" s="216"/>
      <c r="E84" s="89"/>
    </row>
    <row r="85" spans="1:6" x14ac:dyDescent="0.25">
      <c r="A85" s="220"/>
      <c r="B85" s="221"/>
      <c r="C85" s="219"/>
      <c r="D85" s="150"/>
      <c r="E85" s="56"/>
    </row>
    <row r="86" spans="1:6" ht="15.75" x14ac:dyDescent="0.25">
      <c r="A86" s="223" t="s">
        <v>63</v>
      </c>
      <c r="B86" s="224" t="s">
        <v>134</v>
      </c>
      <c r="C86" s="225"/>
      <c r="D86" s="226" t="s">
        <v>66</v>
      </c>
      <c r="E86" s="56"/>
    </row>
    <row r="87" spans="1:6" x14ac:dyDescent="0.25">
      <c r="A87" s="91"/>
      <c r="B87" s="92"/>
      <c r="C87" s="87"/>
      <c r="D87" s="88"/>
      <c r="E87" s="89"/>
    </row>
    <row r="88" spans="1:6" x14ac:dyDescent="0.25">
      <c r="A88" s="31"/>
      <c r="B88" s="33"/>
      <c r="C88" s="89"/>
      <c r="D88" s="88"/>
      <c r="E88" s="89"/>
    </row>
    <row r="89" spans="1:6" x14ac:dyDescent="0.25">
      <c r="A89" s="31"/>
      <c r="B89" s="33"/>
      <c r="C89" s="89"/>
      <c r="D89" s="93"/>
      <c r="E89" s="89"/>
    </row>
    <row r="90" spans="1:6" x14ac:dyDescent="0.25">
      <c r="A90" s="95"/>
      <c r="B90" s="96"/>
      <c r="C90" s="89"/>
      <c r="D90" s="93"/>
      <c r="E90" s="89"/>
    </row>
    <row r="91" spans="1:6" x14ac:dyDescent="0.25">
      <c r="A91" s="95"/>
      <c r="B91" s="96"/>
      <c r="C91" s="89"/>
      <c r="D91" s="93"/>
      <c r="E91" s="89"/>
      <c r="F91" s="94"/>
    </row>
    <row r="92" spans="1:6" x14ac:dyDescent="0.25">
      <c r="A92" s="31"/>
      <c r="B92" s="33"/>
      <c r="C92" s="89"/>
      <c r="D92" s="93"/>
      <c r="E92" s="89"/>
    </row>
    <row r="93" spans="1:6" x14ac:dyDescent="0.25">
      <c r="A93" s="31"/>
      <c r="B93" s="33"/>
      <c r="C93" s="56"/>
      <c r="D93" s="87"/>
      <c r="E93" s="89"/>
    </row>
    <row r="94" spans="1:6" x14ac:dyDescent="0.25">
      <c r="A94" s="19"/>
      <c r="B94" s="20"/>
      <c r="C94" s="89"/>
      <c r="D94" s="87"/>
      <c r="E94" s="89"/>
    </row>
    <row r="95" spans="1:6" x14ac:dyDescent="0.25">
      <c r="A95" s="31"/>
      <c r="B95" s="33"/>
      <c r="C95" s="89"/>
      <c r="D95" s="56"/>
      <c r="E95" s="56"/>
      <c r="F95" s="3"/>
    </row>
    <row r="96" spans="1:6" x14ac:dyDescent="0.25">
      <c r="A96" s="31"/>
      <c r="B96" s="33"/>
      <c r="C96" s="33"/>
      <c r="D96" s="56"/>
      <c r="E96" s="89"/>
    </row>
    <row r="97" spans="1:6" x14ac:dyDescent="0.25">
      <c r="A97" s="31"/>
      <c r="B97" s="33"/>
      <c r="C97" s="33"/>
      <c r="D97" s="56"/>
      <c r="E97" s="56"/>
    </row>
    <row r="98" spans="1:6" x14ac:dyDescent="0.25">
      <c r="A98" s="31"/>
      <c r="B98" s="33"/>
      <c r="C98" s="33"/>
      <c r="D98" s="89"/>
      <c r="E98" s="89"/>
    </row>
    <row r="99" spans="1:6" x14ac:dyDescent="0.25">
      <c r="A99" s="31"/>
      <c r="B99" s="33"/>
      <c r="D99" s="89"/>
      <c r="E99" s="89"/>
    </row>
    <row r="100" spans="1:6" x14ac:dyDescent="0.25">
      <c r="D100" s="89"/>
      <c r="E100" s="89"/>
    </row>
    <row r="101" spans="1:6" x14ac:dyDescent="0.25">
      <c r="D101" s="89"/>
      <c r="E101" s="89"/>
    </row>
    <row r="102" spans="1:6" x14ac:dyDescent="0.25">
      <c r="D102" s="89"/>
      <c r="E102" s="89"/>
    </row>
    <row r="103" spans="1:6" x14ac:dyDescent="0.25">
      <c r="D103" s="89"/>
      <c r="E103" s="89"/>
    </row>
    <row r="104" spans="1:6" x14ac:dyDescent="0.25">
      <c r="B104"/>
      <c r="C104"/>
      <c r="D104" s="56"/>
      <c r="E104" s="56"/>
      <c r="F104" s="3"/>
    </row>
    <row r="105" spans="1:6" x14ac:dyDescent="0.25">
      <c r="B105"/>
      <c r="C105"/>
      <c r="D105" s="89"/>
      <c r="E105" s="89"/>
      <c r="F105" s="3"/>
    </row>
    <row r="106" spans="1:6" x14ac:dyDescent="0.25">
      <c r="B106"/>
      <c r="C106"/>
      <c r="D106" s="89"/>
      <c r="E106" s="89"/>
    </row>
    <row r="107" spans="1:6" x14ac:dyDescent="0.25">
      <c r="B107"/>
      <c r="C107"/>
      <c r="D107" s="33"/>
      <c r="E107" s="33"/>
    </row>
    <row r="108" spans="1:6" x14ac:dyDescent="0.25">
      <c r="B108"/>
      <c r="C108"/>
      <c r="D108" s="33"/>
      <c r="E108" s="33"/>
    </row>
    <row r="109" spans="1:6" x14ac:dyDescent="0.25">
      <c r="D109" s="33"/>
      <c r="E109" s="33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V105"/>
  <sheetViews>
    <sheetView view="pageBreakPreview" topLeftCell="A53" zoomScale="60" zoomScaleNormal="100" workbookViewId="0">
      <selection activeCell="E19" sqref="E19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151</v>
      </c>
      <c r="B2" s="2"/>
      <c r="C2" s="2"/>
      <c r="D2" s="2"/>
    </row>
    <row r="3" spans="1:22" ht="15.75" thickBot="1" x14ac:dyDescent="0.3">
      <c r="A3" s="1"/>
      <c r="B3" s="2"/>
      <c r="C3" s="2"/>
      <c r="D3" s="2"/>
      <c r="L3" s="108"/>
      <c r="M3" s="108"/>
      <c r="N3" s="108"/>
      <c r="O3" s="108"/>
    </row>
    <row r="4" spans="1:22" ht="15.75" thickBot="1" x14ac:dyDescent="0.3">
      <c r="A4" s="22" t="s">
        <v>0</v>
      </c>
      <c r="B4" s="126"/>
      <c r="C4" s="126"/>
      <c r="D4" s="127"/>
      <c r="L4" s="108"/>
      <c r="M4" s="108"/>
      <c r="N4" s="108"/>
      <c r="O4" s="108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L5" s="108"/>
      <c r="M5" s="108"/>
      <c r="N5" s="108"/>
      <c r="O5" s="108"/>
    </row>
    <row r="6" spans="1:22" x14ac:dyDescent="0.25">
      <c r="A6" s="10" t="s">
        <v>96</v>
      </c>
      <c r="B6" s="11"/>
      <c r="C6" s="11">
        <v>980.6</v>
      </c>
      <c r="D6" s="12">
        <v>37</v>
      </c>
      <c r="L6" s="108"/>
      <c r="M6" s="108"/>
      <c r="N6" s="108"/>
      <c r="O6" s="108"/>
    </row>
    <row r="7" spans="1:22" x14ac:dyDescent="0.25">
      <c r="A7" s="13"/>
      <c r="B7" s="14"/>
      <c r="C7" s="14"/>
      <c r="D7" s="15"/>
      <c r="L7" s="108"/>
      <c r="M7" s="108"/>
      <c r="N7" s="108"/>
      <c r="O7" s="108"/>
    </row>
    <row r="8" spans="1:22" ht="15.75" thickBot="1" x14ac:dyDescent="0.3">
      <c r="A8" s="16" t="s">
        <v>5</v>
      </c>
      <c r="B8" s="17"/>
      <c r="C8" s="17">
        <f>C6+C7</f>
        <v>980.6</v>
      </c>
      <c r="D8" s="18">
        <f>D6</f>
        <v>37</v>
      </c>
      <c r="L8" s="108"/>
      <c r="M8" s="108"/>
      <c r="N8" s="108"/>
      <c r="O8" s="108"/>
    </row>
    <row r="9" spans="1:22" ht="15.75" thickBot="1" x14ac:dyDescent="0.3">
      <c r="A9" s="19"/>
      <c r="B9" s="20"/>
      <c r="C9" s="20"/>
      <c r="D9" s="21"/>
      <c r="L9" s="108"/>
      <c r="M9" s="108"/>
      <c r="N9" s="108"/>
      <c r="O9" s="108"/>
    </row>
    <row r="10" spans="1:22" ht="15.75" thickBot="1" x14ac:dyDescent="0.3">
      <c r="A10" s="22" t="s">
        <v>112</v>
      </c>
      <c r="B10" s="23"/>
      <c r="C10" s="23"/>
      <c r="D10" s="24" t="s">
        <v>6</v>
      </c>
      <c r="F10" s="97"/>
      <c r="G10" s="97"/>
      <c r="H10" s="97"/>
      <c r="I10" s="97"/>
      <c r="J10" s="97"/>
      <c r="K10" s="97"/>
      <c r="L10" s="108"/>
      <c r="M10" s="108"/>
      <c r="N10" s="108"/>
      <c r="O10" s="108"/>
    </row>
    <row r="11" spans="1:22" x14ac:dyDescent="0.25">
      <c r="A11" s="25" t="s">
        <v>7</v>
      </c>
      <c r="B11" s="20"/>
      <c r="C11" s="20"/>
      <c r="D11" s="27">
        <v>13.95</v>
      </c>
      <c r="F11" s="97"/>
      <c r="G11" s="97"/>
      <c r="H11" s="97"/>
      <c r="I11" s="97"/>
      <c r="J11" s="97"/>
      <c r="K11" s="97"/>
      <c r="L11" s="108"/>
      <c r="M11" s="108"/>
      <c r="N11" s="108"/>
      <c r="O11" s="108"/>
    </row>
    <row r="12" spans="1:22" x14ac:dyDescent="0.25">
      <c r="A12" s="25" t="s">
        <v>8</v>
      </c>
      <c r="B12" s="20"/>
      <c r="C12" s="20"/>
      <c r="D12" s="27">
        <v>9.1</v>
      </c>
      <c r="F12" s="97"/>
      <c r="G12" s="97"/>
      <c r="H12" s="97"/>
      <c r="I12" s="97"/>
      <c r="J12" s="97"/>
      <c r="K12" s="97"/>
      <c r="L12" s="108"/>
      <c r="M12" s="108"/>
      <c r="N12" s="108"/>
      <c r="O12" s="108"/>
    </row>
    <row r="13" spans="1:22" x14ac:dyDescent="0.25">
      <c r="A13" s="25" t="s">
        <v>9</v>
      </c>
      <c r="B13" s="20"/>
      <c r="C13" s="20"/>
      <c r="D13" s="26">
        <v>0</v>
      </c>
      <c r="F13" s="97"/>
      <c r="G13" s="97"/>
      <c r="H13" s="97"/>
      <c r="I13" s="97"/>
      <c r="J13" s="97"/>
      <c r="K13" s="97"/>
      <c r="L13" s="108"/>
      <c r="M13" s="108"/>
      <c r="N13" s="108"/>
      <c r="O13" s="108"/>
    </row>
    <row r="14" spans="1:22" ht="15.75" thickBot="1" x14ac:dyDescent="0.3">
      <c r="A14" s="28" t="s">
        <v>10</v>
      </c>
      <c r="B14" s="29"/>
      <c r="C14" s="29"/>
      <c r="D14" s="30">
        <v>0</v>
      </c>
      <c r="F14" s="97"/>
      <c r="G14" s="97"/>
      <c r="H14" s="97"/>
      <c r="I14" s="97"/>
      <c r="J14" s="97"/>
      <c r="K14" s="97"/>
      <c r="L14" s="108"/>
      <c r="M14" s="108"/>
      <c r="N14" s="108"/>
      <c r="O14" s="108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97"/>
      <c r="G15" s="97"/>
      <c r="H15" s="97"/>
      <c r="I15" s="97"/>
      <c r="J15" s="97"/>
      <c r="K15" s="97"/>
      <c r="L15" s="108"/>
      <c r="M15" s="108"/>
      <c r="N15" s="108"/>
      <c r="O15" s="108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113</v>
      </c>
      <c r="B16" s="126"/>
      <c r="C16" s="126"/>
      <c r="D16" s="126"/>
      <c r="E16" s="127"/>
      <c r="F16" s="97"/>
      <c r="G16" s="97"/>
      <c r="H16" s="97"/>
      <c r="I16" s="97"/>
      <c r="J16" s="97"/>
      <c r="K16" s="97"/>
      <c r="L16" s="108"/>
      <c r="M16" s="109"/>
      <c r="N16" s="109"/>
      <c r="O16" s="108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39"/>
      <c r="F17" s="97"/>
      <c r="G17" s="97"/>
      <c r="H17" s="97"/>
      <c r="I17" s="97"/>
      <c r="J17" s="97"/>
      <c r="K17" s="97"/>
      <c r="L17" s="109"/>
      <c r="M17" s="110"/>
      <c r="N17" s="109"/>
      <c r="O17" s="108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39"/>
      <c r="F18" s="97"/>
      <c r="G18" s="97"/>
      <c r="H18" s="97"/>
      <c r="I18" s="97"/>
      <c r="J18" s="97"/>
      <c r="K18" s="97"/>
      <c r="L18" s="108"/>
      <c r="M18" s="108"/>
      <c r="N18" s="108"/>
      <c r="O18" s="108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114</v>
      </c>
      <c r="C19" s="38" t="s">
        <v>115</v>
      </c>
      <c r="D19" s="38" t="s">
        <v>116</v>
      </c>
      <c r="E19" s="39" t="s">
        <v>117</v>
      </c>
      <c r="F19" s="97"/>
      <c r="G19" s="97"/>
      <c r="H19" s="97"/>
      <c r="I19" s="97"/>
      <c r="J19" s="97"/>
      <c r="K19" s="97"/>
      <c r="L19" s="108"/>
      <c r="M19" s="111"/>
      <c r="N19" s="111"/>
      <c r="O19" s="108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>
        <f>23622.05</f>
        <v>23622.05</v>
      </c>
      <c r="C20" s="41">
        <f>158109.76-1501.08</f>
        <v>156608.68000000002</v>
      </c>
      <c r="D20" s="40">
        <f>149026.48+1221.79</f>
        <v>150248.27000000002</v>
      </c>
      <c r="E20" s="42">
        <f t="shared" ref="E20:E38" si="0">C20-D20+B20</f>
        <v>29982.460000000003</v>
      </c>
      <c r="F20" s="116">
        <f>C20+F22</f>
        <v>174484.72000000003</v>
      </c>
      <c r="G20" s="117">
        <f>100</f>
        <v>100</v>
      </c>
      <c r="H20" s="115" t="s">
        <v>64</v>
      </c>
      <c r="I20" s="97"/>
      <c r="J20" s="97"/>
      <c r="K20" s="97"/>
      <c r="L20" s="108"/>
      <c r="M20" s="108"/>
      <c r="N20" s="108"/>
      <c r="O20" s="108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16"/>
      <c r="G21" s="117"/>
      <c r="H21" s="115"/>
      <c r="I21" s="97"/>
      <c r="J21" s="97"/>
      <c r="K21" s="97"/>
      <c r="L21" s="108"/>
      <c r="M21" s="108"/>
      <c r="N21" s="108"/>
      <c r="O21" s="108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>
        <f>15409.29</f>
        <v>15409.29</v>
      </c>
      <c r="C22" s="44">
        <f>107056.04-89180</f>
        <v>17876.039999999994</v>
      </c>
      <c r="D22" s="43">
        <f>66991.94+874.17</f>
        <v>67866.11</v>
      </c>
      <c r="E22" s="45">
        <f t="shared" si="0"/>
        <v>-34580.780000000006</v>
      </c>
      <c r="F22" s="116">
        <f>C22</f>
        <v>17876.039999999994</v>
      </c>
      <c r="G22" s="118">
        <f>F22*G20/F20</f>
        <v>10.245046099165583</v>
      </c>
      <c r="H22" s="115" t="s">
        <v>64</v>
      </c>
      <c r="I22" s="97"/>
      <c r="J22" s="97"/>
      <c r="K22" s="97"/>
      <c r="L22" s="108"/>
      <c r="M22" s="108"/>
      <c r="N22" s="111"/>
      <c r="O22" s="108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97"/>
      <c r="G23" s="97"/>
      <c r="H23" s="97"/>
      <c r="I23" s="97"/>
      <c r="J23" s="97"/>
      <c r="K23" s="97"/>
      <c r="L23" s="108"/>
      <c r="M23" s="108"/>
      <c r="N23" s="108"/>
      <c r="O23" s="108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44">
        <f>507929.88-105524.49</f>
        <v>402405.39</v>
      </c>
      <c r="D24" s="44">
        <f>406979.22+9870.46</f>
        <v>416849.68</v>
      </c>
      <c r="E24" s="45">
        <f t="shared" si="0"/>
        <v>-14444.289999999979</v>
      </c>
      <c r="F24" s="97"/>
      <c r="G24" s="97"/>
      <c r="H24" s="97"/>
      <c r="I24" s="97"/>
      <c r="J24" s="97"/>
      <c r="K24" s="97"/>
      <c r="L24" s="108"/>
      <c r="M24" s="108"/>
      <c r="N24" s="108"/>
      <c r="O24" s="108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97"/>
      <c r="G25" s="97"/>
      <c r="H25" s="97"/>
      <c r="I25" s="97"/>
      <c r="J25" s="97"/>
      <c r="K25" s="97"/>
      <c r="L25" s="108"/>
      <c r="M25" s="108"/>
      <c r="N25" s="108"/>
      <c r="O25" s="108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/>
      <c r="C26" s="44"/>
      <c r="D26" s="44"/>
      <c r="E26" s="45">
        <f t="shared" si="0"/>
        <v>0</v>
      </c>
      <c r="F26" s="97"/>
      <c r="G26" s="97"/>
      <c r="H26" s="97"/>
      <c r="I26" s="97"/>
      <c r="J26" s="97"/>
      <c r="K26" s="97"/>
      <c r="L26" s="108"/>
      <c r="M26" s="108"/>
      <c r="N26" s="108"/>
      <c r="O26" s="108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83</v>
      </c>
      <c r="B27" s="44"/>
      <c r="C27" s="44"/>
      <c r="D27" s="44"/>
      <c r="E27" s="45">
        <f t="shared" si="0"/>
        <v>0</v>
      </c>
      <c r="F27" s="97"/>
      <c r="G27" s="97"/>
      <c r="H27" s="97"/>
      <c r="I27" s="97"/>
      <c r="J27" s="97"/>
      <c r="K27" s="97"/>
      <c r="L27" s="108"/>
      <c r="M27" s="108"/>
      <c r="N27" s="108"/>
      <c r="O27" s="108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70379.88</v>
      </c>
      <c r="C28" s="50">
        <f>C29+C30+C31+C33</f>
        <v>466954.92000000004</v>
      </c>
      <c r="D28" s="50">
        <f>D29+D30+D31+D33+D32</f>
        <v>443080.13999999996</v>
      </c>
      <c r="E28" s="51">
        <f>C28-D28+B28</f>
        <v>94254.660000000091</v>
      </c>
      <c r="F28" s="97"/>
      <c r="G28" s="97"/>
      <c r="H28" s="97"/>
      <c r="I28" s="97"/>
      <c r="J28" s="97"/>
      <c r="K28" s="97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40">
        <f>42502.55</f>
        <v>42502.55</v>
      </c>
      <c r="C29" s="40">
        <f>304817.32</f>
        <v>304817.32</v>
      </c>
      <c r="D29" s="40">
        <f>282551.44+2471.92</f>
        <v>285023.35999999999</v>
      </c>
      <c r="E29" s="42">
        <f t="shared" si="0"/>
        <v>62296.510000000024</v>
      </c>
      <c r="F29" s="97"/>
      <c r="G29" s="97"/>
      <c r="H29" s="97"/>
      <c r="I29" s="97"/>
      <c r="J29" s="97"/>
      <c r="K29" s="97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23</v>
      </c>
      <c r="B30" s="43">
        <f>464.92+16623.27</f>
        <v>17088.189999999999</v>
      </c>
      <c r="C30" s="43">
        <f>13663.42+90819.52-3937.65+1200.16</f>
        <v>101745.45000000001</v>
      </c>
      <c r="D30" s="43">
        <f>11081.98+87191.63+22.95+558.87+728.28+7.64</f>
        <v>99591.349999999991</v>
      </c>
      <c r="E30" s="45">
        <f t="shared" si="0"/>
        <v>19242.290000000019</v>
      </c>
      <c r="F30" s="97"/>
      <c r="G30" s="97"/>
      <c r="H30" s="97"/>
      <c r="I30" s="97"/>
      <c r="J30" s="97"/>
      <c r="K30" s="97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43">
        <f>3891.04</f>
        <v>3891.04</v>
      </c>
      <c r="C31" s="43">
        <f>22982.7-892.8+176.56</f>
        <v>22266.460000000003</v>
      </c>
      <c r="D31" s="43">
        <f>21088.73+132.8+107.13+1.13</f>
        <v>21329.79</v>
      </c>
      <c r="E31" s="45">
        <f t="shared" si="0"/>
        <v>4827.7100000000019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53" t="s">
        <v>90</v>
      </c>
      <c r="B32" s="43"/>
      <c r="C32" s="43"/>
      <c r="D32" s="43"/>
      <c r="E32" s="45">
        <f t="shared" si="0"/>
        <v>0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43">
        <f>6898.1</f>
        <v>6898.1</v>
      </c>
      <c r="C33" s="43">
        <f>39625.48-1499.79</f>
        <v>38125.69</v>
      </c>
      <c r="D33" s="43">
        <f>36908.62+227.02</f>
        <v>37135.64</v>
      </c>
      <c r="E33" s="45">
        <f t="shared" si="0"/>
        <v>7888.1500000000033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74</v>
      </c>
      <c r="B35" s="54"/>
      <c r="C35" s="55"/>
      <c r="D35" s="55"/>
      <c r="E35" s="45">
        <f t="shared" si="0"/>
        <v>0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155</v>
      </c>
      <c r="B37" s="44"/>
      <c r="C37" s="44"/>
      <c r="D37" s="44"/>
      <c r="E37" s="45">
        <f t="shared" si="0"/>
        <v>0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/>
      <c r="C38" s="46"/>
      <c r="D38" s="46"/>
      <c r="E38" s="47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109411.22</v>
      </c>
      <c r="C39" s="58">
        <f>C20+C21+C22+C23+C24+C25+C26+C28+C35+C36+C37+C38</f>
        <v>1043845.0300000001</v>
      </c>
      <c r="D39" s="58">
        <f>D20+D21+D22+D23+D24+D25+D26+D28+D35+D36+D37+D38+D27</f>
        <v>1078044.2</v>
      </c>
      <c r="E39" s="58">
        <f>E20+E21+E22+E23+E24+E25+E26+E28+E35+E36+E37+E38+E27</f>
        <v>75212.050000000105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59"/>
      <c r="B40" s="60"/>
      <c r="C40" s="56"/>
      <c r="D40" s="101"/>
      <c r="E40" s="101"/>
      <c r="F40" s="125"/>
      <c r="G40" s="97"/>
      <c r="H40" s="97"/>
      <c r="I40" s="97"/>
      <c r="J40" s="137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59"/>
      <c r="B41" s="60"/>
      <c r="C41" s="56"/>
      <c r="D41" s="119"/>
      <c r="E41" s="119"/>
      <c r="F41" s="138"/>
      <c r="G41" s="115"/>
      <c r="H41" s="115"/>
      <c r="I41" s="97"/>
      <c r="J41" s="137"/>
    </row>
    <row r="42" spans="1:22" ht="15.75" thickBot="1" x14ac:dyDescent="0.3">
      <c r="A42" s="61" t="s">
        <v>30</v>
      </c>
      <c r="B42" s="62">
        <f>B44+B59+B60+B57+B62+B58+B61</f>
        <v>553340.49160651432</v>
      </c>
      <c r="C42" s="63" t="s">
        <v>31</v>
      </c>
      <c r="D42" s="119">
        <f>C39-B42-B62</f>
        <v>489021.27788928413</v>
      </c>
      <c r="E42" s="272" t="s">
        <v>32</v>
      </c>
      <c r="F42" s="273">
        <v>5512727.4500000002</v>
      </c>
      <c r="G42" s="274">
        <f>F42/F48*C8</f>
        <v>45426.727205630254</v>
      </c>
      <c r="H42" s="115"/>
      <c r="I42" s="97"/>
      <c r="J42" s="137"/>
    </row>
    <row r="43" spans="1:22" x14ac:dyDescent="0.25">
      <c r="A43" s="59" t="s">
        <v>152</v>
      </c>
      <c r="B43" s="183">
        <v>45562.84</v>
      </c>
      <c r="C43" s="69" t="s">
        <v>31</v>
      </c>
      <c r="D43" s="119"/>
      <c r="E43" s="272" t="s">
        <v>33</v>
      </c>
      <c r="F43" s="273">
        <v>1264951.0900000001</v>
      </c>
      <c r="G43" s="274">
        <f>F43/F48*C8</f>
        <v>10423.6221752437</v>
      </c>
      <c r="H43" s="115"/>
      <c r="I43" s="97"/>
      <c r="J43" s="137"/>
    </row>
    <row r="44" spans="1:22" x14ac:dyDescent="0.25">
      <c r="A44" s="67" t="s">
        <v>34</v>
      </c>
      <c r="B44" s="160">
        <f>B45+B46+B48+B49+B50+B51+B52+B53+B54+B55+B56+B47</f>
        <v>170823.90110231261</v>
      </c>
      <c r="C44" s="69" t="s">
        <v>31</v>
      </c>
      <c r="D44" s="119"/>
      <c r="E44" s="272" t="s">
        <v>35</v>
      </c>
      <c r="F44" s="273">
        <v>180000</v>
      </c>
      <c r="G44" s="274">
        <f>F44/F48*C8</f>
        <v>1483.2605042016808</v>
      </c>
      <c r="H44" s="115"/>
      <c r="I44" s="97"/>
      <c r="J44" s="137"/>
      <c r="K44" s="94"/>
    </row>
    <row r="45" spans="1:22" x14ac:dyDescent="0.25">
      <c r="A45" s="70" t="s">
        <v>76</v>
      </c>
      <c r="B45" s="184">
        <v>16418.009999999998</v>
      </c>
      <c r="C45" s="71" t="s">
        <v>31</v>
      </c>
      <c r="D45" s="119"/>
      <c r="E45" s="272" t="s">
        <v>18</v>
      </c>
      <c r="F45" s="273">
        <f>299837.27</f>
        <v>299837.27</v>
      </c>
      <c r="G45" s="274">
        <f>F45/F48*C8</f>
        <v>2470.7598904369752</v>
      </c>
      <c r="H45" s="115"/>
      <c r="I45" s="97"/>
      <c r="J45" s="137"/>
    </row>
    <row r="46" spans="1:22" x14ac:dyDescent="0.25">
      <c r="A46" s="72" t="s">
        <v>37</v>
      </c>
      <c r="B46" s="184">
        <f>(G42+G43)</f>
        <v>55850.349380873951</v>
      </c>
      <c r="C46" s="71" t="s">
        <v>31</v>
      </c>
      <c r="D46" s="119"/>
      <c r="E46" s="275" t="s">
        <v>38</v>
      </c>
      <c r="F46" s="273">
        <f>7000+1260+30890+4200</f>
        <v>43350</v>
      </c>
      <c r="G46" s="274">
        <f>F46/F48*C8</f>
        <v>357.21857142857141</v>
      </c>
      <c r="H46" s="115"/>
      <c r="I46" s="97"/>
      <c r="J46" s="137"/>
    </row>
    <row r="47" spans="1:22" x14ac:dyDescent="0.25">
      <c r="A47" s="72" t="s">
        <v>39</v>
      </c>
      <c r="B47" s="184">
        <v>7200</v>
      </c>
      <c r="C47" s="71" t="s">
        <v>31</v>
      </c>
      <c r="D47" s="119"/>
      <c r="E47" s="274" t="s">
        <v>12</v>
      </c>
      <c r="F47" s="273">
        <f>8022857.59-F46</f>
        <v>7979507.5899999999</v>
      </c>
      <c r="G47" s="274">
        <f>F47/F48*C8</f>
        <v>65753.824729025204</v>
      </c>
      <c r="H47" s="115"/>
      <c r="I47" s="97"/>
      <c r="J47" s="137"/>
    </row>
    <row r="48" spans="1:22" x14ac:dyDescent="0.25">
      <c r="A48" s="70" t="s">
        <v>40</v>
      </c>
      <c r="B48" s="184">
        <f>G46+1811.1+140</f>
        <v>2308.3185714285714</v>
      </c>
      <c r="C48" s="71" t="s">
        <v>31</v>
      </c>
      <c r="D48" s="119"/>
      <c r="E48" s="276" t="s">
        <v>41</v>
      </c>
      <c r="F48" s="277">
        <f>119000</f>
        <v>119000</v>
      </c>
      <c r="G48" s="274"/>
      <c r="H48" s="115"/>
      <c r="I48" s="97"/>
      <c r="J48" s="137"/>
    </row>
    <row r="49" spans="1:10" x14ac:dyDescent="0.25">
      <c r="A49" s="70" t="s">
        <v>42</v>
      </c>
      <c r="B49" s="184">
        <f>G45</f>
        <v>2470.7598904369752</v>
      </c>
      <c r="C49" s="71" t="s">
        <v>31</v>
      </c>
      <c r="D49" s="119"/>
      <c r="E49" s="278"/>
      <c r="F49" s="274"/>
      <c r="G49" s="274"/>
      <c r="H49" s="115"/>
      <c r="I49" s="97"/>
      <c r="J49" s="137"/>
    </row>
    <row r="50" spans="1:10" x14ac:dyDescent="0.25">
      <c r="A50" s="70" t="s">
        <v>141</v>
      </c>
      <c r="B50" s="184">
        <f>G47</f>
        <v>65753.824729025204</v>
      </c>
      <c r="C50" s="71" t="s">
        <v>31</v>
      </c>
      <c r="D50" s="119"/>
      <c r="E50" s="279" t="s">
        <v>70</v>
      </c>
      <c r="F50" s="277">
        <f>1910.32</f>
        <v>1910.32</v>
      </c>
      <c r="G50" s="279">
        <f>F50/F48*C6</f>
        <v>15.741678924369747</v>
      </c>
      <c r="H50" s="115"/>
      <c r="I50" s="97"/>
      <c r="J50" s="137"/>
    </row>
    <row r="51" spans="1:10" x14ac:dyDescent="0.25">
      <c r="A51" s="70" t="s">
        <v>44</v>
      </c>
      <c r="B51" s="184">
        <f>G52</f>
        <v>135.38542655462183</v>
      </c>
      <c r="C51" s="71" t="s">
        <v>31</v>
      </c>
      <c r="D51" s="119"/>
      <c r="E51" s="119"/>
      <c r="F51" s="120"/>
      <c r="G51" s="121"/>
      <c r="H51" s="115"/>
      <c r="I51" s="97"/>
      <c r="J51" s="137"/>
    </row>
    <row r="52" spans="1:10" x14ac:dyDescent="0.25">
      <c r="A52" s="70" t="s">
        <v>45</v>
      </c>
      <c r="B52" s="184">
        <f>G50</f>
        <v>15.741678924369747</v>
      </c>
      <c r="C52" s="71" t="s">
        <v>31</v>
      </c>
      <c r="D52" s="119"/>
      <c r="E52" s="119" t="s">
        <v>125</v>
      </c>
      <c r="F52" s="280">
        <f>16429.6</f>
        <v>16429.599999999999</v>
      </c>
      <c r="G52" s="279">
        <f>F52/F48*C8</f>
        <v>135.38542655462183</v>
      </c>
      <c r="H52" s="115"/>
      <c r="I52" s="97"/>
      <c r="J52" s="137"/>
    </row>
    <row r="53" spans="1:10" x14ac:dyDescent="0.25">
      <c r="A53" s="70" t="s">
        <v>46</v>
      </c>
      <c r="B53" s="184">
        <f>3435.72</f>
        <v>3435.72</v>
      </c>
      <c r="C53" s="71" t="s">
        <v>31</v>
      </c>
      <c r="D53" s="119"/>
      <c r="E53" s="119"/>
      <c r="F53" s="120"/>
      <c r="G53" s="121"/>
      <c r="H53" s="115"/>
      <c r="I53" s="97"/>
      <c r="J53" s="137"/>
    </row>
    <row r="54" spans="1:10" x14ac:dyDescent="0.25">
      <c r="A54" s="70" t="s">
        <v>47</v>
      </c>
      <c r="B54" s="184"/>
      <c r="C54" s="71" t="s">
        <v>31</v>
      </c>
      <c r="D54" s="56"/>
      <c r="E54" s="56"/>
      <c r="F54" s="156"/>
      <c r="G54" s="157"/>
      <c r="H54" s="97"/>
      <c r="I54" s="97"/>
      <c r="J54" s="137"/>
    </row>
    <row r="55" spans="1:10" x14ac:dyDescent="0.25">
      <c r="A55" s="70" t="s">
        <v>48</v>
      </c>
      <c r="B55" s="184">
        <f>3532.32</f>
        <v>3532.32</v>
      </c>
      <c r="C55" s="71" t="s">
        <v>31</v>
      </c>
      <c r="D55" s="56"/>
      <c r="E55" s="56"/>
      <c r="F55" s="136"/>
      <c r="G55" s="137"/>
      <c r="H55" s="97"/>
      <c r="I55" s="97"/>
      <c r="J55" s="137"/>
    </row>
    <row r="56" spans="1:10" x14ac:dyDescent="0.25">
      <c r="A56" s="70" t="s">
        <v>49</v>
      </c>
      <c r="B56" s="184">
        <f>(B46+B47+B48+B49+B50+B52+B53+B54)*0.1</f>
        <v>13703.471425068907</v>
      </c>
      <c r="C56" s="71" t="s">
        <v>31</v>
      </c>
      <c r="D56" s="56"/>
      <c r="E56" s="56"/>
      <c r="F56" s="136"/>
      <c r="G56" s="137"/>
      <c r="H56" s="137"/>
      <c r="I56" s="97"/>
      <c r="J56" s="137"/>
    </row>
    <row r="57" spans="1:10" x14ac:dyDescent="0.25">
      <c r="A57" s="67" t="s">
        <v>50</v>
      </c>
      <c r="B57" s="160">
        <f>C77</f>
        <v>28148.989999999998</v>
      </c>
      <c r="C57" s="69" t="s">
        <v>31</v>
      </c>
      <c r="D57" s="56"/>
      <c r="E57" s="56"/>
      <c r="F57" s="136"/>
      <c r="G57" s="137"/>
      <c r="H57" s="124"/>
      <c r="I57" s="97"/>
      <c r="J57" s="137"/>
    </row>
    <row r="58" spans="1:10" x14ac:dyDescent="0.25">
      <c r="A58" s="67" t="s">
        <v>51</v>
      </c>
      <c r="B58" s="68"/>
      <c r="C58" s="69" t="s">
        <v>31</v>
      </c>
      <c r="D58" s="122"/>
      <c r="E58" s="122"/>
      <c r="F58" s="123"/>
      <c r="G58" s="124"/>
      <c r="H58" s="124"/>
      <c r="I58" s="97"/>
      <c r="J58" s="137"/>
    </row>
    <row r="59" spans="1:10" x14ac:dyDescent="0.25">
      <c r="A59" s="67" t="s">
        <v>52</v>
      </c>
      <c r="B59" s="68">
        <f>26815.19+326069.15</f>
        <v>352884.34</v>
      </c>
      <c r="C59" s="69" t="s">
        <v>31</v>
      </c>
      <c r="D59" s="56"/>
      <c r="E59" s="56"/>
      <c r="F59" s="3"/>
      <c r="I59" s="97"/>
      <c r="J59" s="137"/>
    </row>
    <row r="60" spans="1:10" x14ac:dyDescent="0.25">
      <c r="A60" s="67" t="s">
        <v>53</v>
      </c>
      <c r="B60" s="68"/>
      <c r="C60" s="69" t="s">
        <v>54</v>
      </c>
      <c r="D60" s="56"/>
      <c r="E60" s="56"/>
      <c r="F60" s="3"/>
      <c r="I60" s="97"/>
      <c r="J60" s="137"/>
    </row>
    <row r="61" spans="1:10" x14ac:dyDescent="0.25">
      <c r="A61" s="133" t="s">
        <v>154</v>
      </c>
      <c r="B61" s="134">
        <f>C37/1.02</f>
        <v>0</v>
      </c>
      <c r="C61" s="135"/>
      <c r="D61" s="56"/>
      <c r="E61" s="56"/>
      <c r="F61" s="3"/>
      <c r="I61" s="97"/>
      <c r="J61" s="137"/>
    </row>
    <row r="62" spans="1:10" ht="15.75" thickBot="1" x14ac:dyDescent="0.3">
      <c r="A62" s="73" t="s">
        <v>78</v>
      </c>
      <c r="B62" s="74">
        <f>G44</f>
        <v>1483.2605042016808</v>
      </c>
      <c r="C62" s="75" t="s">
        <v>31</v>
      </c>
      <c r="D62" s="56"/>
      <c r="E62" s="56"/>
      <c r="F62" s="3"/>
      <c r="I62" s="97"/>
      <c r="J62" s="137"/>
    </row>
    <row r="63" spans="1:10" x14ac:dyDescent="0.25">
      <c r="A63" s="59"/>
      <c r="B63" s="60"/>
      <c r="C63" s="56"/>
      <c r="D63" s="56"/>
      <c r="E63" s="56"/>
      <c r="F63" s="3"/>
      <c r="I63" s="97"/>
      <c r="J63" s="137"/>
    </row>
    <row r="64" spans="1:10" x14ac:dyDescent="0.25">
      <c r="A64" s="59" t="s">
        <v>142</v>
      </c>
      <c r="B64" s="143">
        <f>C39-C24+B43-B42</f>
        <v>133661.98839348578</v>
      </c>
      <c r="C64" s="56" t="s">
        <v>31</v>
      </c>
      <c r="D64" s="56"/>
      <c r="E64" s="56"/>
      <c r="F64" s="3"/>
      <c r="I64" s="97"/>
      <c r="J64" s="137"/>
    </row>
    <row r="65" spans="1:10" x14ac:dyDescent="0.25">
      <c r="A65" s="59" t="s">
        <v>130</v>
      </c>
      <c r="B65" s="2">
        <f>B66+B67+B68+B69+B70+B71</f>
        <v>88099.148393485753</v>
      </c>
      <c r="C65" s="56" t="s">
        <v>31</v>
      </c>
      <c r="D65" s="56"/>
      <c r="E65" s="56"/>
      <c r="F65" s="3"/>
      <c r="I65" s="97"/>
      <c r="J65" s="137"/>
    </row>
    <row r="66" spans="1:10" x14ac:dyDescent="0.25">
      <c r="A66" s="77" t="s">
        <v>56</v>
      </c>
      <c r="B66" s="78">
        <f>C20-B44-B62</f>
        <v>-15698.481606514266</v>
      </c>
      <c r="C66" s="56" t="s">
        <v>31</v>
      </c>
      <c r="D66" s="56"/>
      <c r="E66" s="56"/>
      <c r="F66" s="3"/>
      <c r="I66" s="97"/>
      <c r="J66" s="137"/>
    </row>
    <row r="67" spans="1:10" x14ac:dyDescent="0.25">
      <c r="A67" s="77" t="s">
        <v>57</v>
      </c>
      <c r="B67" s="78">
        <f>C22-B57</f>
        <v>-10272.950000000004</v>
      </c>
      <c r="C67" s="56" t="s">
        <v>31</v>
      </c>
      <c r="D67" s="56"/>
      <c r="E67" s="56"/>
      <c r="F67" s="3"/>
      <c r="I67" s="97"/>
      <c r="J67" s="137"/>
    </row>
    <row r="68" spans="1:10" x14ac:dyDescent="0.25">
      <c r="A68" s="77" t="s">
        <v>58</v>
      </c>
      <c r="B68" s="78">
        <f>C26-B58</f>
        <v>0</v>
      </c>
      <c r="C68" s="56" t="s">
        <v>31</v>
      </c>
      <c r="D68" s="56"/>
      <c r="E68" s="56"/>
      <c r="F68" s="3"/>
      <c r="I68" s="97"/>
      <c r="J68" s="137"/>
    </row>
    <row r="69" spans="1:10" x14ac:dyDescent="0.25">
      <c r="A69" s="77" t="s">
        <v>59</v>
      </c>
      <c r="B69" s="78">
        <f>C28-B59</f>
        <v>114070.58000000002</v>
      </c>
      <c r="C69" s="56" t="s">
        <v>31</v>
      </c>
      <c r="D69" s="56"/>
      <c r="E69" s="56"/>
      <c r="F69" s="3"/>
      <c r="I69" s="97"/>
      <c r="J69" s="137"/>
    </row>
    <row r="70" spans="1:10" x14ac:dyDescent="0.25">
      <c r="A70" s="77" t="s">
        <v>60</v>
      </c>
      <c r="B70" s="78">
        <f>C35-B60</f>
        <v>0</v>
      </c>
      <c r="C70" s="56" t="s">
        <v>31</v>
      </c>
      <c r="D70" s="56"/>
      <c r="E70" s="56"/>
      <c r="F70" s="3"/>
      <c r="I70" s="97"/>
      <c r="J70" s="137"/>
    </row>
    <row r="71" spans="1:10" x14ac:dyDescent="0.25">
      <c r="A71" s="77" t="s">
        <v>157</v>
      </c>
      <c r="B71" s="78">
        <f>C37-B61</f>
        <v>0</v>
      </c>
      <c r="C71" s="56" t="s">
        <v>31</v>
      </c>
      <c r="I71" s="97"/>
      <c r="J71" s="137"/>
    </row>
    <row r="72" spans="1:10" ht="15.75" thickBot="1" x14ac:dyDescent="0.3">
      <c r="A72" s="77"/>
      <c r="B72" s="78"/>
      <c r="C72" s="56"/>
      <c r="D72" s="98"/>
      <c r="E72" s="99"/>
      <c r="F72" s="100"/>
      <c r="G72" s="97"/>
      <c r="I72" s="97"/>
      <c r="J72" s="137"/>
    </row>
    <row r="73" spans="1:10" ht="15.75" thickBot="1" x14ac:dyDescent="0.3">
      <c r="A73" s="128" t="s">
        <v>146</v>
      </c>
      <c r="B73" s="129"/>
      <c r="C73" s="130"/>
      <c r="D73" s="101"/>
      <c r="E73" s="101"/>
      <c r="F73" s="101"/>
      <c r="G73" s="97"/>
      <c r="I73" s="97"/>
      <c r="J73" s="137"/>
    </row>
    <row r="74" spans="1:10" ht="51.75" thickBot="1" x14ac:dyDescent="0.3">
      <c r="A74" s="79" t="s">
        <v>80</v>
      </c>
      <c r="B74" s="80" t="s">
        <v>61</v>
      </c>
      <c r="C74" s="81" t="s">
        <v>67</v>
      </c>
      <c r="D74" s="102"/>
      <c r="E74" s="103"/>
      <c r="F74" s="104"/>
      <c r="G74" s="97"/>
      <c r="I74" s="97"/>
      <c r="J74" s="137"/>
    </row>
    <row r="75" spans="1:10" x14ac:dyDescent="0.25">
      <c r="A75" s="82" t="s">
        <v>62</v>
      </c>
      <c r="B75" s="113" t="s">
        <v>31</v>
      </c>
      <c r="C75" s="114" t="s">
        <v>31</v>
      </c>
      <c r="D75" s="102"/>
      <c r="E75" s="103"/>
      <c r="F75" s="104"/>
      <c r="G75" s="97"/>
      <c r="I75" s="97"/>
      <c r="J75" s="137"/>
    </row>
    <row r="76" spans="1:10" x14ac:dyDescent="0.25">
      <c r="A76" s="53" t="s">
        <v>175</v>
      </c>
      <c r="B76" s="43"/>
      <c r="C76" s="185">
        <f>13388.99+14760</f>
        <v>28148.989999999998</v>
      </c>
      <c r="D76" s="102"/>
      <c r="E76" s="103"/>
      <c r="F76" s="104"/>
      <c r="G76" s="97"/>
      <c r="I76" s="97"/>
      <c r="J76" s="137"/>
    </row>
    <row r="77" spans="1:10" ht="15.75" thickBot="1" x14ac:dyDescent="0.3">
      <c r="A77" s="145" t="s">
        <v>5</v>
      </c>
      <c r="B77" s="146">
        <f>B76</f>
        <v>0</v>
      </c>
      <c r="C77" s="147">
        <f>C76</f>
        <v>28148.989999999998</v>
      </c>
      <c r="D77" s="105"/>
      <c r="E77" s="103"/>
      <c r="F77" s="104"/>
      <c r="G77" s="97"/>
    </row>
    <row r="78" spans="1:10" x14ac:dyDescent="0.25">
      <c r="A78" s="31"/>
      <c r="B78" s="33"/>
      <c r="C78" s="87"/>
      <c r="D78" s="105"/>
      <c r="E78" s="103"/>
      <c r="F78" s="104"/>
      <c r="G78" s="97"/>
    </row>
    <row r="79" spans="1:10" x14ac:dyDescent="0.25">
      <c r="A79" s="164" t="s">
        <v>132</v>
      </c>
      <c r="B79" s="149"/>
      <c r="C79" s="215"/>
      <c r="D79" s="216"/>
      <c r="E79" s="89"/>
    </row>
    <row r="80" spans="1:10" x14ac:dyDescent="0.25">
      <c r="A80" s="217"/>
      <c r="B80" s="149"/>
      <c r="C80" s="215"/>
      <c r="D80" s="218"/>
      <c r="E80" s="89"/>
    </row>
    <row r="81" spans="1:6" x14ac:dyDescent="0.25">
      <c r="A81" s="165" t="s">
        <v>133</v>
      </c>
      <c r="B81" s="149" t="s">
        <v>134</v>
      </c>
      <c r="C81" s="219"/>
      <c r="D81" s="216"/>
      <c r="E81" s="56"/>
    </row>
    <row r="82" spans="1:6" x14ac:dyDescent="0.25">
      <c r="A82" s="165"/>
      <c r="B82" s="149"/>
      <c r="C82" s="219"/>
      <c r="D82" s="216"/>
      <c r="E82" s="56"/>
    </row>
    <row r="83" spans="1:6" x14ac:dyDescent="0.25">
      <c r="A83" s="220"/>
      <c r="B83" s="221"/>
      <c r="C83" s="219"/>
      <c r="D83" s="150"/>
      <c r="E83" s="89"/>
    </row>
    <row r="84" spans="1:6" ht="15.75" x14ac:dyDescent="0.25">
      <c r="A84" s="223" t="s">
        <v>63</v>
      </c>
      <c r="B84" s="224" t="s">
        <v>134</v>
      </c>
      <c r="C84" s="225"/>
      <c r="D84" s="226" t="s">
        <v>66</v>
      </c>
      <c r="E84" s="89"/>
    </row>
    <row r="85" spans="1:6" x14ac:dyDescent="0.25">
      <c r="A85" s="91"/>
      <c r="B85" s="92"/>
      <c r="C85" s="87"/>
      <c r="D85" s="88"/>
      <c r="E85" s="89"/>
    </row>
    <row r="86" spans="1:6" x14ac:dyDescent="0.25">
      <c r="A86" s="31"/>
      <c r="B86" s="33"/>
      <c r="C86" s="87"/>
      <c r="D86" s="88"/>
      <c r="E86" s="89"/>
    </row>
    <row r="87" spans="1:6" x14ac:dyDescent="0.25">
      <c r="A87" s="95"/>
      <c r="B87" s="96"/>
      <c r="C87" s="89"/>
      <c r="D87" s="93"/>
      <c r="E87" s="89"/>
      <c r="F87" s="94"/>
    </row>
    <row r="88" spans="1:6" x14ac:dyDescent="0.25">
      <c r="A88" s="31"/>
      <c r="B88" s="33"/>
      <c r="C88" s="89"/>
      <c r="D88" s="93"/>
      <c r="E88" s="89"/>
    </row>
    <row r="89" spans="1:6" x14ac:dyDescent="0.25">
      <c r="A89" s="31"/>
      <c r="B89" s="33"/>
      <c r="C89" s="56"/>
      <c r="D89" s="87"/>
      <c r="E89" s="89"/>
    </row>
    <row r="90" spans="1:6" x14ac:dyDescent="0.25">
      <c r="A90" s="19"/>
      <c r="B90" s="20"/>
      <c r="C90" s="89"/>
      <c r="D90" s="87"/>
      <c r="E90" s="89"/>
    </row>
    <row r="91" spans="1:6" x14ac:dyDescent="0.25">
      <c r="A91" s="31"/>
      <c r="B91" s="33"/>
      <c r="C91" s="89"/>
      <c r="D91" s="56"/>
      <c r="E91" s="56"/>
      <c r="F91" s="3"/>
    </row>
    <row r="92" spans="1:6" x14ac:dyDescent="0.25">
      <c r="A92" s="31"/>
      <c r="B92" s="33"/>
      <c r="C92" s="33"/>
      <c r="D92" s="56"/>
      <c r="E92" s="89"/>
    </row>
    <row r="93" spans="1:6" x14ac:dyDescent="0.25">
      <c r="A93" s="31"/>
      <c r="B93" s="33"/>
      <c r="C93" s="33"/>
      <c r="D93" s="56"/>
      <c r="E93" s="56"/>
    </row>
    <row r="94" spans="1:6" x14ac:dyDescent="0.25">
      <c r="A94" s="31"/>
      <c r="B94" s="33"/>
      <c r="C94" s="33"/>
      <c r="D94" s="89"/>
      <c r="E94" s="89"/>
    </row>
    <row r="95" spans="1:6" x14ac:dyDescent="0.25">
      <c r="A95" s="31"/>
      <c r="B95" s="33"/>
      <c r="D95" s="89"/>
      <c r="E95" s="89"/>
    </row>
    <row r="96" spans="1:6" x14ac:dyDescent="0.25">
      <c r="D96" s="89"/>
      <c r="E96" s="89"/>
    </row>
    <row r="97" spans="2:6" x14ac:dyDescent="0.25">
      <c r="D97" s="89"/>
      <c r="E97" s="89"/>
    </row>
    <row r="98" spans="2:6" x14ac:dyDescent="0.25">
      <c r="D98" s="89"/>
      <c r="E98" s="89"/>
    </row>
    <row r="99" spans="2:6" x14ac:dyDescent="0.25">
      <c r="D99" s="89"/>
      <c r="E99" s="89"/>
    </row>
    <row r="100" spans="2:6" x14ac:dyDescent="0.25">
      <c r="B100"/>
      <c r="C100"/>
      <c r="D100" s="56"/>
      <c r="E100" s="56"/>
      <c r="F100" s="3"/>
    </row>
    <row r="101" spans="2:6" x14ac:dyDescent="0.25">
      <c r="B101"/>
      <c r="C101"/>
      <c r="D101" s="89"/>
      <c r="E101" s="89"/>
      <c r="F101" s="3"/>
    </row>
    <row r="102" spans="2:6" x14ac:dyDescent="0.25">
      <c r="B102"/>
      <c r="C102"/>
      <c r="D102" s="89"/>
      <c r="E102" s="89"/>
    </row>
    <row r="103" spans="2:6" x14ac:dyDescent="0.25">
      <c r="B103"/>
      <c r="C103"/>
      <c r="D103" s="33"/>
      <c r="E103" s="33"/>
    </row>
    <row r="104" spans="2:6" x14ac:dyDescent="0.25">
      <c r="B104"/>
      <c r="C104"/>
      <c r="D104" s="33"/>
      <c r="E104" s="33"/>
    </row>
    <row r="105" spans="2:6" x14ac:dyDescent="0.25">
      <c r="D105" s="33"/>
      <c r="E105" s="33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V107"/>
  <sheetViews>
    <sheetView view="pageBreakPreview" topLeftCell="A53" zoomScale="60" zoomScaleNormal="100" workbookViewId="0">
      <selection activeCell="C79" sqref="C79"/>
    </sheetView>
  </sheetViews>
  <sheetFormatPr defaultRowHeight="15" x14ac:dyDescent="0.25"/>
  <cols>
    <col min="1" max="1" width="51.2851562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153</v>
      </c>
      <c r="B2" s="2"/>
      <c r="C2" s="2"/>
      <c r="D2" s="2"/>
    </row>
    <row r="3" spans="1:22" ht="15.75" thickBot="1" x14ac:dyDescent="0.3">
      <c r="A3" s="1"/>
      <c r="B3" s="2"/>
      <c r="C3" s="2"/>
      <c r="D3" s="2"/>
      <c r="L3" s="108"/>
      <c r="M3" s="108"/>
      <c r="N3" s="108"/>
      <c r="O3" s="108"/>
    </row>
    <row r="4" spans="1:22" ht="15.75" thickBot="1" x14ac:dyDescent="0.3">
      <c r="A4" s="22" t="s">
        <v>0</v>
      </c>
      <c r="B4" s="126"/>
      <c r="C4" s="126"/>
      <c r="D4" s="127"/>
      <c r="L4" s="108"/>
      <c r="M4" s="108"/>
      <c r="N4" s="108"/>
      <c r="O4" s="108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L5" s="108"/>
      <c r="M5" s="108"/>
      <c r="N5" s="108"/>
      <c r="O5" s="108"/>
    </row>
    <row r="6" spans="1:22" ht="15.75" thickBot="1" x14ac:dyDescent="0.3">
      <c r="A6" s="10" t="s">
        <v>97</v>
      </c>
      <c r="B6" s="11"/>
      <c r="C6" s="11">
        <v>1253.9000000000001</v>
      </c>
      <c r="D6" s="12">
        <v>46</v>
      </c>
      <c r="L6" s="108"/>
      <c r="M6" s="108"/>
      <c r="N6" s="108"/>
      <c r="O6" s="108"/>
    </row>
    <row r="7" spans="1:22" x14ac:dyDescent="0.25">
      <c r="A7" s="10" t="s">
        <v>98</v>
      </c>
      <c r="B7" s="14"/>
      <c r="C7" s="14">
        <v>214.3</v>
      </c>
      <c r="D7" s="15">
        <v>2</v>
      </c>
      <c r="L7" s="108"/>
      <c r="M7" s="108"/>
      <c r="N7" s="108"/>
      <c r="O7" s="108"/>
    </row>
    <row r="8" spans="1:22" ht="15.75" thickBot="1" x14ac:dyDescent="0.3">
      <c r="A8" s="16" t="s">
        <v>5</v>
      </c>
      <c r="B8" s="17"/>
      <c r="C8" s="17">
        <f>C6+C7</f>
        <v>1468.2</v>
      </c>
      <c r="D8" s="18">
        <f>D6+D7</f>
        <v>48</v>
      </c>
      <c r="L8" s="108"/>
      <c r="M8" s="108"/>
      <c r="N8" s="108"/>
      <c r="O8" s="108"/>
    </row>
    <row r="9" spans="1:22" ht="15.75" thickBot="1" x14ac:dyDescent="0.3">
      <c r="A9" s="19"/>
      <c r="B9" s="20"/>
      <c r="C9" s="20"/>
      <c r="D9" s="21"/>
      <c r="L9" s="108"/>
      <c r="M9" s="108"/>
      <c r="N9" s="108"/>
      <c r="O9" s="108"/>
    </row>
    <row r="10" spans="1:22" ht="15.75" thickBot="1" x14ac:dyDescent="0.3">
      <c r="A10" s="22" t="s">
        <v>112</v>
      </c>
      <c r="B10" s="23"/>
      <c r="C10" s="23"/>
      <c r="D10" s="24" t="s">
        <v>6</v>
      </c>
      <c r="F10" s="97"/>
      <c r="G10" s="97"/>
      <c r="H10" s="97"/>
      <c r="I10" s="97"/>
      <c r="J10" s="97"/>
      <c r="K10" s="97"/>
      <c r="L10" s="108"/>
      <c r="M10" s="108"/>
      <c r="N10" s="108"/>
      <c r="O10" s="108"/>
    </row>
    <row r="11" spans="1:22" x14ac:dyDescent="0.25">
      <c r="A11" s="25" t="s">
        <v>7</v>
      </c>
      <c r="B11" s="20"/>
      <c r="C11" s="20"/>
      <c r="D11" s="27">
        <v>13.84</v>
      </c>
      <c r="F11" s="97"/>
      <c r="G11" s="97"/>
      <c r="H11" s="97"/>
      <c r="I11" s="97"/>
      <c r="J11" s="97"/>
      <c r="K11" s="97"/>
      <c r="L11" s="108"/>
      <c r="M11" s="108"/>
      <c r="N11" s="108"/>
      <c r="O11" s="108"/>
    </row>
    <row r="12" spans="1:22" x14ac:dyDescent="0.25">
      <c r="A12" s="25" t="s">
        <v>8</v>
      </c>
      <c r="B12" s="20"/>
      <c r="C12" s="20"/>
      <c r="D12" s="27">
        <v>6.6</v>
      </c>
      <c r="F12" s="97"/>
      <c r="G12" s="97"/>
      <c r="H12" s="97"/>
      <c r="I12" s="97"/>
      <c r="J12" s="97"/>
      <c r="K12" s="97"/>
      <c r="L12" s="108"/>
      <c r="M12" s="108"/>
      <c r="N12" s="108"/>
      <c r="O12" s="108"/>
    </row>
    <row r="13" spans="1:22" x14ac:dyDescent="0.25">
      <c r="A13" s="25" t="s">
        <v>9</v>
      </c>
      <c r="B13" s="20"/>
      <c r="C13" s="20"/>
      <c r="D13" s="26">
        <v>0.18</v>
      </c>
      <c r="F13" s="97"/>
      <c r="G13" s="97"/>
      <c r="H13" s="97"/>
      <c r="I13" s="97"/>
      <c r="J13" s="97"/>
      <c r="K13" s="97"/>
      <c r="L13" s="108"/>
      <c r="M13" s="108"/>
      <c r="N13" s="108"/>
      <c r="O13" s="108"/>
    </row>
    <row r="14" spans="1:22" ht="15.75" thickBot="1" x14ac:dyDescent="0.3">
      <c r="A14" s="28" t="s">
        <v>10</v>
      </c>
      <c r="B14" s="29"/>
      <c r="C14" s="29"/>
      <c r="D14" s="30">
        <v>0</v>
      </c>
      <c r="F14" s="97"/>
      <c r="G14" s="97"/>
      <c r="H14" s="97"/>
      <c r="I14" s="97"/>
      <c r="J14" s="97"/>
      <c r="K14" s="97"/>
      <c r="L14" s="108"/>
      <c r="M14" s="108"/>
      <c r="N14" s="108"/>
      <c r="O14" s="108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97"/>
      <c r="G15" s="97"/>
      <c r="H15" s="97"/>
      <c r="I15" s="97"/>
      <c r="J15" s="97"/>
      <c r="K15" s="97"/>
      <c r="L15" s="108"/>
      <c r="M15" s="108"/>
      <c r="N15" s="108"/>
      <c r="O15" s="108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113</v>
      </c>
      <c r="B16" s="126"/>
      <c r="C16" s="126"/>
      <c r="D16" s="126"/>
      <c r="E16" s="127"/>
      <c r="F16" s="97"/>
      <c r="G16" s="97"/>
      <c r="H16" s="97"/>
      <c r="I16" s="97"/>
      <c r="J16" s="97"/>
      <c r="K16" s="97"/>
      <c r="L16" s="108"/>
      <c r="M16" s="109"/>
      <c r="N16" s="109"/>
      <c r="O16" s="108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39"/>
      <c r="F17" s="97"/>
      <c r="G17" s="97"/>
      <c r="H17" s="97"/>
      <c r="I17" s="97"/>
      <c r="J17" s="97"/>
      <c r="K17" s="97"/>
      <c r="L17" s="109"/>
      <c r="M17" s="110"/>
      <c r="N17" s="109"/>
      <c r="O17" s="108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39"/>
      <c r="F18" s="97"/>
      <c r="G18" s="97"/>
      <c r="H18" s="97"/>
      <c r="I18" s="97"/>
      <c r="J18" s="97"/>
      <c r="K18" s="97"/>
      <c r="L18" s="108"/>
      <c r="M18" s="108"/>
      <c r="N18" s="108"/>
      <c r="O18" s="108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114</v>
      </c>
      <c r="C19" s="38" t="s">
        <v>115</v>
      </c>
      <c r="D19" s="38" t="s">
        <v>116</v>
      </c>
      <c r="E19" s="39" t="s">
        <v>117</v>
      </c>
      <c r="F19" s="97"/>
      <c r="G19" s="97"/>
      <c r="H19" s="97"/>
      <c r="I19" s="97"/>
      <c r="J19" s="97"/>
      <c r="K19" s="97"/>
      <c r="L19" s="108"/>
      <c r="M19" s="111"/>
      <c r="N19" s="111"/>
      <c r="O19" s="108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>
        <f>94799.58</f>
        <v>94799.58</v>
      </c>
      <c r="C20" s="41">
        <f>243838.56-12842.5</f>
        <v>230996.06</v>
      </c>
      <c r="D20" s="40">
        <f>248615.93+2539.9</f>
        <v>251155.83</v>
      </c>
      <c r="E20" s="42">
        <f t="shared" ref="E20:E38" si="0">C20-D20+B20</f>
        <v>74639.810000000012</v>
      </c>
      <c r="F20" s="116">
        <f>C20+F22</f>
        <v>341152.06</v>
      </c>
      <c r="G20" s="117">
        <f>100</f>
        <v>100</v>
      </c>
      <c r="H20" s="115" t="s">
        <v>64</v>
      </c>
      <c r="I20" s="97"/>
      <c r="J20" s="97"/>
      <c r="K20" s="97"/>
      <c r="L20" s="108"/>
      <c r="M20" s="108"/>
      <c r="N20" s="108"/>
      <c r="O20" s="108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16"/>
      <c r="G21" s="117"/>
      <c r="H21" s="115"/>
      <c r="I21" s="97"/>
      <c r="J21" s="97"/>
      <c r="K21" s="97"/>
      <c r="L21" s="108"/>
      <c r="M21" s="108"/>
      <c r="N21" s="108"/>
      <c r="O21" s="108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>
        <f>45461.36</f>
        <v>45461.36</v>
      </c>
      <c r="C22" s="44">
        <f>116281.44-6125.44</f>
        <v>110156</v>
      </c>
      <c r="D22" s="43">
        <f>118747.19+1211.22</f>
        <v>119958.41</v>
      </c>
      <c r="E22" s="45">
        <f t="shared" si="0"/>
        <v>35658.949999999997</v>
      </c>
      <c r="F22" s="116">
        <f>C22</f>
        <v>110156</v>
      </c>
      <c r="G22" s="118">
        <f>F22*G20/F20</f>
        <v>32.289413700154704</v>
      </c>
      <c r="H22" s="115" t="s">
        <v>64</v>
      </c>
      <c r="I22" s="97"/>
      <c r="J22" s="97"/>
      <c r="K22" s="97"/>
      <c r="L22" s="108"/>
      <c r="M22" s="108"/>
      <c r="N22" s="111"/>
      <c r="O22" s="108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97"/>
      <c r="G23" s="97"/>
      <c r="H23" s="97"/>
      <c r="I23" s="97"/>
      <c r="J23" s="97"/>
      <c r="K23" s="97"/>
      <c r="L23" s="108"/>
      <c r="M23" s="108"/>
      <c r="N23" s="108"/>
      <c r="O23" s="108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>
        <v>-8176.71</v>
      </c>
      <c r="C24" s="44">
        <f>-7462.94</f>
        <v>-7462.94</v>
      </c>
      <c r="D24" s="44">
        <f>10838.7</f>
        <v>10838.7</v>
      </c>
      <c r="E24" s="45">
        <f t="shared" si="0"/>
        <v>-26478.35</v>
      </c>
      <c r="F24" s="97"/>
      <c r="G24" s="97"/>
      <c r="H24" s="97"/>
      <c r="I24" s="97"/>
      <c r="J24" s="97"/>
      <c r="K24" s="97"/>
      <c r="L24" s="108"/>
      <c r="M24" s="108"/>
      <c r="N24" s="108"/>
      <c r="O24" s="108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97"/>
      <c r="G25" s="97"/>
      <c r="H25" s="97"/>
      <c r="I25" s="97"/>
      <c r="J25" s="97"/>
      <c r="K25" s="97"/>
      <c r="L25" s="108"/>
      <c r="M25" s="108"/>
      <c r="N25" s="108"/>
      <c r="O25" s="108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>
        <f>1245.54</f>
        <v>1245.54</v>
      </c>
      <c r="C26" s="44">
        <f>3171.24-166.98</f>
        <v>3004.2599999999998</v>
      </c>
      <c r="D26" s="44">
        <f>3244.59+33.04</f>
        <v>3277.63</v>
      </c>
      <c r="E26" s="45">
        <f t="shared" si="0"/>
        <v>972.16999999999962</v>
      </c>
      <c r="F26" s="97"/>
      <c r="G26" s="97"/>
      <c r="H26" s="97"/>
      <c r="I26" s="97"/>
      <c r="J26" s="97"/>
      <c r="K26" s="97"/>
      <c r="L26" s="108"/>
      <c r="M26" s="108"/>
      <c r="N26" s="108"/>
      <c r="O26" s="108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83</v>
      </c>
      <c r="B27" s="44"/>
      <c r="C27" s="44"/>
      <c r="D27" s="44"/>
      <c r="E27" s="45">
        <f t="shared" si="0"/>
        <v>0</v>
      </c>
      <c r="F27" s="97"/>
      <c r="G27" s="97"/>
      <c r="H27" s="97"/>
      <c r="I27" s="97"/>
      <c r="J27" s="97"/>
      <c r="K27" s="97"/>
      <c r="L27" s="108"/>
      <c r="M27" s="108"/>
      <c r="N27" s="108"/>
      <c r="O27" s="108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244635.45</v>
      </c>
      <c r="C28" s="50">
        <f>C29+C30+C31+C33</f>
        <v>445928.23000000004</v>
      </c>
      <c r="D28" s="50">
        <f>D29+D30+D31+D33+D32</f>
        <v>602420.78</v>
      </c>
      <c r="E28" s="189">
        <f>C28-D28+B28</f>
        <v>88142.900000000023</v>
      </c>
      <c r="F28" s="97"/>
      <c r="G28" s="97"/>
      <c r="H28" s="97"/>
      <c r="I28" s="97"/>
      <c r="J28" s="97"/>
      <c r="K28" s="97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40">
        <v>188545.26</v>
      </c>
      <c r="C29" s="40">
        <f>284723.58-111357.65-12810</f>
        <v>160555.93000000002</v>
      </c>
      <c r="D29" s="40">
        <f>299411.71</f>
        <v>299411.71000000002</v>
      </c>
      <c r="E29" s="42">
        <f t="shared" si="0"/>
        <v>49689.48000000001</v>
      </c>
      <c r="F29" s="97"/>
      <c r="G29" s="97"/>
      <c r="H29" s="97"/>
      <c r="I29" s="97"/>
      <c r="J29" s="97"/>
      <c r="K29" s="97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23</v>
      </c>
      <c r="B30" s="43">
        <f>21239.72+14924.36</f>
        <v>36164.080000000002</v>
      </c>
      <c r="C30" s="43">
        <f>130119.44+30071.16+102283.46-35250.79-2104.9</f>
        <v>225118.37</v>
      </c>
      <c r="D30" s="43">
        <f>207601.13+26245.99+2441.68</f>
        <v>236288.8</v>
      </c>
      <c r="E30" s="45">
        <f t="shared" si="0"/>
        <v>24993.650000000009</v>
      </c>
      <c r="F30" s="97"/>
      <c r="G30" s="97"/>
      <c r="H30" s="97"/>
      <c r="I30" s="97"/>
      <c r="J30" s="97"/>
      <c r="K30" s="97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43">
        <f>4899.52</f>
        <v>4899.5200000000004</v>
      </c>
      <c r="C31" s="43">
        <f>21035.07+162.48-1270.81</f>
        <v>19926.739999999998</v>
      </c>
      <c r="D31" s="43">
        <f>20961.59+90.82</f>
        <v>21052.41</v>
      </c>
      <c r="E31" s="45">
        <f t="shared" si="0"/>
        <v>3773.8499999999985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53" t="s">
        <v>90</v>
      </c>
      <c r="B32" s="43">
        <v>-97.93</v>
      </c>
      <c r="C32" s="43"/>
      <c r="D32" s="43"/>
      <c r="E32" s="45">
        <f t="shared" si="0"/>
        <v>-97.93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43">
        <f>15124.52</f>
        <v>15124.52</v>
      </c>
      <c r="C33" s="43">
        <f>41576.93+1121.06-2370.8</f>
        <v>40327.189999999995</v>
      </c>
      <c r="D33" s="43">
        <f>45440.3+227.56</f>
        <v>45667.86</v>
      </c>
      <c r="E33" s="45">
        <f t="shared" si="0"/>
        <v>9783.8499999999949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74</v>
      </c>
      <c r="B35" s="54"/>
      <c r="C35" s="55"/>
      <c r="D35" s="55"/>
      <c r="E35" s="45">
        <f t="shared" si="0"/>
        <v>0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155</v>
      </c>
      <c r="B37" s="44">
        <f>2247.9-213.39</f>
        <v>2034.5100000000002</v>
      </c>
      <c r="C37" s="44">
        <f>8120.28+621.95</f>
        <v>8742.23</v>
      </c>
      <c r="D37" s="44">
        <f>7604.41+385.21</f>
        <v>7989.62</v>
      </c>
      <c r="E37" s="45">
        <f t="shared" si="0"/>
        <v>2787.12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/>
      <c r="C38" s="46">
        <v>-3173.88</v>
      </c>
      <c r="D38" s="46"/>
      <c r="E38" s="47">
        <f t="shared" si="0"/>
        <v>-3173.88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379999.73000000004</v>
      </c>
      <c r="C39" s="58">
        <f>C20+C21+C22+C23+C24+C25+C26+C28+C35+C36+C37+C38</f>
        <v>788189.96000000008</v>
      </c>
      <c r="D39" s="58">
        <f>D20+D21+D22+D23+D24+D25+D26+D28+D35+D36+D37+D38+D27</f>
        <v>995640.97000000009</v>
      </c>
      <c r="E39" s="58">
        <f>E20+E21+E22+E23+E24+E25+E26+E28+E35+E36+E37+E38+E27</f>
        <v>172548.72000000003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59"/>
      <c r="B40" s="60"/>
      <c r="C40" s="56"/>
      <c r="D40" s="56"/>
      <c r="E40" s="56"/>
      <c r="F40" s="136"/>
      <c r="G40" s="137"/>
      <c r="H40" s="137"/>
      <c r="I40" s="124"/>
      <c r="J40" s="137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59"/>
      <c r="B41" s="60"/>
      <c r="C41" s="56"/>
      <c r="D41" s="119"/>
      <c r="E41" s="119"/>
      <c r="F41" s="138"/>
      <c r="G41" s="115"/>
      <c r="H41" s="137"/>
      <c r="I41" s="97"/>
      <c r="J41" s="97"/>
    </row>
    <row r="42" spans="1:22" ht="15.75" thickBot="1" x14ac:dyDescent="0.3">
      <c r="A42" s="61" t="s">
        <v>30</v>
      </c>
      <c r="B42" s="62">
        <f>B44+B59+B60+B57+B62+B58+B61</f>
        <v>897148.46141855232</v>
      </c>
      <c r="C42" s="63" t="s">
        <v>31</v>
      </c>
      <c r="D42" s="119">
        <f>C39-B42-B62</f>
        <v>-111179.30814124132</v>
      </c>
      <c r="E42" s="272" t="s">
        <v>32</v>
      </c>
      <c r="F42" s="273">
        <v>5512727.4500000002</v>
      </c>
      <c r="G42" s="274">
        <f>F42/F48*C8</f>
        <v>68015.012118403363</v>
      </c>
      <c r="H42" s="137"/>
      <c r="I42" s="97"/>
      <c r="J42" s="97"/>
    </row>
    <row r="43" spans="1:22" x14ac:dyDescent="0.25">
      <c r="A43" s="64" t="s">
        <v>124</v>
      </c>
      <c r="B43" s="183">
        <f>59225.01</f>
        <v>59225.01</v>
      </c>
      <c r="C43" s="69" t="s">
        <v>31</v>
      </c>
      <c r="D43" s="119"/>
      <c r="E43" s="272" t="s">
        <v>33</v>
      </c>
      <c r="F43" s="273">
        <v>1264951.0900000001</v>
      </c>
      <c r="G43" s="274">
        <f>F43/F48*C8</f>
        <v>15606.73269191597</v>
      </c>
      <c r="H43" s="137"/>
      <c r="I43" s="97"/>
      <c r="J43" s="97"/>
    </row>
    <row r="44" spans="1:22" x14ac:dyDescent="0.25">
      <c r="A44" s="67" t="s">
        <v>34</v>
      </c>
      <c r="B44" s="160">
        <f>B45+B46+B48+B49+B50+B51+B52+B53+B54+B55+B56+B47</f>
        <v>267782.20097037312</v>
      </c>
      <c r="C44" s="69" t="s">
        <v>31</v>
      </c>
      <c r="D44" s="119"/>
      <c r="E44" s="272" t="s">
        <v>35</v>
      </c>
      <c r="F44" s="273">
        <v>180000</v>
      </c>
      <c r="G44" s="274">
        <f>F44/F48*C8</f>
        <v>2220.8067226890757</v>
      </c>
      <c r="H44" s="137"/>
      <c r="I44" s="97"/>
      <c r="J44" s="97"/>
    </row>
    <row r="45" spans="1:22" x14ac:dyDescent="0.25">
      <c r="A45" s="70" t="s">
        <v>76</v>
      </c>
      <c r="B45" s="184">
        <v>22136.99</v>
      </c>
      <c r="C45" s="71" t="s">
        <v>31</v>
      </c>
      <c r="D45" s="119"/>
      <c r="E45" s="272" t="s">
        <v>18</v>
      </c>
      <c r="F45" s="273">
        <f>299837.27</f>
        <v>299837.27</v>
      </c>
      <c r="G45" s="274">
        <f>F45/F48*C8</f>
        <v>3699.3368051596644</v>
      </c>
      <c r="H45" s="137"/>
      <c r="I45" s="97"/>
      <c r="J45" s="97"/>
    </row>
    <row r="46" spans="1:22" x14ac:dyDescent="0.25">
      <c r="A46" s="72" t="s">
        <v>37</v>
      </c>
      <c r="B46" s="184">
        <f>G42+G43</f>
        <v>83621.744810319331</v>
      </c>
      <c r="C46" s="71" t="s">
        <v>31</v>
      </c>
      <c r="D46" s="119"/>
      <c r="E46" s="275" t="s">
        <v>38</v>
      </c>
      <c r="F46" s="273">
        <f>7000+1260+30890+4200</f>
        <v>43350</v>
      </c>
      <c r="G46" s="274">
        <f>F46/F48*C8</f>
        <v>534.84428571428566</v>
      </c>
      <c r="H46" s="137"/>
      <c r="I46" s="97"/>
      <c r="J46" s="97"/>
    </row>
    <row r="47" spans="1:22" x14ac:dyDescent="0.25">
      <c r="A47" s="72" t="s">
        <v>39</v>
      </c>
      <c r="B47" s="184">
        <v>5760</v>
      </c>
      <c r="C47" s="71" t="s">
        <v>31</v>
      </c>
      <c r="D47" s="119"/>
      <c r="E47" s="274" t="s">
        <v>12</v>
      </c>
      <c r="F47" s="273">
        <f>8022857.59-F46</f>
        <v>7979507.5899999999</v>
      </c>
      <c r="G47" s="274">
        <f>F47/F48*C8</f>
        <v>98449.689442336123</v>
      </c>
      <c r="H47" s="137"/>
      <c r="I47" s="97"/>
      <c r="J47" s="97"/>
    </row>
    <row r="48" spans="1:22" x14ac:dyDescent="0.25">
      <c r="A48" s="70" t="s">
        <v>40</v>
      </c>
      <c r="B48" s="184">
        <f>G46+8916.46+120</f>
        <v>9571.3042857142846</v>
      </c>
      <c r="C48" s="71" t="s">
        <v>31</v>
      </c>
      <c r="D48" s="119"/>
      <c r="E48" s="276" t="s">
        <v>41</v>
      </c>
      <c r="F48" s="277">
        <f>119000</f>
        <v>119000</v>
      </c>
      <c r="G48" s="274"/>
      <c r="H48" s="137"/>
      <c r="I48" s="97"/>
      <c r="J48" s="97"/>
    </row>
    <row r="49" spans="1:10" x14ac:dyDescent="0.25">
      <c r="A49" s="70" t="s">
        <v>42</v>
      </c>
      <c r="B49" s="184">
        <f>G45</f>
        <v>3699.3368051596644</v>
      </c>
      <c r="C49" s="71" t="s">
        <v>31</v>
      </c>
      <c r="D49" s="119"/>
      <c r="E49" s="278"/>
      <c r="F49" s="274"/>
      <c r="G49" s="274"/>
      <c r="H49" s="137"/>
      <c r="I49" s="97"/>
      <c r="J49" s="97"/>
    </row>
    <row r="50" spans="1:10" x14ac:dyDescent="0.25">
      <c r="A50" s="70" t="s">
        <v>141</v>
      </c>
      <c r="B50" s="184">
        <f>G47</f>
        <v>98449.689442336123</v>
      </c>
      <c r="C50" s="71" t="s">
        <v>31</v>
      </c>
      <c r="D50" s="119"/>
      <c r="E50" s="279" t="s">
        <v>70</v>
      </c>
      <c r="F50" s="277">
        <f>1910.32</f>
        <v>1910.32</v>
      </c>
      <c r="G50" s="279">
        <f>F50/F48*C8</f>
        <v>23.56917499159664</v>
      </c>
      <c r="H50" s="137"/>
      <c r="I50" s="97"/>
      <c r="J50" s="97"/>
    </row>
    <row r="51" spans="1:10" x14ac:dyDescent="0.25">
      <c r="A51" s="70" t="s">
        <v>44</v>
      </c>
      <c r="B51" s="184">
        <f>F54</f>
        <v>0</v>
      </c>
      <c r="C51" s="71" t="s">
        <v>31</v>
      </c>
      <c r="D51" s="119"/>
      <c r="E51" s="119"/>
      <c r="F51" s="120"/>
      <c r="G51" s="279"/>
      <c r="H51" s="137"/>
      <c r="I51" s="97"/>
      <c r="J51" s="97"/>
    </row>
    <row r="52" spans="1:10" x14ac:dyDescent="0.25">
      <c r="A52" s="70" t="s">
        <v>45</v>
      </c>
      <c r="B52" s="184">
        <f>G50</f>
        <v>23.56917499159664</v>
      </c>
      <c r="C52" s="71" t="s">
        <v>31</v>
      </c>
      <c r="D52" s="119"/>
      <c r="E52" s="119" t="s">
        <v>125</v>
      </c>
      <c r="F52" s="280">
        <f>16429.6</f>
        <v>16429.599999999999</v>
      </c>
      <c r="G52" s="279">
        <f>F52/F48*C8</f>
        <v>202.70536739495796</v>
      </c>
      <c r="H52" s="137"/>
      <c r="I52" s="97"/>
      <c r="J52" s="97"/>
    </row>
    <row r="53" spans="1:10" x14ac:dyDescent="0.25">
      <c r="A53" s="70" t="s">
        <v>46</v>
      </c>
      <c r="B53" s="184">
        <f>18222.62</f>
        <v>18222.62</v>
      </c>
      <c r="C53" s="71" t="s">
        <v>31</v>
      </c>
      <c r="D53" s="119"/>
      <c r="E53" s="119"/>
      <c r="F53" s="120"/>
      <c r="G53" s="121"/>
      <c r="H53" s="137"/>
      <c r="I53" s="97"/>
      <c r="J53" s="97"/>
    </row>
    <row r="54" spans="1:10" x14ac:dyDescent="0.25">
      <c r="A54" s="70" t="s">
        <v>47</v>
      </c>
      <c r="B54" s="184"/>
      <c r="C54" s="71" t="s">
        <v>31</v>
      </c>
      <c r="D54" s="56"/>
      <c r="E54" s="56"/>
      <c r="F54" s="156"/>
      <c r="G54" s="157"/>
      <c r="H54" s="137"/>
      <c r="I54" s="97"/>
      <c r="J54" s="97"/>
    </row>
    <row r="55" spans="1:10" x14ac:dyDescent="0.25">
      <c r="A55" s="70" t="s">
        <v>48</v>
      </c>
      <c r="B55" s="184">
        <f>4362.12</f>
        <v>4362.12</v>
      </c>
      <c r="C55" s="71" t="s">
        <v>31</v>
      </c>
      <c r="D55" s="56"/>
      <c r="E55" s="56"/>
      <c r="F55" s="136"/>
      <c r="G55" s="137"/>
      <c r="H55" s="137"/>
      <c r="I55" s="97"/>
      <c r="J55" s="97"/>
    </row>
    <row r="56" spans="1:10" x14ac:dyDescent="0.25">
      <c r="A56" s="70" t="s">
        <v>49</v>
      </c>
      <c r="B56" s="184">
        <f>(B46+B47+B48+B49+B50+B52+B53+B54)*0.1</f>
        <v>21934.826451852103</v>
      </c>
      <c r="C56" s="71" t="s">
        <v>31</v>
      </c>
      <c r="D56" s="101"/>
      <c r="E56" s="101"/>
      <c r="F56" s="125"/>
      <c r="G56" s="97"/>
      <c r="H56" s="97"/>
      <c r="I56" s="97"/>
      <c r="J56" s="97"/>
    </row>
    <row r="57" spans="1:10" x14ac:dyDescent="0.25">
      <c r="A57" s="67" t="s">
        <v>50</v>
      </c>
      <c r="B57" s="160">
        <f>C78</f>
        <v>101966.99</v>
      </c>
      <c r="C57" s="69" t="s">
        <v>31</v>
      </c>
      <c r="D57" s="122"/>
      <c r="E57" s="122"/>
      <c r="F57" s="123"/>
      <c r="G57" s="124"/>
      <c r="H57" s="124"/>
      <c r="I57" s="97"/>
      <c r="J57" s="97"/>
    </row>
    <row r="58" spans="1:10" x14ac:dyDescent="0.25">
      <c r="A58" s="67" t="s">
        <v>51</v>
      </c>
      <c r="B58" s="160">
        <v>2300</v>
      </c>
      <c r="C58" s="69" t="s">
        <v>31</v>
      </c>
      <c r="D58" s="122"/>
      <c r="E58" s="122"/>
      <c r="F58" s="123"/>
      <c r="G58" s="124"/>
      <c r="H58" s="124"/>
      <c r="I58" s="97"/>
      <c r="J58" s="97"/>
    </row>
    <row r="59" spans="1:10" x14ac:dyDescent="0.25">
      <c r="A59" s="67" t="s">
        <v>52</v>
      </c>
      <c r="B59" s="160">
        <f>30219.8+41985.61+421010.42+21091.82</f>
        <v>514307.64999999997</v>
      </c>
      <c r="C59" s="69" t="s">
        <v>31</v>
      </c>
      <c r="D59" s="56"/>
      <c r="E59" s="56"/>
      <c r="F59" s="3"/>
      <c r="I59" s="97"/>
      <c r="J59" s="97"/>
    </row>
    <row r="60" spans="1:10" x14ac:dyDescent="0.25">
      <c r="A60" s="67" t="s">
        <v>53</v>
      </c>
      <c r="B60" s="68"/>
      <c r="C60" s="69" t="s">
        <v>54</v>
      </c>
      <c r="D60" s="56"/>
      <c r="E60" s="56"/>
      <c r="F60" s="3"/>
      <c r="I60" s="97"/>
      <c r="J60" s="97"/>
    </row>
    <row r="61" spans="1:10" x14ac:dyDescent="0.25">
      <c r="A61" s="133" t="s">
        <v>154</v>
      </c>
      <c r="B61" s="134">
        <f>C37/1.02</f>
        <v>8570.8137254901958</v>
      </c>
      <c r="C61" s="135"/>
      <c r="D61" s="56"/>
      <c r="E61" s="56"/>
      <c r="F61" s="3"/>
      <c r="I61" s="97"/>
      <c r="J61" s="97"/>
    </row>
    <row r="62" spans="1:10" ht="15.75" thickBot="1" x14ac:dyDescent="0.3">
      <c r="A62" s="73" t="s">
        <v>78</v>
      </c>
      <c r="B62" s="74">
        <f>G44</f>
        <v>2220.8067226890757</v>
      </c>
      <c r="C62" s="75" t="s">
        <v>31</v>
      </c>
      <c r="D62" s="56"/>
      <c r="E62" s="56"/>
      <c r="F62" s="3"/>
      <c r="I62" s="97"/>
      <c r="J62" s="97"/>
    </row>
    <row r="63" spans="1:10" x14ac:dyDescent="0.25">
      <c r="A63" s="59"/>
      <c r="B63" s="60"/>
      <c r="C63" s="56"/>
      <c r="D63" s="56"/>
      <c r="E63" s="56"/>
      <c r="F63" s="3"/>
      <c r="I63" s="97"/>
      <c r="J63" s="97"/>
    </row>
    <row r="64" spans="1:10" x14ac:dyDescent="0.25">
      <c r="A64" s="59" t="s">
        <v>156</v>
      </c>
      <c r="B64" s="143">
        <f>C39-C24+B43-B42</f>
        <v>-42270.551418552292</v>
      </c>
      <c r="C64" s="56" t="s">
        <v>31</v>
      </c>
      <c r="D64" s="56"/>
      <c r="E64" s="56"/>
      <c r="F64" s="3"/>
      <c r="I64" s="97"/>
      <c r="J64" s="97"/>
    </row>
    <row r="65" spans="1:10" x14ac:dyDescent="0.25">
      <c r="A65" s="59" t="s">
        <v>68</v>
      </c>
      <c r="B65" s="2">
        <f>B66+B67+B68+B69+B70+B71</f>
        <v>-98321.681418552325</v>
      </c>
      <c r="C65" s="56" t="s">
        <v>31</v>
      </c>
      <c r="D65" s="56"/>
      <c r="E65" s="56"/>
      <c r="F65" s="3"/>
      <c r="I65" s="97"/>
      <c r="J65" s="97"/>
    </row>
    <row r="66" spans="1:10" x14ac:dyDescent="0.25">
      <c r="A66" s="77" t="s">
        <v>56</v>
      </c>
      <c r="B66" s="78">
        <f>C20-B44-B62</f>
        <v>-39006.947693062197</v>
      </c>
      <c r="C66" s="56" t="s">
        <v>31</v>
      </c>
      <c r="D66" s="56"/>
      <c r="E66" s="56"/>
      <c r="F66" s="3"/>
      <c r="I66" s="97"/>
      <c r="J66" s="97"/>
    </row>
    <row r="67" spans="1:10" x14ac:dyDescent="0.25">
      <c r="A67" s="77" t="s">
        <v>57</v>
      </c>
      <c r="B67" s="78">
        <f>C22-B57</f>
        <v>8189.0099999999948</v>
      </c>
      <c r="C67" s="56" t="s">
        <v>31</v>
      </c>
      <c r="D67" s="56"/>
      <c r="E67" s="56"/>
      <c r="F67" s="3"/>
      <c r="I67" s="97"/>
      <c r="J67" s="97"/>
    </row>
    <row r="68" spans="1:10" x14ac:dyDescent="0.25">
      <c r="A68" s="77" t="s">
        <v>58</v>
      </c>
      <c r="B68" s="78">
        <f>C26-B58</f>
        <v>704.25999999999976</v>
      </c>
      <c r="C68" s="56" t="s">
        <v>31</v>
      </c>
      <c r="D68" s="56"/>
      <c r="E68" s="56"/>
      <c r="F68" s="3"/>
      <c r="I68" s="97"/>
      <c r="J68" s="97"/>
    </row>
    <row r="69" spans="1:10" x14ac:dyDescent="0.25">
      <c r="A69" s="77" t="s">
        <v>59</v>
      </c>
      <c r="B69" s="78">
        <f>C28-B59</f>
        <v>-68379.419999999925</v>
      </c>
      <c r="C69" s="56" t="s">
        <v>31</v>
      </c>
      <c r="D69" s="56"/>
      <c r="E69" s="56"/>
      <c r="F69" s="3"/>
      <c r="I69" s="97"/>
      <c r="J69" s="97"/>
    </row>
    <row r="70" spans="1:10" x14ac:dyDescent="0.25">
      <c r="A70" s="77" t="s">
        <v>60</v>
      </c>
      <c r="B70" s="78">
        <f>C35-B60</f>
        <v>0</v>
      </c>
      <c r="C70" s="56" t="s">
        <v>31</v>
      </c>
      <c r="D70" s="56"/>
      <c r="E70" s="56"/>
      <c r="F70" s="3"/>
      <c r="I70" s="97"/>
      <c r="J70" s="97"/>
    </row>
    <row r="71" spans="1:10" x14ac:dyDescent="0.25">
      <c r="A71" s="77" t="s">
        <v>157</v>
      </c>
      <c r="B71" s="78">
        <f>C37-B61</f>
        <v>171.41627450980377</v>
      </c>
      <c r="C71" s="56" t="s">
        <v>31</v>
      </c>
      <c r="I71" s="97"/>
      <c r="J71" s="97"/>
    </row>
    <row r="72" spans="1:10" ht="15.75" thickBot="1" x14ac:dyDescent="0.3">
      <c r="A72" s="77"/>
      <c r="B72" s="78"/>
      <c r="C72" s="56"/>
      <c r="D72" s="98"/>
      <c r="E72" s="99"/>
      <c r="F72" s="100"/>
      <c r="G72" s="97"/>
      <c r="I72" s="97"/>
      <c r="J72" s="97"/>
    </row>
    <row r="73" spans="1:10" ht="15.75" thickBot="1" x14ac:dyDescent="0.3">
      <c r="A73" s="128" t="s">
        <v>146</v>
      </c>
      <c r="B73" s="129"/>
      <c r="C73" s="130"/>
      <c r="D73" s="101"/>
      <c r="E73" s="101"/>
      <c r="F73" s="101"/>
      <c r="G73" s="97"/>
      <c r="I73" s="97"/>
      <c r="J73" s="97"/>
    </row>
    <row r="74" spans="1:10" ht="51.75" thickBot="1" x14ac:dyDescent="0.3">
      <c r="A74" s="79" t="s">
        <v>80</v>
      </c>
      <c r="B74" s="80" t="s">
        <v>61</v>
      </c>
      <c r="C74" s="81" t="s">
        <v>67</v>
      </c>
      <c r="D74" s="102"/>
      <c r="E74" s="103"/>
      <c r="F74" s="104"/>
      <c r="G74" s="97"/>
      <c r="I74" s="97"/>
      <c r="J74" s="97"/>
    </row>
    <row r="75" spans="1:10" x14ac:dyDescent="0.25">
      <c r="A75" s="82" t="s">
        <v>62</v>
      </c>
      <c r="B75" s="113" t="s">
        <v>31</v>
      </c>
      <c r="C75" s="114" t="s">
        <v>31</v>
      </c>
      <c r="D75" s="102"/>
      <c r="E75" s="103"/>
      <c r="F75" s="104"/>
      <c r="G75" s="97"/>
      <c r="I75" s="97"/>
      <c r="J75" s="97"/>
    </row>
    <row r="76" spans="1:10" x14ac:dyDescent="0.25">
      <c r="A76" s="53" t="s">
        <v>150</v>
      </c>
      <c r="B76" s="43"/>
      <c r="C76" s="185">
        <v>31527.99</v>
      </c>
      <c r="D76" s="102"/>
      <c r="E76" s="103"/>
      <c r="F76" s="104"/>
      <c r="G76" s="97"/>
      <c r="I76" s="97"/>
      <c r="J76" s="97"/>
    </row>
    <row r="77" spans="1:10" x14ac:dyDescent="0.25">
      <c r="A77" s="53" t="s">
        <v>171</v>
      </c>
      <c r="B77" s="43"/>
      <c r="C77" s="185">
        <v>70439</v>
      </c>
      <c r="D77" s="102"/>
      <c r="E77" s="103"/>
      <c r="F77" s="104"/>
      <c r="G77" s="97"/>
      <c r="I77" s="97"/>
      <c r="J77" s="97"/>
    </row>
    <row r="78" spans="1:10" ht="15.75" thickBot="1" x14ac:dyDescent="0.3">
      <c r="A78" s="145" t="s">
        <v>5</v>
      </c>
      <c r="B78" s="146">
        <f>B76</f>
        <v>0</v>
      </c>
      <c r="C78" s="147">
        <f>C76+C77</f>
        <v>101966.99</v>
      </c>
      <c r="D78" s="105"/>
      <c r="E78" s="103"/>
      <c r="F78" s="104"/>
      <c r="G78" s="97"/>
    </row>
    <row r="79" spans="1:10" x14ac:dyDescent="0.25">
      <c r="A79" s="31"/>
      <c r="B79" s="33"/>
      <c r="C79" s="87"/>
      <c r="D79" s="105"/>
      <c r="E79" s="103"/>
      <c r="F79" s="104"/>
      <c r="G79" s="97"/>
    </row>
    <row r="80" spans="1:10" x14ac:dyDescent="0.25">
      <c r="A80" s="91"/>
      <c r="B80" s="92"/>
      <c r="C80" s="87"/>
      <c r="D80" s="88"/>
      <c r="E80" s="89"/>
    </row>
    <row r="81" spans="1:6" x14ac:dyDescent="0.25">
      <c r="A81" s="164" t="s">
        <v>132</v>
      </c>
      <c r="B81" s="149"/>
      <c r="C81" s="215"/>
      <c r="D81" s="216"/>
      <c r="E81" s="89"/>
    </row>
    <row r="82" spans="1:6" x14ac:dyDescent="0.25">
      <c r="A82" s="217"/>
      <c r="B82" s="149"/>
      <c r="C82" s="215"/>
      <c r="D82" s="218"/>
      <c r="E82" s="89"/>
    </row>
    <row r="83" spans="1:6" x14ac:dyDescent="0.25">
      <c r="A83" s="165" t="s">
        <v>133</v>
      </c>
      <c r="B83" s="149" t="s">
        <v>134</v>
      </c>
      <c r="C83" s="219"/>
      <c r="D83" s="216"/>
      <c r="E83" s="56"/>
    </row>
    <row r="84" spans="1:6" x14ac:dyDescent="0.25">
      <c r="A84" s="165"/>
      <c r="B84" s="149"/>
      <c r="C84" s="219"/>
      <c r="D84" s="216"/>
      <c r="E84" s="56"/>
    </row>
    <row r="85" spans="1:6" x14ac:dyDescent="0.25">
      <c r="A85" s="220"/>
      <c r="B85" s="221"/>
      <c r="C85" s="219"/>
      <c r="D85" s="150"/>
      <c r="E85" s="89"/>
    </row>
    <row r="86" spans="1:6" ht="15.75" x14ac:dyDescent="0.25">
      <c r="A86" s="223" t="s">
        <v>63</v>
      </c>
      <c r="B86" s="224" t="s">
        <v>134</v>
      </c>
      <c r="C86" s="225"/>
      <c r="D86" s="226" t="s">
        <v>66</v>
      </c>
      <c r="E86" s="89"/>
    </row>
    <row r="87" spans="1:6" x14ac:dyDescent="0.25">
      <c r="A87" s="91"/>
      <c r="B87" s="92"/>
      <c r="C87" s="87"/>
      <c r="D87" s="88"/>
      <c r="E87" s="89"/>
    </row>
    <row r="88" spans="1:6" x14ac:dyDescent="0.25">
      <c r="A88" s="95"/>
      <c r="B88" s="96"/>
      <c r="C88" s="89"/>
      <c r="D88" s="93"/>
      <c r="E88" s="89"/>
    </row>
    <row r="89" spans="1:6" x14ac:dyDescent="0.25">
      <c r="A89" s="95"/>
      <c r="B89" s="96"/>
      <c r="C89" s="89"/>
      <c r="D89" s="93"/>
      <c r="E89" s="89"/>
      <c r="F89" s="94"/>
    </row>
    <row r="90" spans="1:6" x14ac:dyDescent="0.25">
      <c r="A90" s="31"/>
      <c r="B90" s="33"/>
      <c r="C90" s="89"/>
      <c r="D90" s="93"/>
      <c r="E90" s="89"/>
    </row>
    <row r="91" spans="1:6" x14ac:dyDescent="0.25">
      <c r="A91" s="31"/>
      <c r="B91" s="33"/>
      <c r="C91" s="56"/>
      <c r="D91" s="87"/>
      <c r="E91" s="89"/>
    </row>
    <row r="92" spans="1:6" x14ac:dyDescent="0.25">
      <c r="A92" s="19"/>
      <c r="B92" s="20"/>
      <c r="C92" s="89"/>
      <c r="D92" s="87"/>
      <c r="E92" s="89"/>
    </row>
    <row r="93" spans="1:6" x14ac:dyDescent="0.25">
      <c r="A93" s="31"/>
      <c r="B93" s="33"/>
      <c r="C93" s="89"/>
      <c r="D93" s="56"/>
      <c r="E93" s="56"/>
      <c r="F93" s="3"/>
    </row>
    <row r="94" spans="1:6" x14ac:dyDescent="0.25">
      <c r="A94" s="31"/>
      <c r="B94" s="33"/>
      <c r="C94" s="33"/>
      <c r="D94" s="56"/>
      <c r="E94" s="89"/>
    </row>
    <row r="95" spans="1:6" x14ac:dyDescent="0.25">
      <c r="A95" s="31"/>
      <c r="B95" s="33"/>
      <c r="C95" s="33"/>
      <c r="D95" s="56"/>
      <c r="E95" s="56"/>
    </row>
    <row r="96" spans="1:6" x14ac:dyDescent="0.25">
      <c r="A96" s="31"/>
      <c r="B96" s="33"/>
      <c r="C96" s="33"/>
      <c r="D96" s="89"/>
      <c r="E96" s="89"/>
    </row>
    <row r="97" spans="1:6" x14ac:dyDescent="0.25">
      <c r="A97" s="31"/>
      <c r="B97" s="33"/>
      <c r="D97" s="89"/>
      <c r="E97" s="89"/>
    </row>
    <row r="98" spans="1:6" x14ac:dyDescent="0.25">
      <c r="D98" s="89"/>
      <c r="E98" s="89"/>
    </row>
    <row r="99" spans="1:6" x14ac:dyDescent="0.25">
      <c r="D99" s="89"/>
      <c r="E99" s="89"/>
    </row>
    <row r="100" spans="1:6" x14ac:dyDescent="0.25">
      <c r="D100" s="89"/>
      <c r="E100" s="89"/>
    </row>
    <row r="101" spans="1:6" x14ac:dyDescent="0.25">
      <c r="D101" s="89"/>
      <c r="E101" s="89"/>
    </row>
    <row r="102" spans="1:6" x14ac:dyDescent="0.25">
      <c r="B102"/>
      <c r="C102"/>
      <c r="D102" s="56"/>
      <c r="E102" s="56"/>
      <c r="F102" s="3"/>
    </row>
    <row r="103" spans="1:6" x14ac:dyDescent="0.25">
      <c r="B103"/>
      <c r="C103"/>
      <c r="D103" s="89"/>
      <c r="E103" s="89"/>
      <c r="F103" s="3"/>
    </row>
    <row r="104" spans="1:6" x14ac:dyDescent="0.25">
      <c r="B104"/>
      <c r="C104"/>
      <c r="D104" s="89"/>
      <c r="E104" s="89"/>
    </row>
    <row r="105" spans="1:6" x14ac:dyDescent="0.25">
      <c r="B105"/>
      <c r="C105"/>
      <c r="D105" s="33"/>
      <c r="E105" s="33"/>
    </row>
    <row r="106" spans="1:6" x14ac:dyDescent="0.25">
      <c r="B106"/>
      <c r="C106"/>
      <c r="D106" s="33"/>
      <c r="E106" s="33"/>
    </row>
    <row r="107" spans="1:6" x14ac:dyDescent="0.25">
      <c r="D107" s="33"/>
      <c r="E107" s="33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V108"/>
  <sheetViews>
    <sheetView view="pageBreakPreview" topLeftCell="A62" zoomScale="60" zoomScaleNormal="100" workbookViewId="0">
      <selection activeCell="C80" sqref="C80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159</v>
      </c>
      <c r="B2" s="2"/>
      <c r="C2" s="2"/>
      <c r="D2" s="2"/>
    </row>
    <row r="3" spans="1:22" ht="15.75" thickBot="1" x14ac:dyDescent="0.3">
      <c r="A3" s="1"/>
      <c r="B3" s="2"/>
      <c r="C3" s="2"/>
      <c r="D3" s="2"/>
      <c r="L3" s="108"/>
      <c r="M3" s="108"/>
      <c r="N3" s="108"/>
      <c r="O3" s="108"/>
    </row>
    <row r="4" spans="1:22" ht="15.75" thickBot="1" x14ac:dyDescent="0.3">
      <c r="A4" s="22" t="s">
        <v>0</v>
      </c>
      <c r="B4" s="126"/>
      <c r="C4" s="126"/>
      <c r="D4" s="127"/>
      <c r="L4" s="108"/>
      <c r="M4" s="108"/>
      <c r="N4" s="108"/>
      <c r="O4" s="108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L5" s="108"/>
      <c r="M5" s="108"/>
      <c r="N5" s="108"/>
      <c r="O5" s="108"/>
    </row>
    <row r="6" spans="1:22" ht="15.75" thickBot="1" x14ac:dyDescent="0.3">
      <c r="A6" s="10" t="s">
        <v>99</v>
      </c>
      <c r="B6" s="11"/>
      <c r="C6" s="11">
        <v>532.79999999999995</v>
      </c>
      <c r="D6" s="12">
        <v>8</v>
      </c>
      <c r="L6" s="108"/>
      <c r="M6" s="108"/>
      <c r="N6" s="108"/>
      <c r="O6" s="108"/>
    </row>
    <row r="7" spans="1:22" x14ac:dyDescent="0.25">
      <c r="A7" s="10"/>
      <c r="B7" s="14"/>
      <c r="C7" s="14"/>
      <c r="D7" s="15"/>
      <c r="L7" s="108"/>
      <c r="M7" s="108"/>
      <c r="N7" s="108"/>
      <c r="O7" s="108"/>
    </row>
    <row r="8" spans="1:22" ht="15.75" thickBot="1" x14ac:dyDescent="0.3">
      <c r="A8" s="16" t="s">
        <v>5</v>
      </c>
      <c r="B8" s="17"/>
      <c r="C8" s="17">
        <f>C6+C7</f>
        <v>532.79999999999995</v>
      </c>
      <c r="D8" s="18">
        <f>D6</f>
        <v>8</v>
      </c>
      <c r="L8" s="108"/>
      <c r="M8" s="108"/>
      <c r="N8" s="108"/>
      <c r="O8" s="108"/>
    </row>
    <row r="9" spans="1:22" ht="15.75" thickBot="1" x14ac:dyDescent="0.3">
      <c r="A9" s="19"/>
      <c r="B9" s="20"/>
      <c r="C9" s="20"/>
      <c r="D9" s="21"/>
      <c r="L9" s="108"/>
      <c r="M9" s="108"/>
      <c r="N9" s="108"/>
      <c r="O9" s="108"/>
    </row>
    <row r="10" spans="1:22" ht="15.75" thickBot="1" x14ac:dyDescent="0.3">
      <c r="A10" s="22" t="s">
        <v>112</v>
      </c>
      <c r="B10" s="23"/>
      <c r="C10" s="23"/>
      <c r="D10" s="24" t="s">
        <v>6</v>
      </c>
      <c r="F10" s="97"/>
      <c r="G10" s="97"/>
      <c r="H10" s="97"/>
      <c r="I10" s="97"/>
      <c r="J10" s="97"/>
      <c r="K10" s="97"/>
      <c r="L10" s="108"/>
      <c r="M10" s="108"/>
      <c r="N10" s="108"/>
      <c r="O10" s="108"/>
    </row>
    <row r="11" spans="1:22" x14ac:dyDescent="0.25">
      <c r="A11" s="25" t="s">
        <v>7</v>
      </c>
      <c r="B11" s="20"/>
      <c r="C11" s="20"/>
      <c r="D11" s="27">
        <v>10.83</v>
      </c>
      <c r="F11" s="97"/>
      <c r="G11" s="97"/>
      <c r="H11" s="97"/>
      <c r="I11" s="97"/>
      <c r="J11" s="97"/>
      <c r="K11" s="97"/>
      <c r="L11" s="108"/>
      <c r="M11" s="108"/>
      <c r="N11" s="108"/>
      <c r="O11" s="108"/>
    </row>
    <row r="12" spans="1:22" x14ac:dyDescent="0.25">
      <c r="A12" s="25" t="s">
        <v>8</v>
      </c>
      <c r="B12" s="20"/>
      <c r="C12" s="20"/>
      <c r="D12" s="27">
        <v>3.65</v>
      </c>
      <c r="F12" s="97"/>
      <c r="G12" s="97"/>
      <c r="H12" s="97"/>
      <c r="I12" s="97"/>
      <c r="J12" s="97"/>
      <c r="K12" s="97"/>
      <c r="L12" s="108"/>
      <c r="M12" s="108"/>
      <c r="N12" s="108"/>
      <c r="O12" s="108"/>
    </row>
    <row r="13" spans="1:22" x14ac:dyDescent="0.25">
      <c r="A13" s="25" t="s">
        <v>9</v>
      </c>
      <c r="B13" s="20"/>
      <c r="C13" s="20"/>
      <c r="D13" s="26"/>
      <c r="F13" s="97"/>
      <c r="G13" s="97"/>
      <c r="H13" s="97"/>
      <c r="I13" s="97"/>
      <c r="J13" s="97"/>
      <c r="K13" s="97"/>
      <c r="L13" s="108"/>
      <c r="M13" s="108"/>
      <c r="N13" s="108"/>
      <c r="O13" s="108"/>
    </row>
    <row r="14" spans="1:22" ht="15.75" thickBot="1" x14ac:dyDescent="0.3">
      <c r="A14" s="28" t="s">
        <v>10</v>
      </c>
      <c r="B14" s="29"/>
      <c r="C14" s="29"/>
      <c r="D14" s="30">
        <v>0</v>
      </c>
      <c r="F14" s="97"/>
      <c r="G14" s="97"/>
      <c r="H14" s="97"/>
      <c r="I14" s="97"/>
      <c r="J14" s="97"/>
      <c r="K14" s="97"/>
      <c r="L14" s="108"/>
      <c r="M14" s="108"/>
      <c r="N14" s="108"/>
      <c r="O14" s="108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97"/>
      <c r="G15" s="97"/>
      <c r="H15" s="97"/>
      <c r="I15" s="97"/>
      <c r="J15" s="97"/>
      <c r="K15" s="97"/>
      <c r="L15" s="108"/>
      <c r="M15" s="108"/>
      <c r="N15" s="108"/>
      <c r="O15" s="108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113</v>
      </c>
      <c r="B16" s="126"/>
      <c r="C16" s="126"/>
      <c r="D16" s="126"/>
      <c r="E16" s="127"/>
      <c r="F16" s="97"/>
      <c r="G16" s="97"/>
      <c r="H16" s="97"/>
      <c r="I16" s="97"/>
      <c r="J16" s="97"/>
      <c r="K16" s="97"/>
      <c r="L16" s="108"/>
      <c r="M16" s="109"/>
      <c r="N16" s="109"/>
      <c r="O16" s="108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39"/>
      <c r="F17" s="97"/>
      <c r="G17" s="97"/>
      <c r="H17" s="97"/>
      <c r="I17" s="97"/>
      <c r="J17" s="97"/>
      <c r="K17" s="97"/>
      <c r="L17" s="109"/>
      <c r="M17" s="110"/>
      <c r="N17" s="109"/>
      <c r="O17" s="108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39"/>
      <c r="F18" s="97"/>
      <c r="G18" s="97"/>
      <c r="H18" s="97"/>
      <c r="I18" s="97"/>
      <c r="J18" s="97"/>
      <c r="K18" s="97"/>
      <c r="L18" s="108"/>
      <c r="M18" s="108"/>
      <c r="N18" s="108"/>
      <c r="O18" s="108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114</v>
      </c>
      <c r="C19" s="38" t="s">
        <v>115</v>
      </c>
      <c r="D19" s="38" t="s">
        <v>116</v>
      </c>
      <c r="E19" s="39" t="s">
        <v>117</v>
      </c>
      <c r="F19" s="97"/>
      <c r="G19" s="97"/>
      <c r="H19" s="97"/>
      <c r="I19" s="97"/>
      <c r="J19" s="97"/>
      <c r="K19" s="97"/>
      <c r="L19" s="108"/>
      <c r="M19" s="111"/>
      <c r="N19" s="111"/>
      <c r="O19" s="108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>
        <v>9140.24</v>
      </c>
      <c r="C20" s="41">
        <f>69249.24</f>
        <v>69249.240000000005</v>
      </c>
      <c r="D20" s="40">
        <f>57638.85+1218.16</f>
        <v>58857.01</v>
      </c>
      <c r="E20" s="42">
        <f t="shared" ref="E20:E38" si="0">C20-D20+B20</f>
        <v>19532.47</v>
      </c>
      <c r="F20" s="116">
        <f>C20+F22</f>
        <v>92588.400000000009</v>
      </c>
      <c r="G20" s="117">
        <f>100</f>
        <v>100</v>
      </c>
      <c r="H20" s="115" t="s">
        <v>64</v>
      </c>
      <c r="I20" s="97"/>
      <c r="J20" s="97"/>
      <c r="K20" s="97"/>
      <c r="L20" s="108"/>
      <c r="M20" s="108"/>
      <c r="N20" s="108"/>
      <c r="O20" s="108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16"/>
      <c r="G21" s="117"/>
      <c r="H21" s="115"/>
      <c r="I21" s="97"/>
      <c r="J21" s="97"/>
      <c r="K21" s="97"/>
      <c r="L21" s="108"/>
      <c r="M21" s="108"/>
      <c r="N21" s="108"/>
      <c r="O21" s="108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>
        <v>3080.55</v>
      </c>
      <c r="C22" s="44">
        <f>23339.16</f>
        <v>23339.16</v>
      </c>
      <c r="D22" s="43">
        <f>19426.09+410.56</f>
        <v>19836.650000000001</v>
      </c>
      <c r="E22" s="45">
        <f t="shared" si="0"/>
        <v>6583.0599999999986</v>
      </c>
      <c r="F22" s="116">
        <f>C22</f>
        <v>23339.16</v>
      </c>
      <c r="G22" s="118">
        <f>F22*G20/F20</f>
        <v>25.207434192620241</v>
      </c>
      <c r="H22" s="115" t="s">
        <v>64</v>
      </c>
      <c r="I22" s="97"/>
      <c r="J22" s="97"/>
      <c r="K22" s="97"/>
      <c r="L22" s="108"/>
      <c r="M22" s="108"/>
      <c r="N22" s="111"/>
      <c r="O22" s="108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97"/>
      <c r="G23" s="97"/>
      <c r="H23" s="97"/>
      <c r="I23" s="97"/>
      <c r="J23" s="97"/>
      <c r="K23" s="97"/>
      <c r="L23" s="108"/>
      <c r="M23" s="108"/>
      <c r="N23" s="108"/>
      <c r="O23" s="108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44"/>
      <c r="D24" s="44"/>
      <c r="E24" s="45">
        <f t="shared" si="0"/>
        <v>0</v>
      </c>
      <c r="F24" s="97"/>
      <c r="G24" s="97"/>
      <c r="H24" s="97"/>
      <c r="I24" s="97"/>
      <c r="J24" s="97"/>
      <c r="K24" s="97"/>
      <c r="L24" s="108"/>
      <c r="M24" s="108"/>
      <c r="N24" s="108"/>
      <c r="O24" s="108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97"/>
      <c r="G25" s="97"/>
      <c r="H25" s="97"/>
      <c r="I25" s="97"/>
      <c r="J25" s="97"/>
      <c r="K25" s="97"/>
      <c r="L25" s="108"/>
      <c r="M25" s="108"/>
      <c r="N25" s="108"/>
      <c r="O25" s="108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/>
      <c r="C26" s="44"/>
      <c r="D26" s="44"/>
      <c r="E26" s="45">
        <f t="shared" si="0"/>
        <v>0</v>
      </c>
      <c r="F26" s="97"/>
      <c r="G26" s="97"/>
      <c r="H26" s="97"/>
      <c r="I26" s="97"/>
      <c r="J26" s="97"/>
      <c r="K26" s="97"/>
      <c r="L26" s="108"/>
      <c r="M26" s="108"/>
      <c r="N26" s="108"/>
      <c r="O26" s="108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83</v>
      </c>
      <c r="B27" s="44"/>
      <c r="C27" s="44"/>
      <c r="D27" s="44"/>
      <c r="E27" s="45">
        <f t="shared" si="0"/>
        <v>0</v>
      </c>
      <c r="F27" s="97"/>
      <c r="G27" s="97"/>
      <c r="H27" s="97"/>
      <c r="I27" s="97"/>
      <c r="J27" s="97"/>
      <c r="K27" s="97"/>
      <c r="L27" s="108"/>
      <c r="M27" s="108"/>
      <c r="N27" s="108"/>
      <c r="O27" s="108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49216.299999999996</v>
      </c>
      <c r="C28" s="50">
        <f>C29+C30+C31+C33+C32</f>
        <v>178770.62999999998</v>
      </c>
      <c r="D28" s="50">
        <f>D29+D30+D31+D33+D32</f>
        <v>168011.83</v>
      </c>
      <c r="E28" s="51">
        <f>C28-D28+B28</f>
        <v>59975.099999999984</v>
      </c>
      <c r="F28" s="97"/>
      <c r="G28" s="97"/>
      <c r="H28" s="97"/>
      <c r="I28" s="97"/>
      <c r="J28" s="97"/>
      <c r="K28" s="97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40">
        <f>39172.45</f>
        <v>39172.449999999997</v>
      </c>
      <c r="C29" s="40">
        <f>140976.05+177.58</f>
        <v>141153.62999999998</v>
      </c>
      <c r="D29" s="40">
        <f>125741.95+2226.57</f>
        <v>127968.52</v>
      </c>
      <c r="E29" s="42">
        <f t="shared" si="0"/>
        <v>52357.559999999969</v>
      </c>
      <c r="F29" s="97"/>
      <c r="G29" s="97"/>
      <c r="H29" s="97"/>
      <c r="I29" s="97"/>
      <c r="J29" s="97"/>
      <c r="K29" s="97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23</v>
      </c>
      <c r="B30" s="43">
        <f>1651.71+532.31</f>
        <v>2184.02</v>
      </c>
      <c r="C30" s="43">
        <f>25797.87+5597.27-1478.46-158.43</f>
        <v>29758.25</v>
      </c>
      <c r="D30" s="43">
        <f>19052.5+4355.56+622.11+97.63</f>
        <v>24127.800000000003</v>
      </c>
      <c r="E30" s="45">
        <f t="shared" si="0"/>
        <v>7814.4699999999975</v>
      </c>
      <c r="F30" s="97"/>
      <c r="G30" s="97"/>
      <c r="H30" s="97"/>
      <c r="I30" s="97"/>
      <c r="J30" s="97"/>
      <c r="K30" s="97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43">
        <f>339.03</f>
        <v>339.03</v>
      </c>
      <c r="C31" s="43">
        <f>2351.65-171.91</f>
        <v>2179.7400000000002</v>
      </c>
      <c r="D31" s="43">
        <f>1974.63+19.14</f>
        <v>1993.7700000000002</v>
      </c>
      <c r="E31" s="45">
        <f t="shared" si="0"/>
        <v>525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53" t="s">
        <v>100</v>
      </c>
      <c r="B32" s="43">
        <v>6781.8</v>
      </c>
      <c r="C32" s="43"/>
      <c r="D32" s="43">
        <f>9003.72</f>
        <v>9003.7199999999993</v>
      </c>
      <c r="E32" s="45">
        <f t="shared" si="0"/>
        <v>-2221.9199999999992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43">
        <v>739</v>
      </c>
      <c r="C33" s="43">
        <f>6057.38-378.37</f>
        <v>5679.01</v>
      </c>
      <c r="D33" s="43">
        <f>4838.27+79.75</f>
        <v>4918.0200000000004</v>
      </c>
      <c r="E33" s="45">
        <f t="shared" si="0"/>
        <v>1499.9899999999998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74</v>
      </c>
      <c r="B35" s="54"/>
      <c r="C35" s="55"/>
      <c r="D35" s="55"/>
      <c r="E35" s="45">
        <f t="shared" si="0"/>
        <v>0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155</v>
      </c>
      <c r="B37" s="44"/>
      <c r="C37" s="44"/>
      <c r="D37" s="44"/>
      <c r="E37" s="45">
        <f t="shared" si="0"/>
        <v>0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/>
      <c r="C38" s="46"/>
      <c r="D38" s="46"/>
      <c r="E38" s="47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61437.09</v>
      </c>
      <c r="C39" s="58">
        <f>C20+C21+C22+C23+C24+C25+C26+C28+C35+C36+C37+C38</f>
        <v>271359.02999999997</v>
      </c>
      <c r="D39" s="58">
        <f>D20+D21+D22+D23+D24+D25+D26+D28+D35+D36+D37+D38+D27</f>
        <v>246705.49</v>
      </c>
      <c r="E39" s="58">
        <f>E20+E21+E22+E23+E24+E25+E26+E28+E35+E36+E37+E38+E27</f>
        <v>86090.629999999976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59"/>
      <c r="B40" s="60"/>
      <c r="C40" s="56"/>
      <c r="D40" s="122"/>
      <c r="E40" s="122"/>
      <c r="F40" s="123"/>
      <c r="G40" s="124"/>
      <c r="H40" s="124"/>
      <c r="I40" s="124"/>
      <c r="J40" s="137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59"/>
      <c r="B41" s="60"/>
      <c r="C41" s="56"/>
      <c r="D41" s="119"/>
      <c r="E41" s="119"/>
      <c r="F41" s="138"/>
      <c r="G41" s="115"/>
      <c r="H41" s="137"/>
      <c r="I41" s="137"/>
      <c r="J41" s="137"/>
    </row>
    <row r="42" spans="1:22" ht="15.75" thickBot="1" x14ac:dyDescent="0.3">
      <c r="A42" s="61" t="s">
        <v>30</v>
      </c>
      <c r="B42" s="62">
        <f>B44+B59+B60+B57+B62+B58+B61</f>
        <v>296702.11326468573</v>
      </c>
      <c r="C42" s="63" t="s">
        <v>31</v>
      </c>
      <c r="D42" s="119">
        <f>C39-B42-B62</f>
        <v>-26148.999231072314</v>
      </c>
      <c r="E42" s="272" t="s">
        <v>32</v>
      </c>
      <c r="F42" s="273">
        <v>5512727.4500000002</v>
      </c>
      <c r="G42" s="274">
        <f>F42/F48*C8</f>
        <v>24682.19483495798</v>
      </c>
      <c r="H42" s="137"/>
      <c r="I42" s="137"/>
      <c r="J42" s="137"/>
    </row>
    <row r="43" spans="1:22" x14ac:dyDescent="0.25">
      <c r="A43" s="64" t="s">
        <v>124</v>
      </c>
      <c r="B43" s="65">
        <f>44441.04</f>
        <v>44441.04</v>
      </c>
      <c r="C43" s="69" t="s">
        <v>31</v>
      </c>
      <c r="D43" s="119"/>
      <c r="E43" s="272" t="s">
        <v>33</v>
      </c>
      <c r="F43" s="273">
        <f>1264951.09</f>
        <v>1264951.0900000001</v>
      </c>
      <c r="G43" s="274">
        <f>F43/F48*C8</f>
        <v>5663.5793340504206</v>
      </c>
      <c r="H43" s="137"/>
      <c r="I43" s="137"/>
      <c r="J43" s="137"/>
    </row>
    <row r="44" spans="1:22" x14ac:dyDescent="0.25">
      <c r="A44" s="67" t="s">
        <v>34</v>
      </c>
      <c r="B44" s="160">
        <f>B45+B46+B48+B49+B50+B51+B52+B53+B54+B55+B56+B47</f>
        <v>97140.597298299166</v>
      </c>
      <c r="C44" s="69" t="s">
        <v>31</v>
      </c>
      <c r="D44" s="119"/>
      <c r="E44" s="272" t="s">
        <v>35</v>
      </c>
      <c r="F44" s="273">
        <v>180000</v>
      </c>
      <c r="G44" s="274">
        <f>F44/F48*C8</f>
        <v>805.91596638655449</v>
      </c>
      <c r="H44" s="137"/>
      <c r="I44" s="137"/>
      <c r="J44" s="137"/>
    </row>
    <row r="45" spans="1:22" x14ac:dyDescent="0.25">
      <c r="A45" s="70" t="s">
        <v>76</v>
      </c>
      <c r="B45" s="184">
        <v>2302.7199999999998</v>
      </c>
      <c r="C45" s="71" t="s">
        <v>31</v>
      </c>
      <c r="D45" s="119"/>
      <c r="E45" s="272" t="s">
        <v>18</v>
      </c>
      <c r="F45" s="273">
        <f>299837.27</f>
        <v>299837.27</v>
      </c>
      <c r="G45" s="274">
        <f>F45/F48*C8</f>
        <v>1342.4646845042016</v>
      </c>
      <c r="H45" s="137"/>
      <c r="I45" s="137"/>
      <c r="J45" s="137"/>
    </row>
    <row r="46" spans="1:22" x14ac:dyDescent="0.25">
      <c r="A46" s="72" t="s">
        <v>37</v>
      </c>
      <c r="B46" s="184">
        <f>(G42+G43)</f>
        <v>30345.7741690084</v>
      </c>
      <c r="C46" s="71" t="s">
        <v>31</v>
      </c>
      <c r="D46" s="119"/>
      <c r="E46" s="275" t="s">
        <v>38</v>
      </c>
      <c r="F46" s="273">
        <f>7000+1260+30890+4200</f>
        <v>43350</v>
      </c>
      <c r="G46" s="274">
        <f>F46/F48*C8</f>
        <v>194.09142857142854</v>
      </c>
      <c r="H46" s="137"/>
      <c r="I46" s="137"/>
      <c r="J46" s="137"/>
    </row>
    <row r="47" spans="1:22" x14ac:dyDescent="0.25">
      <c r="A47" s="72" t="s">
        <v>39</v>
      </c>
      <c r="B47" s="184">
        <v>3840</v>
      </c>
      <c r="C47" s="71" t="s">
        <v>31</v>
      </c>
      <c r="D47" s="119"/>
      <c r="E47" s="274" t="s">
        <v>12</v>
      </c>
      <c r="F47" s="273">
        <f>8022857.59-F46</f>
        <v>7979507.5899999999</v>
      </c>
      <c r="G47" s="274">
        <f>F47/F48*C8</f>
        <v>35726.736503798311</v>
      </c>
      <c r="H47" s="137"/>
      <c r="I47" s="137"/>
      <c r="J47" s="137"/>
    </row>
    <row r="48" spans="1:22" x14ac:dyDescent="0.25">
      <c r="A48" s="70" t="s">
        <v>40</v>
      </c>
      <c r="B48" s="184">
        <f>G46</f>
        <v>194.09142857142854</v>
      </c>
      <c r="C48" s="71" t="s">
        <v>31</v>
      </c>
      <c r="D48" s="119"/>
      <c r="E48" s="276" t="s">
        <v>41</v>
      </c>
      <c r="F48" s="277">
        <f>119000</f>
        <v>119000</v>
      </c>
      <c r="G48" s="274"/>
      <c r="H48" s="137"/>
      <c r="I48" s="137"/>
      <c r="J48" s="137"/>
    </row>
    <row r="49" spans="1:10" x14ac:dyDescent="0.25">
      <c r="A49" s="70" t="s">
        <v>42</v>
      </c>
      <c r="B49" s="184">
        <f>G45</f>
        <v>1342.4646845042016</v>
      </c>
      <c r="C49" s="71" t="s">
        <v>31</v>
      </c>
      <c r="D49" s="119"/>
      <c r="E49" s="278"/>
      <c r="F49" s="274"/>
      <c r="G49" s="274"/>
      <c r="H49" s="137"/>
      <c r="I49" s="137"/>
      <c r="J49" s="137"/>
    </row>
    <row r="50" spans="1:10" x14ac:dyDescent="0.25">
      <c r="A50" s="70" t="s">
        <v>43</v>
      </c>
      <c r="B50" s="184">
        <f>G47</f>
        <v>35726.736503798311</v>
      </c>
      <c r="C50" s="71" t="s">
        <v>31</v>
      </c>
      <c r="D50" s="119"/>
      <c r="E50" s="279" t="s">
        <v>70</v>
      </c>
      <c r="F50" s="277">
        <f>1910.32</f>
        <v>1910.32</v>
      </c>
      <c r="G50" s="279">
        <f>F50/F48*C8</f>
        <v>8.5530966050420165</v>
      </c>
      <c r="H50" s="137"/>
      <c r="I50" s="137"/>
      <c r="J50" s="137"/>
    </row>
    <row r="51" spans="1:10" x14ac:dyDescent="0.25">
      <c r="A51" s="70" t="s">
        <v>44</v>
      </c>
      <c r="B51" s="184">
        <f>G52</f>
        <v>73.560427563025186</v>
      </c>
      <c r="C51" s="71" t="s">
        <v>31</v>
      </c>
      <c r="D51" s="119"/>
      <c r="E51" s="119"/>
      <c r="F51" s="120"/>
      <c r="G51" s="121"/>
      <c r="H51" s="137"/>
      <c r="I51" s="137"/>
      <c r="J51" s="137"/>
    </row>
    <row r="52" spans="1:10" x14ac:dyDescent="0.25">
      <c r="A52" s="70" t="s">
        <v>45</v>
      </c>
      <c r="B52" s="184">
        <f>G50</f>
        <v>8.5530966050420165</v>
      </c>
      <c r="C52" s="71" t="s">
        <v>31</v>
      </c>
      <c r="D52" s="119"/>
      <c r="E52" s="119" t="s">
        <v>125</v>
      </c>
      <c r="F52" s="280">
        <f>16429.6</f>
        <v>16429.599999999999</v>
      </c>
      <c r="G52" s="279">
        <f>F52/F48*C8</f>
        <v>73.560427563025186</v>
      </c>
      <c r="H52" s="137"/>
      <c r="I52" s="137"/>
      <c r="J52" s="137"/>
    </row>
    <row r="53" spans="1:10" x14ac:dyDescent="0.25">
      <c r="A53" s="70" t="s">
        <v>46</v>
      </c>
      <c r="B53" s="184"/>
      <c r="C53" s="71" t="s">
        <v>31</v>
      </c>
      <c r="D53" s="119"/>
      <c r="E53" s="119"/>
      <c r="F53" s="120"/>
      <c r="G53" s="121"/>
      <c r="H53" s="137"/>
      <c r="I53" s="137"/>
      <c r="J53" s="137"/>
    </row>
    <row r="54" spans="1:10" ht="33" customHeight="1" x14ac:dyDescent="0.25">
      <c r="A54" s="191" t="s">
        <v>144</v>
      </c>
      <c r="B54" s="184">
        <f>8775+2750+800+623.05</f>
        <v>12948.05</v>
      </c>
      <c r="C54" s="71" t="s">
        <v>31</v>
      </c>
      <c r="D54" s="119"/>
      <c r="E54" s="119"/>
      <c r="F54" s="120"/>
      <c r="G54" s="121"/>
      <c r="H54" s="137"/>
      <c r="I54" s="137"/>
      <c r="J54" s="137"/>
    </row>
    <row r="55" spans="1:10" x14ac:dyDescent="0.25">
      <c r="A55" s="70" t="s">
        <v>48</v>
      </c>
      <c r="B55" s="184">
        <v>1918.08</v>
      </c>
      <c r="C55" s="71" t="s">
        <v>31</v>
      </c>
      <c r="D55" s="56"/>
      <c r="E55" s="56"/>
      <c r="F55" s="136"/>
      <c r="G55" s="137"/>
      <c r="H55" s="137"/>
      <c r="I55" s="137"/>
      <c r="J55" s="137"/>
    </row>
    <row r="56" spans="1:10" x14ac:dyDescent="0.25">
      <c r="A56" s="70" t="s">
        <v>49</v>
      </c>
      <c r="B56" s="184">
        <f>(B46+B47+B48+B49+B50+B52+B53+B54)*0.1</f>
        <v>8440.56698824874</v>
      </c>
      <c r="C56" s="71" t="s">
        <v>31</v>
      </c>
      <c r="D56" s="101"/>
      <c r="E56" s="101"/>
      <c r="F56" s="125"/>
      <c r="G56" s="97"/>
      <c r="H56" s="97"/>
      <c r="I56" s="97"/>
      <c r="J56" s="137"/>
    </row>
    <row r="57" spans="1:10" x14ac:dyDescent="0.25">
      <c r="A57" s="67" t="s">
        <v>50</v>
      </c>
      <c r="B57" s="160">
        <f>C79</f>
        <v>17002</v>
      </c>
      <c r="C57" s="69" t="s">
        <v>31</v>
      </c>
      <c r="D57" s="122"/>
      <c r="E57" s="122"/>
      <c r="F57" s="123"/>
      <c r="G57" s="124"/>
      <c r="H57" s="124"/>
      <c r="I57" s="97"/>
      <c r="J57" s="137"/>
    </row>
    <row r="58" spans="1:10" x14ac:dyDescent="0.25">
      <c r="A58" s="67" t="s">
        <v>51</v>
      </c>
      <c r="B58" s="160">
        <f>600+600+600</f>
        <v>1800</v>
      </c>
      <c r="C58" s="69" t="s">
        <v>31</v>
      </c>
      <c r="D58" s="122"/>
      <c r="E58" s="122"/>
      <c r="F58" s="123"/>
      <c r="G58" s="124"/>
      <c r="H58" s="124"/>
      <c r="I58" s="97"/>
      <c r="J58" s="137"/>
    </row>
    <row r="59" spans="1:10" x14ac:dyDescent="0.25">
      <c r="A59" s="67" t="s">
        <v>52</v>
      </c>
      <c r="B59" s="160">
        <f>5598.09+5677.72+166352.09+2325.7</f>
        <v>179953.6</v>
      </c>
      <c r="C59" s="69" t="s">
        <v>31</v>
      </c>
      <c r="D59" s="56"/>
      <c r="E59" s="56"/>
      <c r="F59" s="3"/>
      <c r="I59" s="97"/>
      <c r="J59" s="137"/>
    </row>
    <row r="60" spans="1:10" x14ac:dyDescent="0.25">
      <c r="A60" s="67" t="s">
        <v>53</v>
      </c>
      <c r="B60" s="160"/>
      <c r="C60" s="69" t="s">
        <v>54</v>
      </c>
      <c r="D60" s="56"/>
      <c r="E60" s="56"/>
      <c r="F60" s="3"/>
      <c r="I60" s="97"/>
      <c r="J60" s="137"/>
    </row>
    <row r="61" spans="1:10" x14ac:dyDescent="0.25">
      <c r="A61" s="133" t="s">
        <v>154</v>
      </c>
      <c r="B61" s="258">
        <f>C37/1.02</f>
        <v>0</v>
      </c>
      <c r="C61" s="135"/>
      <c r="D61" s="56"/>
      <c r="E61" s="56"/>
      <c r="F61" s="3"/>
      <c r="I61" s="97"/>
      <c r="J61" s="137"/>
    </row>
    <row r="62" spans="1:10" ht="15.75" thickBot="1" x14ac:dyDescent="0.3">
      <c r="A62" s="73" t="s">
        <v>78</v>
      </c>
      <c r="B62" s="74">
        <f>G44</f>
        <v>805.91596638655449</v>
      </c>
      <c r="C62" s="75" t="s">
        <v>31</v>
      </c>
      <c r="D62" s="56"/>
      <c r="E62" s="56"/>
      <c r="F62" s="3"/>
      <c r="I62" s="97"/>
      <c r="J62" s="137"/>
    </row>
    <row r="63" spans="1:10" x14ac:dyDescent="0.25">
      <c r="A63" s="59"/>
      <c r="B63" s="60"/>
      <c r="C63" s="56"/>
      <c r="D63" s="56"/>
      <c r="E63" s="56"/>
      <c r="F63" s="3"/>
      <c r="I63" s="97"/>
      <c r="J63" s="137"/>
    </row>
    <row r="64" spans="1:10" x14ac:dyDescent="0.25">
      <c r="A64" s="59" t="s">
        <v>142</v>
      </c>
      <c r="B64" s="143">
        <f>C39-C24+B43-B42</f>
        <v>19097.956735314219</v>
      </c>
      <c r="C64" s="56" t="s">
        <v>31</v>
      </c>
      <c r="D64" s="56"/>
      <c r="E64" s="56"/>
      <c r="F64" s="3"/>
      <c r="I64" s="97"/>
      <c r="J64" s="137"/>
    </row>
    <row r="65" spans="1:10" x14ac:dyDescent="0.25">
      <c r="A65" s="59" t="s">
        <v>130</v>
      </c>
      <c r="B65" s="2">
        <f>B66+B67+B68+B69+B70+B71</f>
        <v>-25343.083264685745</v>
      </c>
      <c r="C65" s="56" t="s">
        <v>31</v>
      </c>
      <c r="D65" s="56"/>
      <c r="E65" s="56"/>
      <c r="F65" s="3"/>
      <c r="I65" s="97"/>
      <c r="J65" s="137"/>
    </row>
    <row r="66" spans="1:10" x14ac:dyDescent="0.25">
      <c r="A66" s="77" t="s">
        <v>56</v>
      </c>
      <c r="B66" s="78">
        <f>C20-B44-B62</f>
        <v>-28697.273264685715</v>
      </c>
      <c r="C66" s="56" t="s">
        <v>31</v>
      </c>
      <c r="D66" s="56"/>
      <c r="E66" s="56"/>
      <c r="F66" s="3"/>
      <c r="I66" s="97"/>
      <c r="J66" s="137"/>
    </row>
    <row r="67" spans="1:10" x14ac:dyDescent="0.25">
      <c r="A67" s="77" t="s">
        <v>57</v>
      </c>
      <c r="B67" s="78">
        <f>C22-B57</f>
        <v>6337.16</v>
      </c>
      <c r="C67" s="56" t="s">
        <v>31</v>
      </c>
      <c r="D67" s="56"/>
      <c r="E67" s="56"/>
      <c r="F67" s="3"/>
      <c r="I67" s="97"/>
      <c r="J67" s="137"/>
    </row>
    <row r="68" spans="1:10" x14ac:dyDescent="0.25">
      <c r="A68" s="77" t="s">
        <v>58</v>
      </c>
      <c r="B68" s="78">
        <f>C26-B58</f>
        <v>-1800</v>
      </c>
      <c r="C68" s="56" t="s">
        <v>31</v>
      </c>
      <c r="D68" s="56"/>
      <c r="E68" s="56"/>
      <c r="F68" s="3"/>
      <c r="I68" s="97"/>
      <c r="J68" s="137"/>
    </row>
    <row r="69" spans="1:10" x14ac:dyDescent="0.25">
      <c r="A69" s="77" t="s">
        <v>59</v>
      </c>
      <c r="B69" s="78">
        <f>C28-B59</f>
        <v>-1182.9700000000303</v>
      </c>
      <c r="C69" s="56" t="s">
        <v>31</v>
      </c>
      <c r="D69" s="56"/>
      <c r="E69" s="56"/>
      <c r="F69" s="3"/>
      <c r="I69" s="97"/>
      <c r="J69" s="137"/>
    </row>
    <row r="70" spans="1:10" x14ac:dyDescent="0.25">
      <c r="A70" s="77" t="s">
        <v>60</v>
      </c>
      <c r="B70" s="78">
        <f>C35-B60</f>
        <v>0</v>
      </c>
      <c r="C70" s="56" t="s">
        <v>31</v>
      </c>
      <c r="D70" s="56"/>
      <c r="E70" s="56"/>
      <c r="F70" s="3"/>
      <c r="I70" s="97"/>
      <c r="J70" s="137"/>
    </row>
    <row r="71" spans="1:10" x14ac:dyDescent="0.25">
      <c r="A71" s="77" t="s">
        <v>157</v>
      </c>
      <c r="B71" s="78">
        <f>C37-B61</f>
        <v>0</v>
      </c>
      <c r="C71" s="56" t="s">
        <v>31</v>
      </c>
      <c r="I71" s="97"/>
      <c r="J71" s="137"/>
    </row>
    <row r="72" spans="1:10" ht="15.75" thickBot="1" x14ac:dyDescent="0.3">
      <c r="A72" s="77"/>
      <c r="B72" s="78"/>
      <c r="C72" s="56"/>
      <c r="D72" s="98"/>
      <c r="E72" s="99"/>
      <c r="F72" s="100"/>
      <c r="G72" s="97"/>
      <c r="I72" s="97"/>
      <c r="J72" s="137"/>
    </row>
    <row r="73" spans="1:10" ht="15.75" thickBot="1" x14ac:dyDescent="0.3">
      <c r="A73" s="128" t="s">
        <v>146</v>
      </c>
      <c r="B73" s="129"/>
      <c r="C73" s="130"/>
      <c r="D73" s="101"/>
      <c r="E73" s="101"/>
      <c r="F73" s="101"/>
      <c r="G73" s="97"/>
      <c r="I73" s="97"/>
      <c r="J73" s="137"/>
    </row>
    <row r="74" spans="1:10" ht="51.75" thickBot="1" x14ac:dyDescent="0.3">
      <c r="A74" s="79" t="s">
        <v>80</v>
      </c>
      <c r="B74" s="80" t="s">
        <v>61</v>
      </c>
      <c r="C74" s="81" t="s">
        <v>67</v>
      </c>
      <c r="D74" s="102"/>
      <c r="E74" s="103"/>
      <c r="F74" s="104"/>
      <c r="G74" s="97"/>
      <c r="I74" s="97"/>
      <c r="J74" s="137"/>
    </row>
    <row r="75" spans="1:10" x14ac:dyDescent="0.25">
      <c r="A75" s="82" t="s">
        <v>62</v>
      </c>
      <c r="B75" s="113" t="s">
        <v>31</v>
      </c>
      <c r="C75" s="114" t="s">
        <v>31</v>
      </c>
      <c r="D75" s="102"/>
      <c r="E75" s="103"/>
      <c r="F75" s="104"/>
      <c r="G75" s="97"/>
      <c r="I75" s="97"/>
      <c r="J75" s="137"/>
    </row>
    <row r="76" spans="1:10" x14ac:dyDescent="0.25">
      <c r="A76" s="53" t="s">
        <v>150</v>
      </c>
      <c r="B76" s="43"/>
      <c r="C76" s="185">
        <v>10202</v>
      </c>
      <c r="D76" s="102"/>
      <c r="E76" s="103"/>
      <c r="F76" s="104"/>
      <c r="G76" s="97"/>
    </row>
    <row r="77" spans="1:10" x14ac:dyDescent="0.25">
      <c r="A77" s="53" t="s">
        <v>183</v>
      </c>
      <c r="B77" s="43"/>
      <c r="C77" s="107">
        <v>3300</v>
      </c>
      <c r="D77" s="102"/>
      <c r="E77" s="103"/>
      <c r="F77" s="104"/>
      <c r="G77" s="97"/>
    </row>
    <row r="78" spans="1:10" x14ac:dyDescent="0.25">
      <c r="A78" s="53" t="s">
        <v>179</v>
      </c>
      <c r="B78" s="43"/>
      <c r="C78" s="107">
        <v>3500</v>
      </c>
      <c r="D78" s="102"/>
      <c r="E78" s="103"/>
      <c r="F78" s="104"/>
      <c r="G78" s="97"/>
    </row>
    <row r="79" spans="1:10" ht="15.75" thickBot="1" x14ac:dyDescent="0.3">
      <c r="A79" s="145" t="s">
        <v>5</v>
      </c>
      <c r="B79" s="146">
        <f>B76</f>
        <v>0</v>
      </c>
      <c r="C79" s="147">
        <f>C76+C77+C78</f>
        <v>17002</v>
      </c>
      <c r="D79" s="105"/>
      <c r="E79" s="103"/>
      <c r="F79" s="104"/>
      <c r="G79" s="97"/>
    </row>
    <row r="80" spans="1:10" x14ac:dyDescent="0.25">
      <c r="A80" s="31"/>
      <c r="B80" s="33"/>
      <c r="C80" s="87"/>
      <c r="D80" s="105"/>
      <c r="E80" s="103"/>
      <c r="F80" s="104"/>
      <c r="G80" s="97"/>
    </row>
    <row r="81" spans="1:6" x14ac:dyDescent="0.25">
      <c r="A81" s="164" t="s">
        <v>132</v>
      </c>
      <c r="B81" s="149"/>
      <c r="C81" s="215"/>
      <c r="D81" s="216"/>
      <c r="E81" s="89"/>
    </row>
    <row r="82" spans="1:6" x14ac:dyDescent="0.25">
      <c r="A82" s="217"/>
      <c r="B82" s="149"/>
      <c r="C82" s="215"/>
      <c r="D82" s="218"/>
      <c r="E82" s="89"/>
    </row>
    <row r="83" spans="1:6" x14ac:dyDescent="0.25">
      <c r="A83" s="165" t="s">
        <v>133</v>
      </c>
      <c r="B83" s="149" t="s">
        <v>134</v>
      </c>
      <c r="C83" s="219"/>
      <c r="D83" s="216"/>
      <c r="E83" s="89"/>
    </row>
    <row r="84" spans="1:6" x14ac:dyDescent="0.25">
      <c r="A84" s="165"/>
      <c r="B84" s="149"/>
      <c r="C84" s="219"/>
      <c r="D84" s="216"/>
      <c r="E84" s="56"/>
    </row>
    <row r="85" spans="1:6" x14ac:dyDescent="0.25">
      <c r="A85" s="220"/>
      <c r="B85" s="221"/>
      <c r="C85" s="219"/>
      <c r="D85" s="150"/>
      <c r="E85" s="56"/>
    </row>
    <row r="86" spans="1:6" ht="15.75" x14ac:dyDescent="0.25">
      <c r="A86" s="223" t="s">
        <v>63</v>
      </c>
      <c r="B86" s="224" t="s">
        <v>134</v>
      </c>
      <c r="C86" s="225"/>
      <c r="D86" s="226" t="s">
        <v>66</v>
      </c>
      <c r="E86" s="89"/>
    </row>
    <row r="87" spans="1:6" x14ac:dyDescent="0.25">
      <c r="A87" s="91"/>
      <c r="B87" s="92"/>
      <c r="C87" s="87"/>
      <c r="D87" s="88"/>
      <c r="E87" s="89"/>
    </row>
    <row r="88" spans="1:6" x14ac:dyDescent="0.25">
      <c r="A88" s="31"/>
      <c r="B88" s="33"/>
      <c r="C88" s="89"/>
      <c r="D88" s="93"/>
      <c r="E88" s="89"/>
    </row>
    <row r="89" spans="1:6" x14ac:dyDescent="0.25">
      <c r="A89" s="95"/>
      <c r="B89" s="96"/>
      <c r="C89" s="89"/>
      <c r="D89" s="93"/>
      <c r="E89" s="89"/>
    </row>
    <row r="90" spans="1:6" x14ac:dyDescent="0.25">
      <c r="A90" s="95"/>
      <c r="B90" s="96"/>
      <c r="C90" s="89"/>
      <c r="D90" s="93"/>
      <c r="E90" s="89"/>
      <c r="F90" s="94"/>
    </row>
    <row r="91" spans="1:6" x14ac:dyDescent="0.25">
      <c r="A91" s="31"/>
      <c r="B91" s="33"/>
      <c r="C91" s="89"/>
      <c r="D91" s="93"/>
      <c r="E91" s="89"/>
    </row>
    <row r="92" spans="1:6" x14ac:dyDescent="0.25">
      <c r="A92" s="31"/>
      <c r="B92" s="33"/>
      <c r="C92" s="56"/>
      <c r="D92" s="87"/>
      <c r="E92" s="89"/>
    </row>
    <row r="93" spans="1:6" x14ac:dyDescent="0.25">
      <c r="A93" s="19"/>
      <c r="B93" s="20"/>
      <c r="C93" s="89"/>
      <c r="D93" s="87"/>
      <c r="E93" s="89"/>
    </row>
    <row r="94" spans="1:6" x14ac:dyDescent="0.25">
      <c r="A94" s="31"/>
      <c r="B94" s="33"/>
      <c r="C94" s="89"/>
      <c r="D94" s="56"/>
      <c r="E94" s="56"/>
      <c r="F94" s="3"/>
    </row>
    <row r="95" spans="1:6" x14ac:dyDescent="0.25">
      <c r="A95" s="31"/>
      <c r="B95" s="33"/>
      <c r="C95" s="33"/>
      <c r="D95" s="56"/>
      <c r="E95" s="89"/>
    </row>
    <row r="96" spans="1:6" x14ac:dyDescent="0.25">
      <c r="A96" s="31"/>
      <c r="B96" s="33"/>
      <c r="C96" s="33"/>
      <c r="D96" s="56"/>
      <c r="E96" s="56"/>
    </row>
    <row r="97" spans="1:6" x14ac:dyDescent="0.25">
      <c r="A97" s="31"/>
      <c r="B97" s="33"/>
      <c r="C97" s="33"/>
      <c r="D97" s="89"/>
      <c r="E97" s="89"/>
    </row>
    <row r="98" spans="1:6" x14ac:dyDescent="0.25">
      <c r="A98" s="31"/>
      <c r="B98" s="33"/>
      <c r="D98" s="89"/>
      <c r="E98" s="89"/>
    </row>
    <row r="99" spans="1:6" x14ac:dyDescent="0.25">
      <c r="D99" s="89"/>
      <c r="E99" s="89"/>
    </row>
    <row r="100" spans="1:6" x14ac:dyDescent="0.25">
      <c r="D100" s="89"/>
      <c r="E100" s="89"/>
    </row>
    <row r="101" spans="1:6" x14ac:dyDescent="0.25">
      <c r="D101" s="89"/>
      <c r="E101" s="89"/>
    </row>
    <row r="102" spans="1:6" x14ac:dyDescent="0.25">
      <c r="D102" s="89"/>
      <c r="E102" s="89"/>
    </row>
    <row r="103" spans="1:6" x14ac:dyDescent="0.25">
      <c r="B103"/>
      <c r="C103"/>
      <c r="D103" s="56"/>
      <c r="E103" s="56"/>
      <c r="F103" s="3"/>
    </row>
    <row r="104" spans="1:6" x14ac:dyDescent="0.25">
      <c r="B104"/>
      <c r="C104"/>
      <c r="D104" s="89"/>
      <c r="E104" s="89"/>
      <c r="F104" s="3"/>
    </row>
    <row r="105" spans="1:6" x14ac:dyDescent="0.25">
      <c r="B105"/>
      <c r="C105"/>
      <c r="D105" s="89"/>
      <c r="E105" s="89"/>
    </row>
    <row r="106" spans="1:6" x14ac:dyDescent="0.25">
      <c r="B106"/>
      <c r="C106"/>
      <c r="D106" s="33"/>
      <c r="E106" s="33"/>
    </row>
    <row r="107" spans="1:6" x14ac:dyDescent="0.25">
      <c r="B107"/>
      <c r="C107"/>
      <c r="D107" s="33"/>
      <c r="E107" s="33"/>
    </row>
    <row r="108" spans="1:6" x14ac:dyDescent="0.25">
      <c r="D108" s="33"/>
      <c r="E108" s="33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V105"/>
  <sheetViews>
    <sheetView view="pageBreakPreview" topLeftCell="A44" zoomScale="60" zoomScaleNormal="100" workbookViewId="0">
      <selection activeCell="C79" sqref="C79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160</v>
      </c>
      <c r="B2" s="2"/>
      <c r="C2" s="2"/>
      <c r="D2" s="2"/>
    </row>
    <row r="3" spans="1:22" ht="15.75" thickBot="1" x14ac:dyDescent="0.3">
      <c r="A3" s="1"/>
      <c r="B3" s="2"/>
      <c r="C3" s="2"/>
      <c r="D3" s="2"/>
      <c r="L3" s="108"/>
      <c r="M3" s="108"/>
      <c r="N3" s="108"/>
      <c r="O3" s="108"/>
    </row>
    <row r="4" spans="1:22" ht="15.75" thickBot="1" x14ac:dyDescent="0.3">
      <c r="A4" s="22" t="s">
        <v>0</v>
      </c>
      <c r="B4" s="126"/>
      <c r="C4" s="126"/>
      <c r="D4" s="127"/>
      <c r="L4" s="108"/>
      <c r="M4" s="108"/>
      <c r="N4" s="108"/>
      <c r="O4" s="108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L5" s="108"/>
      <c r="M5" s="108"/>
      <c r="N5" s="108"/>
      <c r="O5" s="108"/>
    </row>
    <row r="6" spans="1:22" ht="15.75" thickBot="1" x14ac:dyDescent="0.3">
      <c r="A6" s="10" t="s">
        <v>101</v>
      </c>
      <c r="B6" s="11"/>
      <c r="C6" s="11">
        <v>2560.9</v>
      </c>
      <c r="D6" s="12">
        <v>87</v>
      </c>
      <c r="L6" s="108"/>
      <c r="M6" s="108"/>
      <c r="N6" s="108"/>
      <c r="O6" s="108"/>
    </row>
    <row r="7" spans="1:22" x14ac:dyDescent="0.25">
      <c r="A7" s="10"/>
      <c r="B7" s="14"/>
      <c r="C7" s="14"/>
      <c r="D7" s="15"/>
      <c r="L7" s="108"/>
      <c r="M7" s="108"/>
      <c r="N7" s="108"/>
      <c r="O7" s="108"/>
    </row>
    <row r="8" spans="1:22" ht="15.75" thickBot="1" x14ac:dyDescent="0.3">
      <c r="A8" s="16" t="s">
        <v>5</v>
      </c>
      <c r="B8" s="17"/>
      <c r="C8" s="17">
        <f>C6+C7</f>
        <v>2560.9</v>
      </c>
      <c r="D8" s="18">
        <f>D6</f>
        <v>87</v>
      </c>
      <c r="L8" s="108"/>
      <c r="M8" s="108"/>
      <c r="N8" s="108"/>
      <c r="O8" s="108"/>
    </row>
    <row r="9" spans="1:22" ht="15.75" thickBot="1" x14ac:dyDescent="0.3">
      <c r="A9" s="19"/>
      <c r="B9" s="20"/>
      <c r="C9" s="20"/>
      <c r="D9" s="21"/>
      <c r="L9" s="108"/>
      <c r="M9" s="108"/>
      <c r="N9" s="108"/>
      <c r="O9" s="108"/>
    </row>
    <row r="10" spans="1:22" ht="15.75" thickBot="1" x14ac:dyDescent="0.3">
      <c r="A10" s="22" t="s">
        <v>112</v>
      </c>
      <c r="B10" s="23"/>
      <c r="C10" s="23"/>
      <c r="D10" s="24" t="s">
        <v>6</v>
      </c>
      <c r="F10" s="97"/>
      <c r="G10" s="97"/>
      <c r="H10" s="97"/>
      <c r="I10" s="97"/>
      <c r="J10" s="97"/>
      <c r="K10" s="97"/>
      <c r="L10" s="108"/>
      <c r="M10" s="108"/>
      <c r="N10" s="108"/>
      <c r="O10" s="108"/>
    </row>
    <row r="11" spans="1:22" x14ac:dyDescent="0.25">
      <c r="A11" s="25" t="s">
        <v>7</v>
      </c>
      <c r="B11" s="20"/>
      <c r="C11" s="20"/>
      <c r="D11" s="27">
        <v>12.28</v>
      </c>
      <c r="F11" s="97"/>
      <c r="G11" s="97"/>
      <c r="H11" s="97"/>
      <c r="I11" s="97"/>
      <c r="J11" s="97"/>
      <c r="K11" s="97"/>
      <c r="L11" s="108"/>
      <c r="M11" s="108"/>
      <c r="N11" s="108"/>
      <c r="O11" s="108"/>
    </row>
    <row r="12" spans="1:22" x14ac:dyDescent="0.25">
      <c r="A12" s="25" t="s">
        <v>8</v>
      </c>
      <c r="B12" s="20"/>
      <c r="C12" s="20"/>
      <c r="D12" s="27">
        <v>4.96</v>
      </c>
      <c r="F12" s="97"/>
      <c r="G12" s="97"/>
      <c r="H12" s="97"/>
      <c r="I12" s="97"/>
      <c r="J12" s="97"/>
      <c r="K12" s="97"/>
      <c r="L12" s="108"/>
      <c r="M12" s="108"/>
      <c r="N12" s="108"/>
      <c r="O12" s="108"/>
    </row>
    <row r="13" spans="1:22" x14ac:dyDescent="0.25">
      <c r="A13" s="25" t="s">
        <v>9</v>
      </c>
      <c r="B13" s="20"/>
      <c r="C13" s="20"/>
      <c r="D13" s="26"/>
      <c r="F13" s="97"/>
      <c r="G13" s="97"/>
      <c r="H13" s="97"/>
      <c r="I13" s="97"/>
      <c r="J13" s="97"/>
      <c r="K13" s="97"/>
      <c r="L13" s="108"/>
      <c r="M13" s="108"/>
      <c r="N13" s="108"/>
      <c r="O13" s="108"/>
    </row>
    <row r="14" spans="1:22" ht="15.75" thickBot="1" x14ac:dyDescent="0.3">
      <c r="A14" s="28" t="s">
        <v>10</v>
      </c>
      <c r="B14" s="29"/>
      <c r="C14" s="29"/>
      <c r="D14" s="30">
        <v>0</v>
      </c>
      <c r="F14" s="97"/>
      <c r="G14" s="97"/>
      <c r="H14" s="97"/>
      <c r="I14" s="97"/>
      <c r="J14" s="97"/>
      <c r="K14" s="97"/>
      <c r="L14" s="108"/>
      <c r="M14" s="108"/>
      <c r="N14" s="108"/>
      <c r="O14" s="108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97"/>
      <c r="G15" s="97"/>
      <c r="H15" s="97"/>
      <c r="I15" s="97"/>
      <c r="J15" s="97"/>
      <c r="K15" s="97"/>
      <c r="L15" s="108"/>
      <c r="M15" s="108"/>
      <c r="N15" s="108"/>
      <c r="O15" s="108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113</v>
      </c>
      <c r="B16" s="126"/>
      <c r="C16" s="126"/>
      <c r="D16" s="126"/>
      <c r="E16" s="127"/>
      <c r="F16" s="97"/>
      <c r="G16" s="97"/>
      <c r="H16" s="97"/>
      <c r="I16" s="97"/>
      <c r="J16" s="97"/>
      <c r="K16" s="97"/>
      <c r="L16" s="108"/>
      <c r="M16" s="109"/>
      <c r="N16" s="109"/>
      <c r="O16" s="108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39"/>
      <c r="F17" s="97"/>
      <c r="G17" s="97"/>
      <c r="H17" s="97"/>
      <c r="I17" s="97"/>
      <c r="J17" s="97"/>
      <c r="K17" s="97"/>
      <c r="L17" s="109"/>
      <c r="M17" s="110"/>
      <c r="N17" s="109"/>
      <c r="O17" s="108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39"/>
      <c r="F18" s="97"/>
      <c r="G18" s="97"/>
      <c r="H18" s="97"/>
      <c r="I18" s="97"/>
      <c r="J18" s="97"/>
      <c r="K18" s="97"/>
      <c r="L18" s="108"/>
      <c r="M18" s="108"/>
      <c r="N18" s="108"/>
      <c r="O18" s="108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114</v>
      </c>
      <c r="C19" s="38" t="s">
        <v>115</v>
      </c>
      <c r="D19" s="38" t="s">
        <v>116</v>
      </c>
      <c r="E19" s="39" t="s">
        <v>117</v>
      </c>
      <c r="F19" s="97"/>
      <c r="G19" s="97"/>
      <c r="H19" s="97"/>
      <c r="I19" s="97"/>
      <c r="J19" s="97"/>
      <c r="K19" s="97"/>
      <c r="L19" s="108"/>
      <c r="M19" s="111"/>
      <c r="N19" s="111"/>
      <c r="O19" s="108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>
        <f>46644.38</f>
        <v>46644.38</v>
      </c>
      <c r="C20" s="41">
        <f>377380.2</f>
        <v>377380.2</v>
      </c>
      <c r="D20" s="40">
        <f>291110.44+33372.01</f>
        <v>324482.45</v>
      </c>
      <c r="E20" s="42">
        <f t="shared" ref="E20:E38" si="0">C20-D20+B20</f>
        <v>99542.13</v>
      </c>
      <c r="F20" s="116">
        <f>C20+F22</f>
        <v>529806.6</v>
      </c>
      <c r="G20" s="117">
        <f>100</f>
        <v>100</v>
      </c>
      <c r="H20" s="115" t="s">
        <v>64</v>
      </c>
      <c r="I20" s="97"/>
      <c r="J20" s="97"/>
      <c r="K20" s="97"/>
      <c r="L20" s="108"/>
      <c r="M20" s="108"/>
      <c r="N20" s="108"/>
      <c r="O20" s="108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16"/>
      <c r="G21" s="117"/>
      <c r="H21" s="115"/>
      <c r="I21" s="97"/>
      <c r="J21" s="97"/>
      <c r="K21" s="97"/>
      <c r="L21" s="108"/>
      <c r="M21" s="108"/>
      <c r="N21" s="108"/>
      <c r="O21" s="108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>
        <v>18840.05</v>
      </c>
      <c r="C22" s="44">
        <f>152426.4</f>
        <v>152426.4</v>
      </c>
      <c r="D22" s="43">
        <f>117581.5+13479.1</f>
        <v>131060.6</v>
      </c>
      <c r="E22" s="45">
        <f t="shared" si="0"/>
        <v>40205.849999999991</v>
      </c>
      <c r="F22" s="116">
        <f>C22</f>
        <v>152426.4</v>
      </c>
      <c r="G22" s="118">
        <f>F22*G20/F20</f>
        <v>28.770196520768145</v>
      </c>
      <c r="H22" s="115" t="s">
        <v>64</v>
      </c>
      <c r="I22" s="97"/>
      <c r="J22" s="97"/>
      <c r="K22" s="97"/>
      <c r="L22" s="108"/>
      <c r="M22" s="108"/>
      <c r="N22" s="111"/>
      <c r="O22" s="108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97"/>
      <c r="G23" s="97"/>
      <c r="H23" s="97"/>
      <c r="I23" s="97"/>
      <c r="J23" s="97"/>
      <c r="K23" s="97"/>
      <c r="L23" s="108"/>
      <c r="M23" s="108"/>
      <c r="N23" s="108"/>
      <c r="O23" s="108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44"/>
      <c r="D24" s="44"/>
      <c r="E24" s="45">
        <f t="shared" si="0"/>
        <v>0</v>
      </c>
      <c r="F24" s="97"/>
      <c r="G24" s="97"/>
      <c r="H24" s="97"/>
      <c r="I24" s="97"/>
      <c r="J24" s="97"/>
      <c r="K24" s="97"/>
      <c r="L24" s="108"/>
      <c r="M24" s="108"/>
      <c r="N24" s="108"/>
      <c r="O24" s="108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97"/>
      <c r="G25" s="97"/>
      <c r="H25" s="97"/>
      <c r="I25" s="97"/>
      <c r="J25" s="97"/>
      <c r="K25" s="97"/>
      <c r="L25" s="108"/>
      <c r="M25" s="108"/>
      <c r="N25" s="108"/>
      <c r="O25" s="108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/>
      <c r="C26" s="44"/>
      <c r="D26" s="44"/>
      <c r="E26" s="45">
        <f t="shared" si="0"/>
        <v>0</v>
      </c>
      <c r="F26" s="97"/>
      <c r="G26" s="97"/>
      <c r="H26" s="97"/>
      <c r="I26" s="97"/>
      <c r="J26" s="97"/>
      <c r="K26" s="97"/>
      <c r="L26" s="108"/>
      <c r="M26" s="108"/>
      <c r="N26" s="108"/>
      <c r="O26" s="108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83</v>
      </c>
      <c r="B27" s="44"/>
      <c r="C27" s="44"/>
      <c r="D27" s="44"/>
      <c r="E27" s="45">
        <f t="shared" si="0"/>
        <v>0</v>
      </c>
      <c r="F27" s="97"/>
      <c r="G27" s="97"/>
      <c r="H27" s="97"/>
      <c r="I27" s="97"/>
      <c r="J27" s="97"/>
      <c r="K27" s="97"/>
      <c r="L27" s="108"/>
      <c r="M27" s="108"/>
      <c r="N27" s="108"/>
      <c r="O27" s="108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373803.37</v>
      </c>
      <c r="C28" s="50">
        <f>C29+C30+C31+C33+C32</f>
        <v>937651.73999999987</v>
      </c>
      <c r="D28" s="50">
        <f>D29+D30+D31+D33+D32</f>
        <v>873862.46999999986</v>
      </c>
      <c r="E28" s="51">
        <f>C28-D28+B28</f>
        <v>437592.64</v>
      </c>
      <c r="F28" s="97"/>
      <c r="G28" s="97"/>
      <c r="H28" s="97"/>
      <c r="I28" s="97"/>
      <c r="J28" s="97"/>
      <c r="K28" s="97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40">
        <f>99401.31</f>
        <v>99401.31</v>
      </c>
      <c r="C29" s="40">
        <f>447031.6</f>
        <v>447031.6</v>
      </c>
      <c r="D29" s="40">
        <f>358993.67+35739.92</f>
        <v>394733.58999999997</v>
      </c>
      <c r="E29" s="42">
        <f t="shared" si="0"/>
        <v>151699.32</v>
      </c>
      <c r="F29" s="97"/>
      <c r="G29" s="97"/>
      <c r="H29" s="97"/>
      <c r="I29" s="97"/>
      <c r="J29" s="97"/>
      <c r="K29" s="97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23</v>
      </c>
      <c r="B30" s="43">
        <f>23834.82+6751.5</f>
        <v>30586.32</v>
      </c>
      <c r="C30" s="43">
        <f>258538.39+66023.94-1474.59-358.94</f>
        <v>322728.8</v>
      </c>
      <c r="D30" s="43">
        <f>168889.18+43614.5+31115.92+7858.09</f>
        <v>251477.68999999997</v>
      </c>
      <c r="E30" s="45">
        <f t="shared" si="0"/>
        <v>101837.43000000002</v>
      </c>
      <c r="F30" s="97"/>
      <c r="G30" s="97"/>
      <c r="H30" s="97"/>
      <c r="I30" s="97"/>
      <c r="J30" s="97"/>
      <c r="K30" s="97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43">
        <f>5595.63</f>
        <v>5595.63</v>
      </c>
      <c r="C31" s="43">
        <f>61242.19-306.5</f>
        <v>60935.69</v>
      </c>
      <c r="D31" s="43">
        <f>40587.05+7191.94</f>
        <v>47778.990000000005</v>
      </c>
      <c r="E31" s="45">
        <f t="shared" si="0"/>
        <v>18752.329999999998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53" t="s">
        <v>100</v>
      </c>
      <c r="B32" s="43">
        <f>226678.92</f>
        <v>226678.92</v>
      </c>
      <c r="C32" s="43"/>
      <c r="D32" s="43">
        <f>94282.85</f>
        <v>94282.85</v>
      </c>
      <c r="E32" s="45">
        <f t="shared" si="0"/>
        <v>132396.07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43">
        <v>11541.19</v>
      </c>
      <c r="C33" s="43">
        <f>107478.67-523.02</f>
        <v>106955.65</v>
      </c>
      <c r="D33" s="43">
        <f>73008.29+12581.06</f>
        <v>85589.349999999991</v>
      </c>
      <c r="E33" s="45">
        <f t="shared" si="0"/>
        <v>32907.490000000005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74</v>
      </c>
      <c r="B35" s="54"/>
      <c r="C35" s="55"/>
      <c r="D35" s="55"/>
      <c r="E35" s="45">
        <f t="shared" si="0"/>
        <v>0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155</v>
      </c>
      <c r="B37" s="44">
        <v>343.17</v>
      </c>
      <c r="C37" s="44">
        <f>1992.26+242.42-1179.07-242.42</f>
        <v>813.18999999999994</v>
      </c>
      <c r="D37" s="44">
        <f>1973.18+343.17</f>
        <v>2316.35</v>
      </c>
      <c r="E37" s="45">
        <f t="shared" si="0"/>
        <v>-1159.9899999999998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/>
      <c r="C38" s="46"/>
      <c r="D38" s="46"/>
      <c r="E38" s="47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439630.97</v>
      </c>
      <c r="C39" s="58">
        <f>C20+C21+C22+C23+C24+C25+C26+C28+C35+C36+C37+C38</f>
        <v>1468271.5299999998</v>
      </c>
      <c r="D39" s="58">
        <f>D20+D21+D22+D23+D24+D25+D26+D28+D35+D36+D37+D38+D27</f>
        <v>1331721.8700000001</v>
      </c>
      <c r="E39" s="58">
        <f>E20+E21+E22+E23+E24+E25+E26+E28+E35+E36+E37+E38+E27</f>
        <v>576180.63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59"/>
      <c r="B40" s="60"/>
      <c r="C40" s="56"/>
      <c r="D40" s="122"/>
      <c r="E40" s="122"/>
      <c r="F40" s="123"/>
      <c r="G40" s="124"/>
      <c r="H40" s="124"/>
      <c r="I40" s="124"/>
      <c r="J40" s="137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59"/>
      <c r="B41" s="60"/>
      <c r="C41" s="56"/>
      <c r="D41" s="119"/>
      <c r="E41" s="119"/>
      <c r="F41" s="138"/>
      <c r="G41" s="115"/>
      <c r="H41" s="115"/>
      <c r="I41" s="124"/>
      <c r="J41" s="137"/>
    </row>
    <row r="42" spans="1:22" ht="15.75" thickBot="1" x14ac:dyDescent="0.3">
      <c r="A42" s="61" t="s">
        <v>30</v>
      </c>
      <c r="B42" s="62">
        <f>B44+B59+B60+B57+B62+B58+B61</f>
        <v>1365620.4573420964</v>
      </c>
      <c r="C42" s="63" t="s">
        <v>31</v>
      </c>
      <c r="D42" s="119">
        <f>C39-B42-B62</f>
        <v>98777.442405802576</v>
      </c>
      <c r="E42" s="272" t="s">
        <v>32</v>
      </c>
      <c r="F42" s="273">
        <v>5512727.4500000002</v>
      </c>
      <c r="G42" s="274">
        <f>F42/F48*C8</f>
        <v>118634.82123281513</v>
      </c>
      <c r="H42" s="115"/>
      <c r="I42" s="124"/>
      <c r="J42" s="137"/>
    </row>
    <row r="43" spans="1:22" x14ac:dyDescent="0.25">
      <c r="A43" s="64" t="s">
        <v>124</v>
      </c>
      <c r="B43" s="183">
        <f>561147.52</f>
        <v>561147.52</v>
      </c>
      <c r="C43" s="69" t="s">
        <v>31</v>
      </c>
      <c r="D43" s="119"/>
      <c r="E43" s="272" t="s">
        <v>33</v>
      </c>
      <c r="F43" s="273">
        <f>1264951.09</f>
        <v>1264951.0900000001</v>
      </c>
      <c r="G43" s="274">
        <f>F43/F48*C8</f>
        <v>27221.960053621853</v>
      </c>
      <c r="H43" s="115"/>
      <c r="I43" s="124"/>
      <c r="J43" s="137"/>
    </row>
    <row r="44" spans="1:22" x14ac:dyDescent="0.25">
      <c r="A44" s="67" t="s">
        <v>34</v>
      </c>
      <c r="B44" s="160">
        <f>B45+B46+B48+B49+B50+B51+B52+B53+B54+B55+B56+B47</f>
        <v>417271.5419919563</v>
      </c>
      <c r="C44" s="69" t="s">
        <v>31</v>
      </c>
      <c r="D44" s="119"/>
      <c r="E44" s="272" t="s">
        <v>35</v>
      </c>
      <c r="F44" s="273">
        <v>180000</v>
      </c>
      <c r="G44" s="274">
        <f>F44/F48*C8</f>
        <v>3873.6302521008402</v>
      </c>
      <c r="H44" s="115"/>
      <c r="I44" s="124"/>
      <c r="J44" s="137"/>
    </row>
    <row r="45" spans="1:22" x14ac:dyDescent="0.25">
      <c r="A45" s="70" t="s">
        <v>76</v>
      </c>
      <c r="B45" s="184">
        <v>25744.66</v>
      </c>
      <c r="C45" s="71" t="s">
        <v>31</v>
      </c>
      <c r="D45" s="119"/>
      <c r="E45" s="272" t="s">
        <v>18</v>
      </c>
      <c r="F45" s="273">
        <f>299837.27</f>
        <v>299837.27</v>
      </c>
      <c r="G45" s="274">
        <f>F45/F48*C8</f>
        <v>6452.5484432184885</v>
      </c>
      <c r="H45" s="115"/>
      <c r="I45" s="124"/>
      <c r="J45" s="137"/>
    </row>
    <row r="46" spans="1:22" x14ac:dyDescent="0.25">
      <c r="A46" s="72" t="s">
        <v>37</v>
      </c>
      <c r="B46" s="184">
        <f>(G42+G43)</f>
        <v>145856.78128643698</v>
      </c>
      <c r="C46" s="71" t="s">
        <v>31</v>
      </c>
      <c r="D46" s="119"/>
      <c r="E46" s="275" t="s">
        <v>38</v>
      </c>
      <c r="F46" s="273">
        <f>7000+1260+30890+4200</f>
        <v>43350</v>
      </c>
      <c r="G46" s="274">
        <f>F46/F48*C8</f>
        <v>932.89928571428572</v>
      </c>
      <c r="H46" s="115"/>
      <c r="I46" s="124"/>
      <c r="J46" s="137"/>
    </row>
    <row r="47" spans="1:22" x14ac:dyDescent="0.25">
      <c r="A47" s="72" t="s">
        <v>39</v>
      </c>
      <c r="B47" s="184">
        <f>1920</f>
        <v>1920</v>
      </c>
      <c r="C47" s="71" t="s">
        <v>31</v>
      </c>
      <c r="D47" s="119"/>
      <c r="E47" s="274" t="s">
        <v>12</v>
      </c>
      <c r="F47" s="273">
        <f>8022857.59-F46</f>
        <v>7979507.5899999999</v>
      </c>
      <c r="G47" s="274">
        <f>F47/F48*C8</f>
        <v>171720.3444305126</v>
      </c>
      <c r="H47" s="115"/>
      <c r="I47" s="124"/>
      <c r="J47" s="137"/>
    </row>
    <row r="48" spans="1:22" x14ac:dyDescent="0.25">
      <c r="A48" s="70" t="s">
        <v>40</v>
      </c>
      <c r="B48" s="184">
        <f>G46+3959.47</f>
        <v>4892.3692857142851</v>
      </c>
      <c r="C48" s="71" t="s">
        <v>31</v>
      </c>
      <c r="D48" s="119"/>
      <c r="E48" s="276" t="s">
        <v>41</v>
      </c>
      <c r="F48" s="277">
        <f>119000</f>
        <v>119000</v>
      </c>
      <c r="G48" s="274"/>
      <c r="H48" s="115"/>
      <c r="I48" s="124"/>
      <c r="J48" s="137"/>
    </row>
    <row r="49" spans="1:10" x14ac:dyDescent="0.25">
      <c r="A49" s="70" t="s">
        <v>42</v>
      </c>
      <c r="B49" s="184">
        <f>G45</f>
        <v>6452.5484432184885</v>
      </c>
      <c r="C49" s="71" t="s">
        <v>31</v>
      </c>
      <c r="D49" s="119"/>
      <c r="E49" s="278"/>
      <c r="F49" s="274"/>
      <c r="G49" s="274"/>
      <c r="H49" s="115"/>
      <c r="I49" s="124"/>
      <c r="J49" s="137"/>
    </row>
    <row r="50" spans="1:10" x14ac:dyDescent="0.25">
      <c r="A50" s="70" t="s">
        <v>43</v>
      </c>
      <c r="B50" s="184">
        <f>G47</f>
        <v>171720.3444305126</v>
      </c>
      <c r="C50" s="71" t="s">
        <v>31</v>
      </c>
      <c r="D50" s="119"/>
      <c r="E50" s="279" t="s">
        <v>70</v>
      </c>
      <c r="F50" s="277">
        <f>1910.32</f>
        <v>1910.32</v>
      </c>
      <c r="G50" s="279">
        <f>F50/F48*C8</f>
        <v>41.110407462184874</v>
      </c>
      <c r="H50" s="115"/>
      <c r="I50" s="124"/>
      <c r="J50" s="137"/>
    </row>
    <row r="51" spans="1:10" x14ac:dyDescent="0.25">
      <c r="A51" s="70" t="s">
        <v>44</v>
      </c>
      <c r="B51" s="184">
        <f>G52</f>
        <v>353.56775327731089</v>
      </c>
      <c r="C51" s="71" t="s">
        <v>31</v>
      </c>
      <c r="D51" s="119"/>
      <c r="E51" s="119"/>
      <c r="F51" s="120"/>
      <c r="G51" s="121"/>
      <c r="H51" s="115"/>
      <c r="I51" s="124"/>
      <c r="J51" s="137"/>
    </row>
    <row r="52" spans="1:10" x14ac:dyDescent="0.25">
      <c r="A52" s="70" t="s">
        <v>45</v>
      </c>
      <c r="B52" s="184">
        <f>G50</f>
        <v>41.110407462184874</v>
      </c>
      <c r="C52" s="71" t="s">
        <v>31</v>
      </c>
      <c r="D52" s="119"/>
      <c r="E52" s="119" t="s">
        <v>69</v>
      </c>
      <c r="F52" s="280">
        <f>16429.6</f>
        <v>16429.599999999999</v>
      </c>
      <c r="G52" s="279">
        <f>F52/F48*C8</f>
        <v>353.56775327731089</v>
      </c>
      <c r="H52" s="115"/>
      <c r="I52" s="124"/>
      <c r="J52" s="137"/>
    </row>
    <row r="53" spans="1:10" x14ac:dyDescent="0.25">
      <c r="A53" s="70" t="s">
        <v>46</v>
      </c>
      <c r="B53" s="184">
        <f>10123.24</f>
        <v>10123.24</v>
      </c>
      <c r="C53" s="71" t="s">
        <v>31</v>
      </c>
      <c r="D53" s="119"/>
      <c r="E53" s="119"/>
      <c r="F53" s="120"/>
      <c r="G53" s="121"/>
      <c r="H53" s="115"/>
      <c r="I53" s="124"/>
      <c r="J53" s="137"/>
    </row>
    <row r="54" spans="1:10" ht="26.25" x14ac:dyDescent="0.25">
      <c r="A54" s="191" t="s">
        <v>161</v>
      </c>
      <c r="B54" s="184">
        <f>623.05+2851.18+2851.18</f>
        <v>6325.41</v>
      </c>
      <c r="C54" s="71" t="s">
        <v>31</v>
      </c>
      <c r="D54" s="56"/>
      <c r="E54" s="56"/>
      <c r="F54" s="156"/>
      <c r="G54" s="157"/>
      <c r="H54" s="137"/>
      <c r="I54" s="124"/>
      <c r="J54" s="137"/>
    </row>
    <row r="55" spans="1:10" x14ac:dyDescent="0.25">
      <c r="A55" s="70" t="s">
        <v>48</v>
      </c>
      <c r="B55" s="184">
        <v>9108.33</v>
      </c>
      <c r="C55" s="71" t="s">
        <v>31</v>
      </c>
      <c r="D55" s="56"/>
      <c r="E55" s="56"/>
      <c r="F55" s="136"/>
      <c r="G55" s="137"/>
      <c r="H55" s="137"/>
      <c r="I55" s="137"/>
      <c r="J55" s="137"/>
    </row>
    <row r="56" spans="1:10" x14ac:dyDescent="0.25">
      <c r="A56" s="70" t="s">
        <v>49</v>
      </c>
      <c r="B56" s="184">
        <f>(B46+B47+B48+B49+B50+B52+B53+B54)*0.1</f>
        <v>34733.180385334454</v>
      </c>
      <c r="C56" s="71" t="s">
        <v>31</v>
      </c>
      <c r="D56" s="56"/>
      <c r="E56" s="56"/>
      <c r="F56" s="136"/>
      <c r="G56" s="137"/>
      <c r="H56" s="137"/>
      <c r="I56" s="137"/>
      <c r="J56" s="137"/>
    </row>
    <row r="57" spans="1:10" x14ac:dyDescent="0.25">
      <c r="A57" s="67" t="s">
        <v>50</v>
      </c>
      <c r="B57" s="160">
        <f>C78</f>
        <v>64461.86</v>
      </c>
      <c r="C57" s="69" t="s">
        <v>31</v>
      </c>
      <c r="D57" s="56"/>
      <c r="E57" s="56"/>
      <c r="F57" s="136"/>
      <c r="G57" s="137"/>
      <c r="H57" s="137"/>
      <c r="I57" s="137"/>
      <c r="J57" s="137"/>
    </row>
    <row r="58" spans="1:10" x14ac:dyDescent="0.25">
      <c r="A58" s="67" t="s">
        <v>51</v>
      </c>
      <c r="B58" s="160">
        <f>3800</f>
        <v>3800</v>
      </c>
      <c r="C58" s="69" t="s">
        <v>31</v>
      </c>
      <c r="D58" s="122"/>
      <c r="E58" s="122"/>
      <c r="F58" s="123"/>
      <c r="G58" s="137"/>
      <c r="H58" s="137"/>
      <c r="I58" s="137"/>
      <c r="J58" s="137"/>
    </row>
    <row r="59" spans="1:10" x14ac:dyDescent="0.25">
      <c r="A59" s="67" t="s">
        <v>52</v>
      </c>
      <c r="B59" s="160">
        <f>64957.33+106473.34+703985.51</f>
        <v>875416.17999999993</v>
      </c>
      <c r="C59" s="69" t="s">
        <v>31</v>
      </c>
      <c r="D59" s="56"/>
      <c r="E59" s="56"/>
      <c r="F59" s="3"/>
      <c r="G59" s="137"/>
      <c r="H59" s="137"/>
      <c r="I59" s="137"/>
      <c r="J59" s="137"/>
    </row>
    <row r="60" spans="1:10" x14ac:dyDescent="0.25">
      <c r="A60" s="67" t="s">
        <v>53</v>
      </c>
      <c r="B60" s="160"/>
      <c r="C60" s="69" t="s">
        <v>54</v>
      </c>
      <c r="D60" s="56"/>
      <c r="E60" s="56"/>
      <c r="F60" s="3"/>
      <c r="G60" s="137"/>
      <c r="H60" s="137"/>
      <c r="I60" s="137"/>
      <c r="J60" s="137"/>
    </row>
    <row r="61" spans="1:10" x14ac:dyDescent="0.25">
      <c r="A61" s="133" t="s">
        <v>154</v>
      </c>
      <c r="B61" s="258">
        <f>C37/1.02</f>
        <v>797.24509803921558</v>
      </c>
      <c r="C61" s="135"/>
      <c r="D61" s="56"/>
      <c r="E61" s="56"/>
      <c r="F61" s="3"/>
      <c r="G61" s="137"/>
      <c r="H61" s="137"/>
      <c r="I61" s="137"/>
      <c r="J61" s="137"/>
    </row>
    <row r="62" spans="1:10" ht="15.75" thickBot="1" x14ac:dyDescent="0.3">
      <c r="A62" s="73" t="s">
        <v>78</v>
      </c>
      <c r="B62" s="74">
        <f>G44</f>
        <v>3873.6302521008402</v>
      </c>
      <c r="C62" s="75" t="s">
        <v>31</v>
      </c>
      <c r="D62" s="56"/>
      <c r="E62" s="56"/>
      <c r="F62" s="3"/>
      <c r="G62" s="137"/>
      <c r="H62" s="137"/>
      <c r="I62" s="137"/>
      <c r="J62" s="137"/>
    </row>
    <row r="63" spans="1:10" x14ac:dyDescent="0.25">
      <c r="A63" s="59"/>
      <c r="B63" s="60"/>
      <c r="C63" s="56"/>
      <c r="D63" s="56"/>
      <c r="E63" s="56"/>
      <c r="F63" s="3"/>
      <c r="G63" s="137"/>
      <c r="H63" s="137"/>
      <c r="I63" s="137"/>
      <c r="J63" s="137"/>
    </row>
    <row r="64" spans="1:10" x14ac:dyDescent="0.25">
      <c r="A64" s="59" t="s">
        <v>142</v>
      </c>
      <c r="B64" s="143">
        <f>C39-C24+B43-B42</f>
        <v>663798.59265790344</v>
      </c>
      <c r="C64" s="56" t="s">
        <v>31</v>
      </c>
      <c r="D64" s="56"/>
      <c r="E64" s="56"/>
      <c r="F64" s="3"/>
      <c r="G64" s="137"/>
      <c r="H64" s="137"/>
      <c r="I64" s="137"/>
      <c r="J64" s="137"/>
    </row>
    <row r="65" spans="1:10" x14ac:dyDescent="0.25">
      <c r="A65" s="59" t="s">
        <v>130</v>
      </c>
      <c r="B65" s="2">
        <f>B66+B67+B68+B69+B70+B71</f>
        <v>102651.0726579036</v>
      </c>
      <c r="C65" s="56" t="s">
        <v>31</v>
      </c>
      <c r="D65" s="56"/>
      <c r="E65" s="56"/>
      <c r="F65" s="3"/>
      <c r="G65" s="137"/>
      <c r="H65" s="137"/>
      <c r="I65" s="137"/>
      <c r="J65" s="137"/>
    </row>
    <row r="66" spans="1:10" x14ac:dyDescent="0.25">
      <c r="A66" s="77" t="s">
        <v>56</v>
      </c>
      <c r="B66" s="78">
        <f>C20-B44-B62</f>
        <v>-43764.972244057128</v>
      </c>
      <c r="C66" s="56" t="s">
        <v>31</v>
      </c>
      <c r="D66" s="56"/>
      <c r="E66" s="56"/>
      <c r="F66" s="3"/>
      <c r="G66" s="137"/>
      <c r="H66" s="137"/>
      <c r="I66" s="137"/>
      <c r="J66" s="137"/>
    </row>
    <row r="67" spans="1:10" x14ac:dyDescent="0.25">
      <c r="A67" s="77" t="s">
        <v>57</v>
      </c>
      <c r="B67" s="78">
        <f>C22-B57</f>
        <v>87964.54</v>
      </c>
      <c r="C67" s="56" t="s">
        <v>31</v>
      </c>
      <c r="D67" s="56"/>
      <c r="E67" s="56"/>
      <c r="F67" s="3"/>
      <c r="G67" s="137"/>
      <c r="H67" s="137"/>
      <c r="I67" s="137"/>
      <c r="J67" s="137"/>
    </row>
    <row r="68" spans="1:10" x14ac:dyDescent="0.25">
      <c r="A68" s="77" t="s">
        <v>58</v>
      </c>
      <c r="B68" s="78">
        <f>C26-B58</f>
        <v>-3800</v>
      </c>
      <c r="C68" s="56" t="s">
        <v>31</v>
      </c>
      <c r="D68" s="56"/>
      <c r="E68" s="56"/>
      <c r="F68" s="3"/>
      <c r="G68" s="137"/>
      <c r="H68" s="137"/>
      <c r="I68" s="137"/>
      <c r="J68" s="137"/>
    </row>
    <row r="69" spans="1:10" x14ac:dyDescent="0.25">
      <c r="A69" s="77" t="s">
        <v>59</v>
      </c>
      <c r="B69" s="78">
        <f>C28-B59</f>
        <v>62235.559999999939</v>
      </c>
      <c r="C69" s="56" t="s">
        <v>31</v>
      </c>
      <c r="D69" s="56"/>
      <c r="E69" s="56"/>
      <c r="F69" s="3"/>
      <c r="G69" s="137"/>
      <c r="H69" s="137"/>
      <c r="I69" s="137"/>
      <c r="J69" s="137"/>
    </row>
    <row r="70" spans="1:10" x14ac:dyDescent="0.25">
      <c r="A70" s="77" t="s">
        <v>60</v>
      </c>
      <c r="B70" s="78">
        <f>C35-B60</f>
        <v>0</v>
      </c>
      <c r="C70" s="56" t="s">
        <v>31</v>
      </c>
      <c r="D70" s="56"/>
      <c r="E70" s="56"/>
      <c r="F70" s="3"/>
      <c r="G70" s="137"/>
      <c r="H70" s="137"/>
      <c r="I70" s="137"/>
      <c r="J70" s="137"/>
    </row>
    <row r="71" spans="1:10" x14ac:dyDescent="0.25">
      <c r="A71" s="77" t="s">
        <v>157</v>
      </c>
      <c r="B71" s="78">
        <f>C37-B61</f>
        <v>15.944901960784364</v>
      </c>
      <c r="C71" s="56" t="s">
        <v>31</v>
      </c>
      <c r="G71" s="137"/>
      <c r="H71" s="137"/>
      <c r="I71" s="137"/>
      <c r="J71" s="137"/>
    </row>
    <row r="72" spans="1:10" ht="15.75" thickBot="1" x14ac:dyDescent="0.3">
      <c r="A72" s="77"/>
      <c r="B72" s="78"/>
      <c r="C72" s="56"/>
      <c r="D72" s="98"/>
      <c r="E72" s="99"/>
      <c r="F72" s="100"/>
      <c r="G72" s="137"/>
      <c r="H72" s="137"/>
      <c r="I72" s="137"/>
      <c r="J72" s="137"/>
    </row>
    <row r="73" spans="1:10" ht="15.75" thickBot="1" x14ac:dyDescent="0.3">
      <c r="A73" s="128" t="s">
        <v>146</v>
      </c>
      <c r="B73" s="129"/>
      <c r="C73" s="130"/>
      <c r="D73" s="101"/>
      <c r="E73" s="101"/>
      <c r="F73" s="101"/>
      <c r="G73" s="137"/>
      <c r="H73" s="137"/>
      <c r="I73" s="137"/>
      <c r="J73" s="137"/>
    </row>
    <row r="74" spans="1:10" ht="51.75" thickBot="1" x14ac:dyDescent="0.3">
      <c r="A74" s="79" t="s">
        <v>80</v>
      </c>
      <c r="B74" s="80" t="s">
        <v>61</v>
      </c>
      <c r="C74" s="81" t="s">
        <v>67</v>
      </c>
      <c r="D74" s="102"/>
      <c r="E74" s="103"/>
      <c r="F74" s="104"/>
      <c r="G74" s="137"/>
      <c r="H74" s="137"/>
      <c r="I74" s="137"/>
      <c r="J74" s="137"/>
    </row>
    <row r="75" spans="1:10" x14ac:dyDescent="0.25">
      <c r="A75" s="82" t="s">
        <v>62</v>
      </c>
      <c r="B75" s="113" t="s">
        <v>31</v>
      </c>
      <c r="C75" s="114" t="s">
        <v>31</v>
      </c>
      <c r="D75" s="102"/>
      <c r="E75" s="103"/>
      <c r="F75" s="104"/>
      <c r="G75" s="137"/>
      <c r="H75" s="137"/>
      <c r="I75" s="137"/>
      <c r="J75" s="137"/>
    </row>
    <row r="76" spans="1:10" x14ac:dyDescent="0.25">
      <c r="A76" s="53" t="s">
        <v>176</v>
      </c>
      <c r="B76" s="43"/>
      <c r="C76" s="185">
        <v>57961.86</v>
      </c>
      <c r="D76" s="102"/>
      <c r="E76" s="103"/>
      <c r="F76" s="104"/>
      <c r="G76" s="137"/>
      <c r="H76" s="137"/>
      <c r="I76" s="137"/>
      <c r="J76" s="137"/>
    </row>
    <row r="77" spans="1:10" x14ac:dyDescent="0.25">
      <c r="A77" s="53" t="s">
        <v>179</v>
      </c>
      <c r="B77" s="43"/>
      <c r="C77" s="107">
        <v>6500</v>
      </c>
      <c r="D77" s="102"/>
      <c r="E77" s="103"/>
      <c r="F77" s="104"/>
      <c r="G77" s="137"/>
      <c r="H77" s="137"/>
      <c r="I77" s="137"/>
      <c r="J77" s="137"/>
    </row>
    <row r="78" spans="1:10" ht="15.75" thickBot="1" x14ac:dyDescent="0.3">
      <c r="A78" s="145" t="s">
        <v>5</v>
      </c>
      <c r="B78" s="146">
        <f>B76</f>
        <v>0</v>
      </c>
      <c r="C78" s="147">
        <f>C76+C77</f>
        <v>64461.86</v>
      </c>
      <c r="D78" s="105"/>
      <c r="E78" s="103"/>
      <c r="F78" s="104"/>
      <c r="G78" s="97"/>
    </row>
    <row r="79" spans="1:10" x14ac:dyDescent="0.25">
      <c r="A79" s="31"/>
      <c r="B79" s="33"/>
      <c r="C79" s="87"/>
      <c r="D79" s="105"/>
      <c r="E79" s="103"/>
      <c r="F79" s="104"/>
      <c r="G79" s="97"/>
    </row>
    <row r="80" spans="1:10" x14ac:dyDescent="0.25">
      <c r="A80" s="164" t="s">
        <v>132</v>
      </c>
      <c r="B80" s="149"/>
      <c r="C80" s="215"/>
      <c r="D80" s="216"/>
      <c r="E80" s="89"/>
    </row>
    <row r="81" spans="1:6" x14ac:dyDescent="0.25">
      <c r="A81" s="217"/>
      <c r="B81" s="149"/>
      <c r="C81" s="215"/>
      <c r="D81" s="218"/>
      <c r="E81" s="89"/>
    </row>
    <row r="82" spans="1:6" x14ac:dyDescent="0.25">
      <c r="A82" s="165" t="s">
        <v>133</v>
      </c>
      <c r="B82" s="149" t="s">
        <v>134</v>
      </c>
      <c r="C82" s="219"/>
      <c r="D82" s="216"/>
      <c r="E82" s="56"/>
    </row>
    <row r="83" spans="1:6" x14ac:dyDescent="0.25">
      <c r="A83" s="165"/>
      <c r="B83" s="149"/>
      <c r="C83" s="219"/>
      <c r="D83" s="216"/>
      <c r="E83" s="56"/>
    </row>
    <row r="84" spans="1:6" x14ac:dyDescent="0.25">
      <c r="A84" s="220"/>
      <c r="B84" s="221"/>
      <c r="C84" s="219"/>
      <c r="D84" s="150"/>
      <c r="E84" s="89"/>
    </row>
    <row r="85" spans="1:6" ht="15.75" x14ac:dyDescent="0.25">
      <c r="A85" s="223" t="s">
        <v>63</v>
      </c>
      <c r="B85" s="224" t="s">
        <v>134</v>
      </c>
      <c r="C85" s="225"/>
      <c r="D85" s="226" t="s">
        <v>66</v>
      </c>
      <c r="E85" s="89"/>
    </row>
    <row r="86" spans="1:6" x14ac:dyDescent="0.25">
      <c r="A86" s="95"/>
      <c r="B86" s="96"/>
      <c r="C86" s="89"/>
      <c r="D86" s="93"/>
      <c r="E86" s="89"/>
    </row>
    <row r="87" spans="1:6" x14ac:dyDescent="0.25">
      <c r="A87" s="95"/>
      <c r="B87" s="96"/>
      <c r="C87" s="89"/>
      <c r="D87" s="93"/>
      <c r="E87" s="89"/>
      <c r="F87" s="94"/>
    </row>
    <row r="88" spans="1:6" x14ac:dyDescent="0.25">
      <c r="A88" s="31"/>
      <c r="B88" s="33"/>
      <c r="C88" s="89"/>
      <c r="D88" s="93"/>
      <c r="E88" s="89"/>
    </row>
    <row r="89" spans="1:6" x14ac:dyDescent="0.25">
      <c r="A89" s="31"/>
      <c r="B89" s="33"/>
      <c r="C89" s="56"/>
      <c r="D89" s="87"/>
      <c r="E89" s="89"/>
    </row>
    <row r="90" spans="1:6" x14ac:dyDescent="0.25">
      <c r="A90" s="19"/>
      <c r="B90" s="20"/>
      <c r="C90" s="89"/>
      <c r="D90" s="87"/>
      <c r="E90" s="89"/>
    </row>
    <row r="91" spans="1:6" x14ac:dyDescent="0.25">
      <c r="A91" s="31"/>
      <c r="B91" s="33"/>
      <c r="C91" s="89"/>
      <c r="D91" s="56"/>
      <c r="E91" s="56"/>
      <c r="F91" s="3"/>
    </row>
    <row r="92" spans="1:6" x14ac:dyDescent="0.25">
      <c r="A92" s="31"/>
      <c r="B92" s="33"/>
      <c r="C92" s="33"/>
      <c r="D92" s="56"/>
      <c r="E92" s="89"/>
    </row>
    <row r="93" spans="1:6" x14ac:dyDescent="0.25">
      <c r="A93" s="31"/>
      <c r="B93" s="33"/>
      <c r="C93" s="33"/>
      <c r="D93" s="56"/>
      <c r="E93" s="56"/>
    </row>
    <row r="94" spans="1:6" x14ac:dyDescent="0.25">
      <c r="A94" s="31"/>
      <c r="B94" s="33"/>
      <c r="C94" s="33"/>
      <c r="D94" s="89"/>
      <c r="E94" s="89"/>
    </row>
    <row r="95" spans="1:6" x14ac:dyDescent="0.25">
      <c r="A95" s="31"/>
      <c r="B95" s="33"/>
      <c r="D95" s="89"/>
      <c r="E95" s="89"/>
    </row>
    <row r="96" spans="1:6" x14ac:dyDescent="0.25">
      <c r="D96" s="89"/>
      <c r="E96" s="89"/>
    </row>
    <row r="97" spans="2:6" x14ac:dyDescent="0.25">
      <c r="D97" s="89"/>
      <c r="E97" s="89"/>
    </row>
    <row r="98" spans="2:6" x14ac:dyDescent="0.25">
      <c r="D98" s="89"/>
      <c r="E98" s="89"/>
    </row>
    <row r="99" spans="2:6" x14ac:dyDescent="0.25">
      <c r="D99" s="89"/>
      <c r="E99" s="89"/>
    </row>
    <row r="100" spans="2:6" x14ac:dyDescent="0.25">
      <c r="B100"/>
      <c r="C100"/>
      <c r="D100" s="56"/>
      <c r="E100" s="56"/>
      <c r="F100" s="3"/>
    </row>
    <row r="101" spans="2:6" x14ac:dyDescent="0.25">
      <c r="B101"/>
      <c r="C101"/>
      <c r="D101" s="89"/>
      <c r="E101" s="89"/>
      <c r="F101" s="3"/>
    </row>
    <row r="102" spans="2:6" x14ac:dyDescent="0.25">
      <c r="B102"/>
      <c r="C102"/>
      <c r="D102" s="89"/>
      <c r="E102" s="89"/>
    </row>
    <row r="103" spans="2:6" x14ac:dyDescent="0.25">
      <c r="B103"/>
      <c r="C103"/>
      <c r="D103" s="33"/>
      <c r="E103" s="33"/>
    </row>
    <row r="104" spans="2:6" x14ac:dyDescent="0.25">
      <c r="B104"/>
      <c r="C104"/>
      <c r="D104" s="33"/>
      <c r="E104" s="33"/>
    </row>
    <row r="105" spans="2:6" x14ac:dyDescent="0.25">
      <c r="D105" s="33"/>
      <c r="E105" s="33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V103"/>
  <sheetViews>
    <sheetView view="pageBreakPreview" topLeftCell="A62" zoomScaleNormal="100" zoomScaleSheetLayoutView="100" workbookViewId="0">
      <selection activeCell="C76" sqref="C76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6.42578125" style="3" customWidth="1"/>
    <col min="5" max="5" width="17.2851562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205</v>
      </c>
      <c r="B2" s="2"/>
      <c r="C2" s="2"/>
      <c r="D2" s="2"/>
      <c r="E2" s="125"/>
    </row>
    <row r="3" spans="1:22" x14ac:dyDescent="0.25">
      <c r="A3" s="1"/>
      <c r="B3" s="2"/>
      <c r="C3" s="2"/>
      <c r="D3" s="2"/>
      <c r="E3" s="125"/>
      <c r="L3" s="108"/>
      <c r="M3" s="108"/>
      <c r="N3" s="108"/>
      <c r="O3" s="108"/>
    </row>
    <row r="4" spans="1:22" ht="15.75" thickBot="1" x14ac:dyDescent="0.3">
      <c r="A4" s="4" t="s">
        <v>0</v>
      </c>
      <c r="B4" s="267"/>
      <c r="C4" s="267"/>
      <c r="D4" s="267"/>
      <c r="E4" s="125"/>
      <c r="L4" s="108"/>
      <c r="M4" s="108"/>
      <c r="N4" s="108"/>
      <c r="O4" s="108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E5" s="125"/>
      <c r="L5" s="108"/>
      <c r="M5" s="108"/>
      <c r="N5" s="108"/>
      <c r="O5" s="108"/>
    </row>
    <row r="6" spans="1:22" x14ac:dyDescent="0.25">
      <c r="A6" s="10" t="s">
        <v>4</v>
      </c>
      <c r="B6" s="11"/>
      <c r="C6" s="11">
        <v>1868.2</v>
      </c>
      <c r="D6" s="12">
        <v>63</v>
      </c>
      <c r="E6" s="125"/>
      <c r="L6" s="108"/>
      <c r="M6" s="108"/>
      <c r="N6" s="108"/>
      <c r="O6" s="108"/>
    </row>
    <row r="7" spans="1:22" x14ac:dyDescent="0.25">
      <c r="A7" s="13"/>
      <c r="B7" s="14"/>
      <c r="C7" s="14"/>
      <c r="D7" s="15"/>
      <c r="E7" s="125"/>
      <c r="L7" s="108"/>
      <c r="M7" s="108"/>
      <c r="N7" s="108"/>
      <c r="O7" s="108"/>
    </row>
    <row r="8" spans="1:22" ht="15.75" thickBot="1" x14ac:dyDescent="0.3">
      <c r="A8" s="16" t="s">
        <v>5</v>
      </c>
      <c r="B8" s="17"/>
      <c r="C8" s="17">
        <f>C6+C7</f>
        <v>1868.2</v>
      </c>
      <c r="D8" s="18"/>
      <c r="E8" s="125"/>
      <c r="L8" s="108"/>
      <c r="M8" s="108"/>
      <c r="N8" s="108"/>
      <c r="O8" s="108"/>
    </row>
    <row r="9" spans="1:22" ht="15.75" thickBot="1" x14ac:dyDescent="0.3">
      <c r="A9" s="194"/>
      <c r="B9" s="106"/>
      <c r="C9" s="106"/>
      <c r="D9" s="195"/>
      <c r="E9" s="125"/>
      <c r="L9" s="108"/>
      <c r="M9" s="108"/>
      <c r="N9" s="108"/>
      <c r="O9" s="108"/>
    </row>
    <row r="10" spans="1:22" ht="15.75" thickBot="1" x14ac:dyDescent="0.3">
      <c r="A10" s="22" t="s">
        <v>237</v>
      </c>
      <c r="B10" s="23"/>
      <c r="C10" s="23"/>
      <c r="D10" s="24" t="s">
        <v>6</v>
      </c>
      <c r="E10" s="125"/>
      <c r="L10" s="108"/>
      <c r="M10" s="108"/>
      <c r="N10" s="108"/>
      <c r="O10" s="108"/>
    </row>
    <row r="11" spans="1:22" x14ac:dyDescent="0.25">
      <c r="A11" s="25" t="s">
        <v>7</v>
      </c>
      <c r="B11" s="20"/>
      <c r="C11" s="20"/>
      <c r="D11" s="26">
        <f>10.44+0.55</f>
        <v>10.99</v>
      </c>
      <c r="E11" s="125"/>
      <c r="L11" s="108"/>
      <c r="M11" s="108"/>
      <c r="N11" s="108"/>
      <c r="O11" s="108"/>
    </row>
    <row r="12" spans="1:22" x14ac:dyDescent="0.25">
      <c r="A12" s="25" t="s">
        <v>8</v>
      </c>
      <c r="B12" s="20"/>
      <c r="C12" s="20"/>
      <c r="D12" s="27">
        <v>5.36</v>
      </c>
      <c r="E12" s="125"/>
      <c r="L12" s="108"/>
      <c r="M12" s="108"/>
      <c r="N12" s="108"/>
      <c r="O12" s="108"/>
    </row>
    <row r="13" spans="1:22" x14ac:dyDescent="0.25">
      <c r="A13" s="25" t="s">
        <v>9</v>
      </c>
      <c r="B13" s="20"/>
      <c r="C13" s="20"/>
      <c r="D13" s="26">
        <v>0</v>
      </c>
      <c r="E13" s="125"/>
      <c r="L13" s="108"/>
      <c r="M13" s="108"/>
      <c r="N13" s="108"/>
      <c r="O13" s="108"/>
    </row>
    <row r="14" spans="1:22" ht="15.75" thickBot="1" x14ac:dyDescent="0.3">
      <c r="A14" s="28" t="s">
        <v>10</v>
      </c>
      <c r="B14" s="193"/>
      <c r="C14" s="193"/>
      <c r="D14" s="30">
        <v>0</v>
      </c>
      <c r="E14" s="136"/>
      <c r="L14" s="108"/>
      <c r="M14" s="108"/>
      <c r="N14" s="108"/>
      <c r="O14" s="108"/>
      <c r="P14" s="31"/>
      <c r="Q14" s="31"/>
      <c r="R14" s="31"/>
      <c r="S14" s="31"/>
      <c r="T14" s="31"/>
      <c r="U14" s="31"/>
      <c r="V14" s="31"/>
    </row>
    <row r="15" spans="1:22" x14ac:dyDescent="0.25">
      <c r="A15" s="268"/>
      <c r="B15" s="156"/>
      <c r="C15" s="156"/>
      <c r="D15" s="156"/>
      <c r="E15" s="136"/>
      <c r="L15" s="108"/>
      <c r="M15" s="108"/>
      <c r="N15" s="108"/>
      <c r="O15" s="108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34" t="s">
        <v>113</v>
      </c>
      <c r="B16" s="269"/>
      <c r="C16" s="269"/>
      <c r="D16" s="269"/>
      <c r="E16" s="267"/>
      <c r="L16" s="108"/>
      <c r="M16" s="109"/>
      <c r="N16" s="109"/>
      <c r="O16" s="108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156"/>
      <c r="C17" s="156"/>
      <c r="D17" s="156"/>
      <c r="E17" s="136"/>
      <c r="L17" s="109"/>
      <c r="M17" s="110"/>
      <c r="N17" s="109"/>
      <c r="O17" s="108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156"/>
      <c r="C18" s="156"/>
      <c r="D18" s="156"/>
      <c r="E18" s="136"/>
      <c r="L18" s="108"/>
      <c r="M18" s="108"/>
      <c r="N18" s="108"/>
      <c r="O18" s="108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114</v>
      </c>
      <c r="C19" s="38" t="s">
        <v>115</v>
      </c>
      <c r="D19" s="38" t="s">
        <v>116</v>
      </c>
      <c r="E19" s="39" t="s">
        <v>117</v>
      </c>
      <c r="F19" s="115"/>
      <c r="G19" s="115"/>
      <c r="H19" s="115"/>
      <c r="L19" s="108"/>
      <c r="M19" s="111"/>
      <c r="N19" s="111"/>
      <c r="O19" s="108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>
        <f>91502.26</f>
        <v>91502.26</v>
      </c>
      <c r="C20" s="41">
        <f>246378.48+20008.44</f>
        <v>266386.92</v>
      </c>
      <c r="D20" s="40">
        <f>244585.31+4962.41+17088.8+1207.61</f>
        <v>267844.13</v>
      </c>
      <c r="E20" s="42">
        <f t="shared" ref="E20:E36" si="0">C20-D20+B20</f>
        <v>90045.049999999974</v>
      </c>
      <c r="F20" s="116">
        <f>C20+F22</f>
        <v>386549.51999999996</v>
      </c>
      <c r="G20" s="117">
        <f>100</f>
        <v>100</v>
      </c>
      <c r="H20" s="115" t="s">
        <v>64</v>
      </c>
      <c r="L20" s="108"/>
      <c r="M20" s="108"/>
      <c r="N20" s="108"/>
      <c r="O20" s="108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16"/>
      <c r="G21" s="117"/>
      <c r="H21" s="115"/>
      <c r="L21" s="108"/>
      <c r="M21" s="108"/>
      <c r="N21" s="108"/>
      <c r="O21" s="108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>
        <v>45069.1</v>
      </c>
      <c r="C22" s="44">
        <f>113885.45+6277.15</f>
        <v>120162.59999999999</v>
      </c>
      <c r="D22" s="43">
        <f>119698.46+2420.24</f>
        <v>122118.70000000001</v>
      </c>
      <c r="E22" s="45">
        <f t="shared" si="0"/>
        <v>43112.999999999978</v>
      </c>
      <c r="F22" s="116">
        <f>C22</f>
        <v>120162.59999999999</v>
      </c>
      <c r="G22" s="118">
        <f>F22*G20/F20</f>
        <v>31.08595245442292</v>
      </c>
      <c r="H22" s="115" t="s">
        <v>64</v>
      </c>
      <c r="L22" s="108"/>
      <c r="M22" s="108"/>
      <c r="N22" s="111"/>
      <c r="O22" s="108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115"/>
      <c r="G23" s="115"/>
      <c r="H23" s="115"/>
      <c r="L23" s="108"/>
      <c r="M23" s="108"/>
      <c r="N23" s="108"/>
      <c r="O23" s="108"/>
      <c r="P23" s="31"/>
      <c r="Q23" s="31"/>
      <c r="R23" s="31"/>
      <c r="S23" s="31"/>
      <c r="T23" s="31"/>
      <c r="U23" s="31"/>
      <c r="V23" s="31"/>
    </row>
    <row r="24" spans="1:22" hidden="1" x14ac:dyDescent="0.25">
      <c r="A24" s="13" t="s">
        <v>17</v>
      </c>
      <c r="B24" s="44"/>
      <c r="C24" s="44"/>
      <c r="D24" s="44"/>
      <c r="E24" s="45">
        <f t="shared" si="0"/>
        <v>0</v>
      </c>
      <c r="F24" s="115"/>
      <c r="G24" s="115"/>
      <c r="H24" s="115"/>
      <c r="L24" s="108"/>
      <c r="M24" s="108"/>
      <c r="N24" s="108"/>
      <c r="O24" s="108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115"/>
      <c r="G25" s="115"/>
      <c r="H25" s="115"/>
      <c r="L25" s="108"/>
      <c r="M25" s="108"/>
      <c r="N25" s="108"/>
      <c r="O25" s="108"/>
      <c r="P25" s="31"/>
      <c r="Q25" s="31"/>
      <c r="R25" s="31"/>
      <c r="S25" s="31"/>
      <c r="T25" s="31"/>
      <c r="U25" s="31"/>
      <c r="V25" s="31"/>
    </row>
    <row r="26" spans="1:22" ht="15.75" thickBot="1" x14ac:dyDescent="0.3">
      <c r="A26" s="16" t="s">
        <v>20</v>
      </c>
      <c r="B26" s="46">
        <f>-4.29</f>
        <v>-4.29</v>
      </c>
      <c r="C26" s="46">
        <v>0</v>
      </c>
      <c r="D26" s="46"/>
      <c r="E26" s="47">
        <f t="shared" si="0"/>
        <v>-4.29</v>
      </c>
      <c r="F26" s="115"/>
      <c r="G26" s="115"/>
      <c r="H26" s="115"/>
      <c r="L26" s="108"/>
      <c r="M26" s="108"/>
      <c r="N26" s="108"/>
      <c r="O26" s="108"/>
      <c r="P26" s="31"/>
      <c r="Q26" s="31"/>
      <c r="R26" s="31"/>
      <c r="S26" s="31"/>
      <c r="T26" s="31"/>
      <c r="U26" s="31"/>
      <c r="V26" s="31"/>
    </row>
    <row r="27" spans="1:22" ht="15.75" thickBot="1" x14ac:dyDescent="0.3">
      <c r="A27" s="48" t="s">
        <v>21</v>
      </c>
      <c r="B27" s="49">
        <f>B28+B29+B30+B31</f>
        <v>168260.11</v>
      </c>
      <c r="C27" s="50">
        <f>C28+C29+C30+C31</f>
        <v>558905.43000000005</v>
      </c>
      <c r="D27" s="50">
        <f>D28+D29+D30+D31</f>
        <v>565280.35000000009</v>
      </c>
      <c r="E27" s="51">
        <f>C27-D27+B27</f>
        <v>161885.18999999994</v>
      </c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spans="1:22" x14ac:dyDescent="0.25">
      <c r="A28" s="204" t="s">
        <v>22</v>
      </c>
      <c r="B28" s="40">
        <v>171057.11</v>
      </c>
      <c r="C28" s="40">
        <f>353897.42-83199.65</f>
        <v>270697.77</v>
      </c>
      <c r="D28" s="40">
        <f>304977.54+4318.65</f>
        <v>309296.19</v>
      </c>
      <c r="E28" s="42">
        <f t="shared" si="0"/>
        <v>132458.69</v>
      </c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205" t="s">
        <v>23</v>
      </c>
      <c r="B29" s="43">
        <f>59567.08-84001.26</f>
        <v>-24434.179999999993</v>
      </c>
      <c r="C29" s="43">
        <f>148902.68+40671.18-2155.88-580.94</f>
        <v>186837.03999999998</v>
      </c>
      <c r="D29" s="43">
        <f>154608.25+2855.17+65.8</f>
        <v>157529.22</v>
      </c>
      <c r="E29" s="45">
        <f t="shared" si="0"/>
        <v>4873.6399999999849</v>
      </c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205" t="s">
        <v>24</v>
      </c>
      <c r="B30" s="43">
        <v>1287.0899999999999</v>
      </c>
      <c r="C30" s="43">
        <f>64.67+36154.85</f>
        <v>36219.519999999997</v>
      </c>
      <c r="D30" s="43">
        <f>30646.78+929.24</f>
        <v>31576.02</v>
      </c>
      <c r="E30" s="45">
        <f t="shared" si="0"/>
        <v>5930.5899999999965</v>
      </c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205" t="s">
        <v>25</v>
      </c>
      <c r="B31" s="43">
        <v>20350.09</v>
      </c>
      <c r="C31" s="43">
        <f>64985.18+165.92</f>
        <v>65151.1</v>
      </c>
      <c r="D31" s="43">
        <f>65400.13+1478.79</f>
        <v>66878.92</v>
      </c>
      <c r="E31" s="45">
        <f t="shared" si="0"/>
        <v>18622.27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hidden="1" x14ac:dyDescent="0.25">
      <c r="A32" s="205"/>
      <c r="B32" s="43"/>
      <c r="C32" s="44"/>
      <c r="D32" s="44"/>
      <c r="E32" s="45">
        <f t="shared" si="0"/>
        <v>0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hidden="1" x14ac:dyDescent="0.25">
      <c r="A33" s="13" t="s">
        <v>26</v>
      </c>
      <c r="B33" s="186"/>
      <c r="C33" s="55"/>
      <c r="D33" s="55"/>
      <c r="E33" s="45">
        <f t="shared" si="0"/>
        <v>0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13"/>
      <c r="B34" s="44"/>
      <c r="C34" s="44"/>
      <c r="D34" s="44"/>
      <c r="E34" s="45">
        <f>C34-D34+B34</f>
        <v>0</v>
      </c>
      <c r="J34" s="56"/>
      <c r="K34" s="56"/>
      <c r="L34" s="3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hidden="1" x14ac:dyDescent="0.25">
      <c r="A35" s="13" t="s">
        <v>27</v>
      </c>
      <c r="B35" s="44"/>
      <c r="C35" s="44"/>
      <c r="D35" s="44"/>
      <c r="E35" s="45">
        <f t="shared" si="0"/>
        <v>0</v>
      </c>
      <c r="J35" s="56"/>
      <c r="K35" s="56"/>
      <c r="L35" s="3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t="15.75" hidden="1" thickBot="1" x14ac:dyDescent="0.3">
      <c r="A36" s="16" t="s">
        <v>28</v>
      </c>
      <c r="B36" s="46"/>
      <c r="C36" s="46"/>
      <c r="D36" s="46"/>
      <c r="E36" s="47">
        <f t="shared" si="0"/>
        <v>0</v>
      </c>
      <c r="K36" s="3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ht="15.75" thickBot="1" x14ac:dyDescent="0.3">
      <c r="A37" s="57" t="s">
        <v>29</v>
      </c>
      <c r="B37" s="58">
        <f>B20+B21+B22+B23+B24+B25+B26+B27+B33+B34+B35+B36</f>
        <v>304827.17999999993</v>
      </c>
      <c r="C37" s="58">
        <f>C20+C21+C22+C23+C24+C25+C26+C27+C33+C34+C35+C36</f>
        <v>945454.95</v>
      </c>
      <c r="D37" s="58">
        <f>D20+D21+D22+D23+D24+D25+D26+D27+D33+D34+D35+D36</f>
        <v>955243.18000000017</v>
      </c>
      <c r="E37" s="270">
        <f>E20+E21+E22+E23+E24+E25+E27+E33+E34+E35+E36+E26</f>
        <v>295038.9499999999</v>
      </c>
      <c r="F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x14ac:dyDescent="0.25">
      <c r="A38" s="59"/>
      <c r="B38" s="60"/>
      <c r="C38" s="56"/>
      <c r="D38" s="56"/>
      <c r="E38" s="56"/>
      <c r="F38" s="125"/>
      <c r="G38" s="97"/>
      <c r="H38" s="97"/>
      <c r="I38" s="97"/>
      <c r="J38" s="97"/>
      <c r="K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9"/>
      <c r="B39" s="60"/>
      <c r="C39" s="56"/>
      <c r="D39" s="119"/>
      <c r="E39" s="119"/>
      <c r="F39" s="138"/>
      <c r="G39" s="115"/>
      <c r="H39" s="115"/>
      <c r="I39" s="97"/>
      <c r="J39" s="97"/>
    </row>
    <row r="40" spans="1:22" ht="15.75" thickBot="1" x14ac:dyDescent="0.3">
      <c r="A40" s="61" t="s">
        <v>30</v>
      </c>
      <c r="B40" s="62">
        <f>B42+B57+B58+B55+B59+B56</f>
        <v>994993.07410331431</v>
      </c>
      <c r="C40" s="63" t="s">
        <v>31</v>
      </c>
      <c r="D40" s="119">
        <f>C37-B40</f>
        <v>-49538.12410331436</v>
      </c>
      <c r="E40" s="272" t="s">
        <v>32</v>
      </c>
      <c r="F40" s="273">
        <f>5096881.69+20000+6411+3448+4517+151158.72+4598+11494.25+4600+19078+7905+18316.38+1149.44+163169.97</f>
        <v>5512727.4500000002</v>
      </c>
      <c r="G40" s="274">
        <f>F40/F46*C6</f>
        <v>86545.188420924373</v>
      </c>
      <c r="H40" s="115"/>
      <c r="I40" s="115"/>
      <c r="J40" s="97"/>
    </row>
    <row r="41" spans="1:22" x14ac:dyDescent="0.25">
      <c r="A41" s="64" t="s">
        <v>124</v>
      </c>
      <c r="B41" s="183">
        <f>-36559.5</f>
        <v>-36559.5</v>
      </c>
      <c r="C41" s="66" t="s">
        <v>31</v>
      </c>
      <c r="D41" s="119"/>
      <c r="E41" s="272" t="s">
        <v>33</v>
      </c>
      <c r="F41" s="273">
        <f>1181202.5+4180+859.2+720.63+944.05+1647.45+31592.16+960.98+2402.31+929.2+3928.41+3828.02+240.22+31515.96</f>
        <v>1264951.0899999996</v>
      </c>
      <c r="G41" s="274">
        <f>F41/F46*C6</f>
        <v>19858.66912889075</v>
      </c>
      <c r="H41" s="115"/>
      <c r="I41" s="115"/>
      <c r="J41" s="97"/>
    </row>
    <row r="42" spans="1:22" x14ac:dyDescent="0.25">
      <c r="A42" s="67" t="s">
        <v>34</v>
      </c>
      <c r="B42" s="160">
        <f>B43+B44+B46+B47+B48+B49+B50+B51+B52+B53+B54+B45</f>
        <v>322415.17536381853</v>
      </c>
      <c r="C42" s="69" t="s">
        <v>31</v>
      </c>
      <c r="D42" s="119"/>
      <c r="E42" s="272" t="s">
        <v>35</v>
      </c>
      <c r="F42" s="273">
        <v>180000</v>
      </c>
      <c r="G42" s="274">
        <f>F42/F46*C6</f>
        <v>2825.8487394957983</v>
      </c>
      <c r="H42" s="115"/>
      <c r="I42" s="115"/>
      <c r="J42" s="97"/>
    </row>
    <row r="43" spans="1:22" x14ac:dyDescent="0.25">
      <c r="A43" s="70" t="s">
        <v>36</v>
      </c>
      <c r="B43" s="184">
        <v>18094.79</v>
      </c>
      <c r="C43" s="71" t="s">
        <v>31</v>
      </c>
      <c r="D43" s="119"/>
      <c r="E43" s="272" t="s">
        <v>18</v>
      </c>
      <c r="F43" s="273">
        <f>299837.27</f>
        <v>299837.27</v>
      </c>
      <c r="G43" s="274">
        <f>F43/F46*C6</f>
        <v>4707.1931749075638</v>
      </c>
      <c r="H43" s="115"/>
      <c r="I43" s="115"/>
      <c r="J43" s="97"/>
    </row>
    <row r="44" spans="1:22" x14ac:dyDescent="0.25">
      <c r="A44" s="72" t="s">
        <v>37</v>
      </c>
      <c r="B44" s="184">
        <f>G40+G41</f>
        <v>106403.85754981512</v>
      </c>
      <c r="C44" s="71" t="s">
        <v>31</v>
      </c>
      <c r="D44" s="119"/>
      <c r="E44" s="275" t="s">
        <v>38</v>
      </c>
      <c r="F44" s="273">
        <f>7000+1260+30890+4200</f>
        <v>43350</v>
      </c>
      <c r="G44" s="274">
        <f>F44/F46*C6</f>
        <v>680.55857142857144</v>
      </c>
      <c r="H44" s="115"/>
      <c r="I44" s="115">
        <v>35134.480000000003</v>
      </c>
      <c r="J44" s="97"/>
    </row>
    <row r="45" spans="1:22" x14ac:dyDescent="0.25">
      <c r="A45" s="72" t="s">
        <v>39</v>
      </c>
      <c r="B45" s="184">
        <v>1920</v>
      </c>
      <c r="C45" s="71" t="s">
        <v>31</v>
      </c>
      <c r="D45" s="119"/>
      <c r="E45" s="274" t="s">
        <v>12</v>
      </c>
      <c r="F45" s="273">
        <f>8022857.59-F44</f>
        <v>7979507.5899999999</v>
      </c>
      <c r="G45" s="274">
        <f>F45/F46*C6</f>
        <v>125271.56369443696</v>
      </c>
      <c r="H45" s="115"/>
      <c r="I45" s="115"/>
      <c r="J45" s="97"/>
    </row>
    <row r="46" spans="1:22" x14ac:dyDescent="0.25">
      <c r="A46" s="70" t="s">
        <v>40</v>
      </c>
      <c r="B46" s="184">
        <f>20351.427+G44</f>
        <v>21031.98557142857</v>
      </c>
      <c r="C46" s="71" t="s">
        <v>31</v>
      </c>
      <c r="D46" s="119"/>
      <c r="E46" s="276" t="s">
        <v>41</v>
      </c>
      <c r="F46" s="277">
        <f>119000</f>
        <v>119000</v>
      </c>
      <c r="G46" s="274"/>
      <c r="H46" s="115"/>
      <c r="I46" s="115"/>
      <c r="J46" s="97"/>
    </row>
    <row r="47" spans="1:22" x14ac:dyDescent="0.25">
      <c r="A47" s="70" t="s">
        <v>42</v>
      </c>
      <c r="B47" s="184">
        <f>G43</f>
        <v>4707.1931749075638</v>
      </c>
      <c r="C47" s="71" t="s">
        <v>31</v>
      </c>
      <c r="D47" s="119"/>
      <c r="E47" s="278"/>
      <c r="F47" s="273"/>
      <c r="G47" s="274"/>
      <c r="H47" s="115"/>
      <c r="I47" s="115"/>
      <c r="J47" s="97"/>
    </row>
    <row r="48" spans="1:22" x14ac:dyDescent="0.25">
      <c r="A48" s="70" t="s">
        <v>43</v>
      </c>
      <c r="B48" s="184">
        <f>G45</f>
        <v>125271.56369443696</v>
      </c>
      <c r="C48" s="71" t="s">
        <v>31</v>
      </c>
      <c r="D48" s="119"/>
      <c r="E48" s="279" t="s">
        <v>70</v>
      </c>
      <c r="F48" s="277">
        <f>1910.32</f>
        <v>1910.32</v>
      </c>
      <c r="G48" s="279">
        <f>F48/F46*C6</f>
        <v>29.990418689075629</v>
      </c>
      <c r="H48" s="115"/>
      <c r="I48" s="115"/>
      <c r="J48" s="97"/>
    </row>
    <row r="49" spans="1:10" x14ac:dyDescent="0.25">
      <c r="A49" s="70" t="s">
        <v>44</v>
      </c>
      <c r="B49" s="184">
        <f>G50</f>
        <v>257.93091361344534</v>
      </c>
      <c r="C49" s="71" t="s">
        <v>31</v>
      </c>
      <c r="D49" s="119"/>
      <c r="E49" s="119"/>
      <c r="F49" s="280"/>
      <c r="G49" s="279"/>
      <c r="H49" s="115"/>
      <c r="I49" s="115"/>
      <c r="J49" s="97"/>
    </row>
    <row r="50" spans="1:10" x14ac:dyDescent="0.25">
      <c r="A50" s="70" t="s">
        <v>45</v>
      </c>
      <c r="B50" s="184">
        <f>G48</f>
        <v>29.990418689075629</v>
      </c>
      <c r="C50" s="71" t="s">
        <v>31</v>
      </c>
      <c r="D50" s="119"/>
      <c r="E50" s="119" t="s">
        <v>125</v>
      </c>
      <c r="F50" s="280">
        <f>16429.6</f>
        <v>16429.599999999999</v>
      </c>
      <c r="G50" s="279">
        <f>F50/F46*C6</f>
        <v>257.93091361344534</v>
      </c>
      <c r="H50" s="115"/>
      <c r="I50" s="115"/>
      <c r="J50" s="97"/>
    </row>
    <row r="51" spans="1:10" x14ac:dyDescent="0.25">
      <c r="A51" s="70" t="s">
        <v>46</v>
      </c>
      <c r="B51" s="184">
        <v>6189.75</v>
      </c>
      <c r="C51" s="71" t="s">
        <v>31</v>
      </c>
      <c r="D51" s="119"/>
      <c r="E51" s="119"/>
      <c r="F51" s="120"/>
      <c r="G51" s="121"/>
      <c r="H51" s="115"/>
      <c r="I51" s="115"/>
      <c r="J51" s="97"/>
    </row>
    <row r="52" spans="1:10" ht="25.5" x14ac:dyDescent="0.25">
      <c r="A52" s="72" t="s">
        <v>206</v>
      </c>
      <c r="B52" s="184">
        <f>1100+1050+950+1050+600</f>
        <v>4750</v>
      </c>
      <c r="C52" s="71" t="s">
        <v>31</v>
      </c>
      <c r="D52" s="119"/>
      <c r="E52" s="119"/>
      <c r="F52" s="120"/>
      <c r="G52" s="121"/>
      <c r="H52" s="115"/>
      <c r="I52" s="115"/>
      <c r="J52" s="97"/>
    </row>
    <row r="53" spans="1:10" x14ac:dyDescent="0.25">
      <c r="A53" s="70" t="s">
        <v>48</v>
      </c>
      <c r="B53" s="184">
        <v>6727.68</v>
      </c>
      <c r="C53" s="71" t="s">
        <v>31</v>
      </c>
      <c r="D53" s="119"/>
      <c r="E53" s="119"/>
      <c r="F53" s="138"/>
      <c r="G53" s="115"/>
      <c r="H53" s="115"/>
      <c r="I53" s="115"/>
      <c r="J53" s="97"/>
    </row>
    <row r="54" spans="1:10" x14ac:dyDescent="0.25">
      <c r="A54" s="70" t="s">
        <v>49</v>
      </c>
      <c r="B54" s="184">
        <f>(B44+B45+B46+B47+B48+B50+B51+B52)*0.1</f>
        <v>27030.434040927725</v>
      </c>
      <c r="C54" s="71" t="s">
        <v>31</v>
      </c>
      <c r="D54" s="119"/>
      <c r="E54" s="119"/>
      <c r="F54" s="138"/>
      <c r="G54" s="115"/>
      <c r="H54" s="115"/>
      <c r="I54" s="115"/>
      <c r="J54" s="97"/>
    </row>
    <row r="55" spans="1:10" x14ac:dyDescent="0.25">
      <c r="A55" s="67" t="s">
        <v>50</v>
      </c>
      <c r="B55" s="160">
        <f>C75</f>
        <v>110758</v>
      </c>
      <c r="C55" s="69" t="s">
        <v>31</v>
      </c>
      <c r="D55" s="56"/>
      <c r="E55" s="56"/>
      <c r="F55" s="3"/>
    </row>
    <row r="56" spans="1:10" x14ac:dyDescent="0.25">
      <c r="A56" s="67" t="s">
        <v>51</v>
      </c>
      <c r="B56" s="160">
        <f>500+1800</f>
        <v>2300</v>
      </c>
      <c r="C56" s="69" t="s">
        <v>31</v>
      </c>
      <c r="D56" s="56"/>
      <c r="E56" s="56"/>
      <c r="F56" s="3"/>
    </row>
    <row r="57" spans="1:10" x14ac:dyDescent="0.25">
      <c r="A57" s="67" t="s">
        <v>52</v>
      </c>
      <c r="B57" s="160">
        <f>39909.19+64654.67+416000.29+36129.9</f>
        <v>556694.04999999993</v>
      </c>
      <c r="C57" s="69" t="s">
        <v>31</v>
      </c>
      <c r="D57" s="56"/>
      <c r="E57" s="56"/>
      <c r="F57" s="3"/>
    </row>
    <row r="58" spans="1:10" hidden="1" x14ac:dyDescent="0.25">
      <c r="A58" s="67" t="s">
        <v>53</v>
      </c>
      <c r="B58" s="160"/>
      <c r="C58" s="69" t="s">
        <v>54</v>
      </c>
      <c r="D58" s="56"/>
      <c r="E58" s="56"/>
      <c r="F58" s="3"/>
    </row>
    <row r="59" spans="1:10" ht="15.75" thickBot="1" x14ac:dyDescent="0.3">
      <c r="A59" s="73" t="s">
        <v>55</v>
      </c>
      <c r="B59" s="162">
        <f>G42</f>
        <v>2825.8487394957983</v>
      </c>
      <c r="C59" s="75" t="s">
        <v>31</v>
      </c>
      <c r="D59" s="56"/>
      <c r="E59" s="56"/>
      <c r="F59" s="3"/>
    </row>
    <row r="60" spans="1:10" x14ac:dyDescent="0.25">
      <c r="A60" s="59"/>
      <c r="B60" s="60"/>
      <c r="C60" s="56"/>
      <c r="D60" s="56"/>
      <c r="E60" s="56"/>
      <c r="F60" s="3"/>
    </row>
    <row r="61" spans="1:10" x14ac:dyDescent="0.25">
      <c r="A61" s="59" t="s">
        <v>142</v>
      </c>
      <c r="B61" s="3">
        <f>C37+B41-B40</f>
        <v>-86097.62410331436</v>
      </c>
      <c r="C61" s="56" t="s">
        <v>31</v>
      </c>
      <c r="D61" s="56"/>
      <c r="E61" s="56"/>
      <c r="F61" s="3"/>
    </row>
    <row r="62" spans="1:10" x14ac:dyDescent="0.25">
      <c r="A62" s="59" t="s">
        <v>130</v>
      </c>
      <c r="B62" s="2">
        <f>B63+B64+B65+B66+B67</f>
        <v>-46712.275363818437</v>
      </c>
      <c r="C62" s="56" t="s">
        <v>31</v>
      </c>
      <c r="D62" s="56"/>
      <c r="E62" s="56"/>
      <c r="F62" s="3"/>
    </row>
    <row r="63" spans="1:10" x14ac:dyDescent="0.25">
      <c r="A63" s="77" t="s">
        <v>56</v>
      </c>
      <c r="B63" s="78">
        <f>C20-B42</f>
        <v>-56028.255363818549</v>
      </c>
      <c r="C63" s="56" t="s">
        <v>31</v>
      </c>
      <c r="D63" s="56"/>
      <c r="E63" s="56"/>
      <c r="F63" s="3"/>
    </row>
    <row r="64" spans="1:10" x14ac:dyDescent="0.25">
      <c r="A64" s="77" t="s">
        <v>57</v>
      </c>
      <c r="B64" s="78">
        <f>C22-B55</f>
        <v>9404.5999999999913</v>
      </c>
      <c r="C64" s="56" t="s">
        <v>31</v>
      </c>
      <c r="D64" s="56"/>
      <c r="E64" s="56"/>
      <c r="F64" s="3"/>
    </row>
    <row r="65" spans="1:7" x14ac:dyDescent="0.25">
      <c r="A65" s="77" t="s">
        <v>58</v>
      </c>
      <c r="B65" s="78">
        <f>C26-B56</f>
        <v>-2300</v>
      </c>
      <c r="C65" s="56" t="s">
        <v>31</v>
      </c>
      <c r="D65" s="56"/>
      <c r="E65" s="56"/>
      <c r="F65" s="3"/>
    </row>
    <row r="66" spans="1:7" x14ac:dyDescent="0.25">
      <c r="A66" s="77" t="s">
        <v>59</v>
      </c>
      <c r="B66" s="78">
        <f>C27-B57</f>
        <v>2211.3800000001211</v>
      </c>
      <c r="C66" s="56" t="s">
        <v>31</v>
      </c>
      <c r="D66" s="56"/>
      <c r="E66" s="56"/>
      <c r="F66" s="3"/>
    </row>
    <row r="67" spans="1:7" x14ac:dyDescent="0.25">
      <c r="A67" s="77" t="s">
        <v>60</v>
      </c>
      <c r="B67" s="78">
        <f>C33-B58</f>
        <v>0</v>
      </c>
      <c r="C67" s="56"/>
      <c r="D67" s="56"/>
      <c r="E67" s="56"/>
      <c r="F67" s="3"/>
    </row>
    <row r="68" spans="1:7" x14ac:dyDescent="0.25">
      <c r="A68" s="59"/>
      <c r="B68" s="2"/>
      <c r="C68" s="56"/>
    </row>
    <row r="69" spans="1:7" ht="15.75" thickBot="1" x14ac:dyDescent="0.3">
      <c r="A69" s="59" t="s">
        <v>136</v>
      </c>
      <c r="D69" s="98"/>
      <c r="E69" s="99"/>
      <c r="F69" s="100"/>
      <c r="G69" s="97"/>
    </row>
    <row r="70" spans="1:7" ht="51.75" thickBot="1" x14ac:dyDescent="0.3">
      <c r="A70" s="79" t="s">
        <v>80</v>
      </c>
      <c r="B70" s="80" t="s">
        <v>61</v>
      </c>
      <c r="C70" s="81" t="s">
        <v>67</v>
      </c>
      <c r="D70" s="101"/>
      <c r="E70" s="101"/>
      <c r="F70" s="101"/>
      <c r="G70" s="97"/>
    </row>
    <row r="71" spans="1:7" x14ac:dyDescent="0.25">
      <c r="A71" s="82" t="s">
        <v>62</v>
      </c>
      <c r="B71" s="113" t="s">
        <v>31</v>
      </c>
      <c r="C71" s="114" t="s">
        <v>31</v>
      </c>
      <c r="D71" s="102"/>
      <c r="E71" s="103"/>
      <c r="F71" s="104"/>
      <c r="G71" s="97"/>
    </row>
    <row r="72" spans="1:7" ht="30" x14ac:dyDescent="0.25">
      <c r="A72" s="211" t="s">
        <v>207</v>
      </c>
      <c r="B72" s="43"/>
      <c r="C72" s="281">
        <v>36257</v>
      </c>
      <c r="D72" s="102"/>
      <c r="E72" s="103"/>
      <c r="F72" s="104"/>
      <c r="G72" s="97"/>
    </row>
    <row r="73" spans="1:7" x14ac:dyDescent="0.25">
      <c r="A73" s="212" t="s">
        <v>179</v>
      </c>
      <c r="B73" s="43"/>
      <c r="C73" s="281">
        <f>6500</f>
        <v>6500</v>
      </c>
      <c r="D73" s="102"/>
      <c r="E73" s="103"/>
      <c r="F73" s="104"/>
      <c r="G73" s="97"/>
    </row>
    <row r="74" spans="1:7" x14ac:dyDescent="0.25">
      <c r="A74" s="212" t="s">
        <v>208</v>
      </c>
      <c r="B74" s="43"/>
      <c r="C74" s="281">
        <v>68001</v>
      </c>
      <c r="D74" s="102"/>
      <c r="E74" s="103"/>
      <c r="F74" s="104"/>
      <c r="G74" s="97"/>
    </row>
    <row r="75" spans="1:7" ht="15.75" thickBot="1" x14ac:dyDescent="0.3">
      <c r="A75" s="145" t="s">
        <v>5</v>
      </c>
      <c r="B75" s="146">
        <f>B72</f>
        <v>0</v>
      </c>
      <c r="C75" s="147">
        <f>C72+C73+C74</f>
        <v>110758</v>
      </c>
      <c r="D75" s="105"/>
      <c r="E75" s="103"/>
      <c r="F75" s="104"/>
      <c r="G75" s="97"/>
    </row>
    <row r="76" spans="1:7" ht="19.5" customHeight="1" x14ac:dyDescent="0.25">
      <c r="A76" s="31"/>
      <c r="B76" s="33"/>
      <c r="C76" s="87"/>
      <c r="D76" s="105"/>
      <c r="E76" s="103"/>
      <c r="F76" s="104"/>
      <c r="G76" s="97"/>
    </row>
    <row r="77" spans="1:7" x14ac:dyDescent="0.25">
      <c r="A77" s="164" t="s">
        <v>132</v>
      </c>
      <c r="B77" s="149"/>
      <c r="C77" s="215"/>
      <c r="D77" s="216"/>
      <c r="E77" s="89"/>
    </row>
    <row r="78" spans="1:7" x14ac:dyDescent="0.25">
      <c r="A78" s="217"/>
      <c r="B78" s="149"/>
      <c r="C78" s="215"/>
      <c r="D78" s="218"/>
      <c r="E78" s="56"/>
    </row>
    <row r="79" spans="1:7" x14ac:dyDescent="0.25">
      <c r="A79" s="165" t="s">
        <v>133</v>
      </c>
      <c r="B79" s="149" t="s">
        <v>134</v>
      </c>
      <c r="C79" s="219"/>
      <c r="D79" s="216"/>
      <c r="E79" s="56"/>
    </row>
    <row r="80" spans="1:7" x14ac:dyDescent="0.25">
      <c r="A80" s="165"/>
      <c r="B80" s="149"/>
      <c r="C80" s="219"/>
      <c r="D80" s="216"/>
      <c r="E80" s="89"/>
    </row>
    <row r="81" spans="1:6" x14ac:dyDescent="0.25">
      <c r="A81" s="220"/>
      <c r="B81" s="221"/>
      <c r="C81" s="219"/>
      <c r="D81" s="150"/>
      <c r="E81" s="89"/>
    </row>
    <row r="82" spans="1:6" ht="15.75" x14ac:dyDescent="0.25">
      <c r="A82" s="223" t="s">
        <v>63</v>
      </c>
      <c r="B82" s="224" t="s">
        <v>134</v>
      </c>
      <c r="C82" s="225"/>
      <c r="D82" s="226" t="s">
        <v>66</v>
      </c>
      <c r="E82" s="89"/>
    </row>
    <row r="83" spans="1:6" x14ac:dyDescent="0.25">
      <c r="A83" s="31"/>
      <c r="B83" s="33"/>
      <c r="C83" s="89"/>
      <c r="D83" s="93"/>
      <c r="E83" s="89"/>
    </row>
    <row r="84" spans="1:6" x14ac:dyDescent="0.25">
      <c r="A84" s="31"/>
      <c r="B84" s="33"/>
      <c r="C84" s="89"/>
      <c r="D84" s="93"/>
      <c r="E84" s="89"/>
      <c r="F84" s="94"/>
    </row>
    <row r="85" spans="1:6" x14ac:dyDescent="0.25">
      <c r="A85" s="95"/>
      <c r="B85" s="96"/>
      <c r="C85" s="89"/>
      <c r="D85" s="93"/>
      <c r="E85" s="89"/>
    </row>
    <row r="86" spans="1:6" x14ac:dyDescent="0.25">
      <c r="A86" s="95"/>
      <c r="B86" s="96"/>
      <c r="C86" s="89"/>
      <c r="D86" s="87"/>
      <c r="E86" s="89"/>
    </row>
    <row r="87" spans="1:6" x14ac:dyDescent="0.25">
      <c r="A87" s="31"/>
      <c r="B87" s="33"/>
      <c r="C87" s="89"/>
      <c r="D87" s="87"/>
      <c r="E87" s="89"/>
    </row>
    <row r="88" spans="1:6" x14ac:dyDescent="0.25">
      <c r="A88" s="31"/>
      <c r="B88" s="33"/>
      <c r="C88" s="56"/>
      <c r="D88" s="56"/>
      <c r="E88" s="56"/>
      <c r="F88" s="3"/>
    </row>
    <row r="89" spans="1:6" x14ac:dyDescent="0.25">
      <c r="A89" s="19"/>
      <c r="B89" s="20"/>
      <c r="C89" s="89"/>
      <c r="D89" s="56"/>
      <c r="E89" s="89"/>
    </row>
    <row r="90" spans="1:6" x14ac:dyDescent="0.25">
      <c r="A90" s="31"/>
      <c r="B90" s="33"/>
      <c r="C90" s="89"/>
      <c r="D90" s="56"/>
      <c r="E90" s="56"/>
    </row>
    <row r="91" spans="1:6" x14ac:dyDescent="0.25">
      <c r="A91" s="31"/>
      <c r="B91" s="33"/>
      <c r="C91" s="33"/>
      <c r="D91" s="89"/>
      <c r="E91" s="89"/>
    </row>
    <row r="92" spans="1:6" hidden="1" x14ac:dyDescent="0.25">
      <c r="A92" s="31"/>
      <c r="B92" s="33"/>
      <c r="C92" s="33"/>
      <c r="D92" s="89"/>
      <c r="E92" s="89"/>
    </row>
    <row r="93" spans="1:6" hidden="1" x14ac:dyDescent="0.25">
      <c r="A93" s="31"/>
      <c r="B93" s="33"/>
      <c r="C93" s="33"/>
      <c r="D93" s="89"/>
      <c r="E93" s="89"/>
    </row>
    <row r="94" spans="1:6" hidden="1" x14ac:dyDescent="0.25">
      <c r="A94" s="31"/>
      <c r="B94" s="33"/>
      <c r="D94" s="89"/>
      <c r="E94" s="89"/>
    </row>
    <row r="95" spans="1:6" x14ac:dyDescent="0.25">
      <c r="D95" s="89"/>
      <c r="E95" s="89"/>
    </row>
    <row r="96" spans="1:6" x14ac:dyDescent="0.25">
      <c r="D96" s="89"/>
      <c r="E96" s="89"/>
    </row>
    <row r="97" spans="2:6" x14ac:dyDescent="0.25">
      <c r="D97" s="56"/>
      <c r="E97" s="56"/>
      <c r="F97" s="3"/>
    </row>
    <row r="98" spans="2:6" x14ac:dyDescent="0.25">
      <c r="D98" s="89"/>
      <c r="E98" s="89"/>
      <c r="F98" s="3"/>
    </row>
    <row r="99" spans="2:6" x14ac:dyDescent="0.25">
      <c r="B99"/>
      <c r="C99"/>
      <c r="D99" s="89"/>
      <c r="E99" s="89"/>
    </row>
    <row r="100" spans="2:6" x14ac:dyDescent="0.25">
      <c r="B100"/>
      <c r="C100"/>
      <c r="D100" s="33"/>
      <c r="E100" s="33"/>
    </row>
    <row r="101" spans="2:6" x14ac:dyDescent="0.25">
      <c r="B101"/>
      <c r="C101"/>
      <c r="D101" s="33"/>
      <c r="E101" s="33"/>
    </row>
    <row r="102" spans="2:6" x14ac:dyDescent="0.25">
      <c r="B102"/>
      <c r="C102"/>
      <c r="D102" s="33"/>
      <c r="E102" s="33"/>
    </row>
    <row r="103" spans="2:6" x14ac:dyDescent="0.25">
      <c r="B103"/>
      <c r="C103"/>
    </row>
  </sheetData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V110"/>
  <sheetViews>
    <sheetView view="pageBreakPreview" zoomScale="60" zoomScaleNormal="100" workbookViewId="0">
      <selection activeCell="E85" sqref="E85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195</v>
      </c>
      <c r="B2" s="2"/>
      <c r="C2" s="2"/>
      <c r="D2" s="2"/>
    </row>
    <row r="3" spans="1:22" ht="15.75" thickBot="1" x14ac:dyDescent="0.3">
      <c r="A3" s="1"/>
      <c r="B3" s="2"/>
      <c r="C3" s="2"/>
      <c r="D3" s="2"/>
    </row>
    <row r="4" spans="1:22" ht="15.75" thickBot="1" x14ac:dyDescent="0.3">
      <c r="A4" s="22" t="s">
        <v>0</v>
      </c>
      <c r="B4" s="126"/>
      <c r="C4" s="126"/>
      <c r="D4" s="127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</row>
    <row r="6" spans="1:22" ht="15.75" thickBot="1" x14ac:dyDescent="0.3">
      <c r="A6" s="10" t="s">
        <v>102</v>
      </c>
      <c r="B6" s="11"/>
      <c r="C6" s="11">
        <v>2071.3000000000002</v>
      </c>
      <c r="D6" s="12">
        <v>42</v>
      </c>
    </row>
    <row r="7" spans="1:22" x14ac:dyDescent="0.25">
      <c r="A7" s="10"/>
      <c r="B7" s="14"/>
      <c r="C7" s="14"/>
      <c r="D7" s="15"/>
    </row>
    <row r="8" spans="1:22" ht="15.75" thickBot="1" x14ac:dyDescent="0.3">
      <c r="A8" s="16" t="s">
        <v>5</v>
      </c>
      <c r="B8" s="17"/>
      <c r="C8" s="17">
        <f>C6+C7</f>
        <v>2071.3000000000002</v>
      </c>
      <c r="D8" s="18">
        <f>D6</f>
        <v>42</v>
      </c>
    </row>
    <row r="9" spans="1:22" ht="15.75" thickBot="1" x14ac:dyDescent="0.3">
      <c r="A9" s="19"/>
      <c r="B9" s="20"/>
      <c r="C9" s="20"/>
      <c r="D9" s="21"/>
    </row>
    <row r="10" spans="1:22" ht="15.75" thickBot="1" x14ac:dyDescent="0.3">
      <c r="A10" s="22" t="s">
        <v>112</v>
      </c>
      <c r="B10" s="23"/>
      <c r="C10" s="23"/>
      <c r="D10" s="24" t="s">
        <v>6</v>
      </c>
      <c r="F10" s="97"/>
      <c r="G10" s="97"/>
      <c r="H10" s="97"/>
      <c r="I10" s="97"/>
      <c r="J10" s="97"/>
    </row>
    <row r="11" spans="1:22" x14ac:dyDescent="0.25">
      <c r="A11" s="25" t="s">
        <v>7</v>
      </c>
      <c r="B11" s="20"/>
      <c r="C11" s="20"/>
      <c r="D11" s="27">
        <v>16.850000000000001</v>
      </c>
      <c r="F11" s="97"/>
      <c r="G11" s="97"/>
      <c r="H11" s="97"/>
      <c r="I11" s="97"/>
      <c r="J11" s="97"/>
    </row>
    <row r="12" spans="1:22" x14ac:dyDescent="0.25">
      <c r="A12" s="25" t="s">
        <v>8</v>
      </c>
      <c r="B12" s="20"/>
      <c r="C12" s="20"/>
      <c r="D12" s="27">
        <v>1.7</v>
      </c>
      <c r="F12" s="97"/>
      <c r="G12" s="97"/>
      <c r="H12" s="97"/>
      <c r="I12" s="97"/>
      <c r="J12" s="97"/>
    </row>
    <row r="13" spans="1:22" x14ac:dyDescent="0.25">
      <c r="A13" s="25" t="s">
        <v>9</v>
      </c>
      <c r="B13" s="20"/>
      <c r="C13" s="20"/>
      <c r="D13" s="26">
        <v>0.18</v>
      </c>
      <c r="F13" s="97"/>
      <c r="G13" s="97"/>
      <c r="H13" s="97"/>
      <c r="I13" s="97"/>
      <c r="J13" s="97"/>
    </row>
    <row r="14" spans="1:22" ht="15.75" thickBot="1" x14ac:dyDescent="0.3">
      <c r="A14" s="28" t="s">
        <v>10</v>
      </c>
      <c r="B14" s="29"/>
      <c r="C14" s="29"/>
      <c r="D14" s="30">
        <v>0</v>
      </c>
      <c r="F14" s="97"/>
      <c r="G14" s="97"/>
      <c r="H14" s="97"/>
      <c r="I14" s="97"/>
      <c r="J14" s="97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97"/>
      <c r="G15" s="97"/>
      <c r="H15" s="97"/>
      <c r="I15" s="97"/>
      <c r="J15" s="97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113</v>
      </c>
      <c r="B16" s="126"/>
      <c r="C16" s="126"/>
      <c r="D16" s="126"/>
      <c r="E16" s="127"/>
      <c r="F16" s="97"/>
      <c r="G16" s="97"/>
      <c r="H16" s="97"/>
      <c r="I16" s="97"/>
      <c r="J16" s="97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39"/>
      <c r="F17" s="97"/>
      <c r="G17" s="97"/>
      <c r="H17" s="97"/>
      <c r="I17" s="97"/>
      <c r="J17" s="97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39"/>
      <c r="F18" s="97"/>
      <c r="G18" s="97"/>
      <c r="H18" s="97"/>
      <c r="I18" s="97"/>
      <c r="J18" s="97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114</v>
      </c>
      <c r="C19" s="38" t="s">
        <v>115</v>
      </c>
      <c r="D19" s="38" t="s">
        <v>116</v>
      </c>
      <c r="E19" s="39" t="s">
        <v>117</v>
      </c>
      <c r="F19" s="97"/>
      <c r="G19" s="97"/>
      <c r="H19" s="97"/>
      <c r="I19" s="97"/>
      <c r="J19" s="97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>
        <v>95539.45</v>
      </c>
      <c r="C20" s="41">
        <f>418817.88</f>
        <v>418817.88</v>
      </c>
      <c r="D20" s="40">
        <f>400375.94+32852.13</f>
        <v>433228.07</v>
      </c>
      <c r="E20" s="42">
        <f t="shared" ref="E20:E38" si="0">C20-D20+B20</f>
        <v>81129.259999999995</v>
      </c>
      <c r="F20" s="116">
        <f>C20+F22</f>
        <v>462812.28</v>
      </c>
      <c r="G20" s="117">
        <f>100</f>
        <v>100</v>
      </c>
      <c r="H20" s="115" t="s">
        <v>64</v>
      </c>
      <c r="I20" s="97"/>
      <c r="J20" s="97"/>
      <c r="K20" s="97"/>
      <c r="L20" s="108"/>
      <c r="M20" s="108"/>
      <c r="N20" s="108"/>
      <c r="O20" s="108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16"/>
      <c r="G21" s="117"/>
      <c r="H21" s="115"/>
      <c r="I21" s="97"/>
      <c r="J21" s="97"/>
      <c r="K21" s="97"/>
      <c r="L21" s="108"/>
      <c r="M21" s="108"/>
      <c r="N21" s="108"/>
      <c r="O21" s="108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>
        <v>10352.92</v>
      </c>
      <c r="C22" s="44">
        <f>43994.4</f>
        <v>43994.400000000001</v>
      </c>
      <c r="D22" s="43">
        <f>42351.22+3450.91</f>
        <v>45802.130000000005</v>
      </c>
      <c r="E22" s="45">
        <f t="shared" si="0"/>
        <v>8545.1899999999969</v>
      </c>
      <c r="F22" s="116">
        <f>C22</f>
        <v>43994.400000000001</v>
      </c>
      <c r="G22" s="118">
        <f>F22*G20/F20</f>
        <v>9.5058843296033544</v>
      </c>
      <c r="H22" s="115" t="s">
        <v>64</v>
      </c>
      <c r="I22" s="97"/>
      <c r="J22" s="97"/>
      <c r="K22" s="97"/>
      <c r="L22" s="108"/>
      <c r="M22" s="108"/>
      <c r="N22" s="111"/>
      <c r="O22" s="108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97"/>
      <c r="G23" s="97"/>
      <c r="H23" s="97"/>
      <c r="I23" s="97"/>
      <c r="J23" s="97"/>
      <c r="K23" s="97"/>
      <c r="L23" s="108"/>
      <c r="M23" s="108"/>
      <c r="N23" s="108"/>
      <c r="O23" s="108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44"/>
      <c r="D24" s="44"/>
      <c r="E24" s="45">
        <f t="shared" si="0"/>
        <v>0</v>
      </c>
      <c r="F24" s="97"/>
      <c r="G24" s="97"/>
      <c r="H24" s="97"/>
      <c r="I24" s="97"/>
      <c r="J24" s="97"/>
      <c r="K24" s="97"/>
      <c r="L24" s="108"/>
      <c r="M24" s="108"/>
      <c r="N24" s="108"/>
      <c r="O24" s="108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97"/>
      <c r="G25" s="97"/>
      <c r="H25" s="97"/>
      <c r="I25" s="97"/>
      <c r="J25" s="97"/>
      <c r="K25" s="97"/>
      <c r="L25" s="108"/>
      <c r="M25" s="108"/>
      <c r="N25" s="108"/>
      <c r="O25" s="108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>
        <v>1246.33</v>
      </c>
      <c r="C26" s="44">
        <v>4473.96</v>
      </c>
      <c r="D26" s="44">
        <f>4486.09+350.97</f>
        <v>4837.0600000000004</v>
      </c>
      <c r="E26" s="45">
        <f t="shared" si="0"/>
        <v>883.22999999999956</v>
      </c>
      <c r="F26" s="97"/>
      <c r="G26" s="97"/>
      <c r="H26" s="97"/>
      <c r="I26" s="97"/>
      <c r="J26" s="97"/>
      <c r="K26" s="97"/>
      <c r="L26" s="108"/>
      <c r="M26" s="108"/>
      <c r="N26" s="108"/>
      <c r="O26" s="108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83</v>
      </c>
      <c r="B27" s="44"/>
      <c r="C27" s="44"/>
      <c r="D27" s="44"/>
      <c r="E27" s="45">
        <f t="shared" si="0"/>
        <v>0</v>
      </c>
      <c r="F27" s="97"/>
      <c r="G27" s="97"/>
      <c r="H27" s="97"/>
      <c r="I27" s="97"/>
      <c r="J27" s="97"/>
      <c r="K27" s="97"/>
      <c r="L27" s="108"/>
      <c r="M27" s="108"/>
      <c r="N27" s="108"/>
      <c r="O27" s="108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132305.17000000001</v>
      </c>
      <c r="C28" s="50">
        <f>C29+C30+C31+C33+C32</f>
        <v>638884.43000000005</v>
      </c>
      <c r="D28" s="50">
        <f>D29+D30+D31+D33+D32</f>
        <v>629572.02</v>
      </c>
      <c r="E28" s="51">
        <f>C28-D28+B28</f>
        <v>141617.58000000005</v>
      </c>
      <c r="F28" s="97"/>
      <c r="G28" s="97"/>
      <c r="H28" s="97"/>
      <c r="I28" s="97"/>
      <c r="J28" s="97"/>
      <c r="K28" s="97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40">
        <v>54327.51</v>
      </c>
      <c r="C29" s="40">
        <f>247959.57-969.4</f>
        <v>246990.17</v>
      </c>
      <c r="D29" s="40">
        <f>237339.99+15813.57</f>
        <v>253153.56</v>
      </c>
      <c r="E29" s="42">
        <f t="shared" si="0"/>
        <v>48164.120000000017</v>
      </c>
      <c r="F29" s="97"/>
      <c r="G29" s="97"/>
      <c r="H29" s="97"/>
      <c r="I29" s="97"/>
      <c r="J29" s="97"/>
      <c r="K29" s="97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23</v>
      </c>
      <c r="B30" s="43">
        <f>44747.08+11779.07</f>
        <v>56526.15</v>
      </c>
      <c r="C30" s="43">
        <f>222036.42+60851.8-1495.2-4081.8</f>
        <v>277311.22000000003</v>
      </c>
      <c r="D30" s="43">
        <f>206855.89+56269.03+7126.01+1983.18</f>
        <v>272234.11000000004</v>
      </c>
      <c r="E30" s="45">
        <f t="shared" si="0"/>
        <v>61603.259999999987</v>
      </c>
      <c r="F30" s="97"/>
      <c r="G30" s="97"/>
      <c r="H30" s="97"/>
      <c r="I30" s="97"/>
      <c r="J30" s="97"/>
      <c r="K30" s="97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43">
        <v>6659.75</v>
      </c>
      <c r="C31" s="43">
        <f>39747.9-367.22</f>
        <v>39380.68</v>
      </c>
      <c r="D31" s="43">
        <f>31639.27+1276.08</f>
        <v>32915.35</v>
      </c>
      <c r="E31" s="45">
        <f t="shared" si="0"/>
        <v>13125.080000000002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53" t="s">
        <v>90</v>
      </c>
      <c r="B32" s="43">
        <f>-1775.91</f>
        <v>-1775.91</v>
      </c>
      <c r="C32" s="43"/>
      <c r="D32" s="43"/>
      <c r="E32" s="45">
        <f t="shared" si="0"/>
        <v>-1775.91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43">
        <v>16567.669999999998</v>
      </c>
      <c r="C33" s="43">
        <f>75816.22-613.86</f>
        <v>75202.36</v>
      </c>
      <c r="D33" s="43">
        <f>68750.96+2518.04</f>
        <v>71269</v>
      </c>
      <c r="E33" s="45">
        <f t="shared" si="0"/>
        <v>20501.03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74</v>
      </c>
      <c r="B35" s="54">
        <f>22343.05</f>
        <v>22343.05</v>
      </c>
      <c r="C35" s="55">
        <f>85341.03-228.24-338.76</f>
        <v>84774.03</v>
      </c>
      <c r="D35" s="55">
        <f>92977.15+7008.14</f>
        <v>99985.29</v>
      </c>
      <c r="E35" s="45">
        <f t="shared" si="0"/>
        <v>7131.7900000000045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155</v>
      </c>
      <c r="B37" s="44"/>
      <c r="C37" s="44"/>
      <c r="D37" s="44"/>
      <c r="E37" s="45">
        <f t="shared" si="0"/>
        <v>0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>
        <f>-11.61</f>
        <v>-11.61</v>
      </c>
      <c r="C38" s="46"/>
      <c r="D38" s="46"/>
      <c r="E38" s="47">
        <f t="shared" si="0"/>
        <v>-11.61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261775.31</v>
      </c>
      <c r="C39" s="58">
        <f>C20+C21+C22+C23+C24+C25+C26+C28+C35+C36+C37+C38</f>
        <v>1190944.7000000002</v>
      </c>
      <c r="D39" s="58">
        <f>D20+D21+D22+D23+D24+D25+D26+D28+D35+D36+D37+D38+D27</f>
        <v>1213424.57</v>
      </c>
      <c r="E39" s="58">
        <f>E20+E21+E22+E23+E24+E25+E26+E28+E35+E36+E37+E38+E27</f>
        <v>239295.44000000006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59"/>
      <c r="B40" s="60"/>
      <c r="C40" s="56"/>
      <c r="D40" s="122"/>
      <c r="E40" s="122"/>
      <c r="F40" s="123"/>
      <c r="G40" s="124"/>
      <c r="H40" s="124"/>
      <c r="I40" s="124"/>
      <c r="J40" s="137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59"/>
      <c r="B41" s="60"/>
      <c r="C41" s="56"/>
      <c r="D41" s="119"/>
      <c r="E41" s="119"/>
      <c r="F41" s="138"/>
      <c r="G41" s="115"/>
      <c r="H41" s="137"/>
      <c r="I41" s="137"/>
      <c r="J41" s="137"/>
    </row>
    <row r="42" spans="1:22" ht="15.75" thickBot="1" x14ac:dyDescent="0.3">
      <c r="A42" s="61" t="s">
        <v>30</v>
      </c>
      <c r="B42" s="62">
        <f>B44+B60+B61+B58+B63+B59+B62</f>
        <v>1303994.9625684</v>
      </c>
      <c r="C42" s="63" t="s">
        <v>31</v>
      </c>
      <c r="D42" s="119">
        <f>C39-B42-B63</f>
        <v>-116183.32139192919</v>
      </c>
      <c r="E42" s="272" t="s">
        <v>32</v>
      </c>
      <c r="F42" s="273">
        <v>5512727.4500000002</v>
      </c>
      <c r="G42" s="274">
        <f>F42/F48*C8</f>
        <v>95953.885438529411</v>
      </c>
      <c r="H42" s="137"/>
      <c r="I42" s="137"/>
      <c r="J42" s="137"/>
    </row>
    <row r="43" spans="1:22" x14ac:dyDescent="0.25">
      <c r="A43" s="64" t="s">
        <v>124</v>
      </c>
      <c r="B43" s="183">
        <f>-1333654.76</f>
        <v>-1333654.76</v>
      </c>
      <c r="C43" s="69"/>
      <c r="D43" s="119"/>
      <c r="E43" s="272" t="s">
        <v>33</v>
      </c>
      <c r="F43" s="273">
        <f>1264951.09</f>
        <v>1264951.0900000001</v>
      </c>
      <c r="G43" s="274">
        <f>F43/F48*C8</f>
        <v>22017.589854764712</v>
      </c>
      <c r="H43" s="137"/>
      <c r="I43" s="137"/>
      <c r="J43" s="137"/>
    </row>
    <row r="44" spans="1:22" x14ac:dyDescent="0.25">
      <c r="A44" s="67" t="s">
        <v>34</v>
      </c>
      <c r="B44" s="160">
        <f>B45+B46+B48+B49+B50+B51+B52+B53+B54+B55+B56+B47+B57</f>
        <v>549826.22374487051</v>
      </c>
      <c r="C44" s="69" t="s">
        <v>31</v>
      </c>
      <c r="D44" s="119"/>
      <c r="E44" s="272" t="s">
        <v>35</v>
      </c>
      <c r="F44" s="273">
        <v>180000</v>
      </c>
      <c r="G44" s="274">
        <f>F44/F48*C8</f>
        <v>3133.0588235294122</v>
      </c>
      <c r="H44" s="137"/>
      <c r="I44" s="137"/>
      <c r="J44" s="137"/>
    </row>
    <row r="45" spans="1:22" x14ac:dyDescent="0.25">
      <c r="A45" s="70" t="s">
        <v>76</v>
      </c>
      <c r="B45" s="184">
        <v>124539.82</v>
      </c>
      <c r="C45" s="71" t="s">
        <v>31</v>
      </c>
      <c r="D45" s="119"/>
      <c r="E45" s="272" t="s">
        <v>18</v>
      </c>
      <c r="F45" s="273">
        <f>299837.27</f>
        <v>299837.27</v>
      </c>
      <c r="G45" s="274">
        <f>F45/F48*C8</f>
        <v>5218.9322466470603</v>
      </c>
      <c r="H45" s="137"/>
      <c r="I45" s="137"/>
      <c r="J45" s="137"/>
    </row>
    <row r="46" spans="1:22" x14ac:dyDescent="0.25">
      <c r="A46" s="72" t="s">
        <v>37</v>
      </c>
      <c r="B46" s="184">
        <f>G42+G43</f>
        <v>117971.47529329412</v>
      </c>
      <c r="C46" s="71" t="s">
        <v>31</v>
      </c>
      <c r="D46" s="119"/>
      <c r="E46" s="275" t="s">
        <v>38</v>
      </c>
      <c r="F46" s="273">
        <f>7000+1260+30890+4200</f>
        <v>43350</v>
      </c>
      <c r="G46" s="274">
        <f>F46/F48*C8</f>
        <v>754.54500000000007</v>
      </c>
      <c r="H46" s="137"/>
      <c r="I46" s="137"/>
      <c r="J46" s="137"/>
    </row>
    <row r="47" spans="1:22" x14ac:dyDescent="0.25">
      <c r="A47" s="72" t="s">
        <v>39</v>
      </c>
      <c r="B47" s="184">
        <v>10560</v>
      </c>
      <c r="C47" s="71" t="s">
        <v>31</v>
      </c>
      <c r="D47" s="119"/>
      <c r="E47" s="274" t="s">
        <v>12</v>
      </c>
      <c r="F47" s="273">
        <f>8022857.59-F46</f>
        <v>7979507.5899999999</v>
      </c>
      <c r="G47" s="274">
        <f>F47/F48*C8</f>
        <v>138890.37034594116</v>
      </c>
      <c r="H47" s="137"/>
      <c r="I47" s="137"/>
      <c r="J47" s="137"/>
    </row>
    <row r="48" spans="1:22" x14ac:dyDescent="0.25">
      <c r="A48" s="70" t="s">
        <v>40</v>
      </c>
      <c r="B48" s="184">
        <f>G46+37803.12</f>
        <v>38557.665000000001</v>
      </c>
      <c r="C48" s="71" t="s">
        <v>31</v>
      </c>
      <c r="D48" s="119"/>
      <c r="E48" s="276" t="s">
        <v>41</v>
      </c>
      <c r="F48" s="277">
        <f>119000</f>
        <v>119000</v>
      </c>
      <c r="G48" s="274"/>
      <c r="H48" s="137"/>
      <c r="I48" s="137"/>
      <c r="J48" s="137"/>
    </row>
    <row r="49" spans="1:10" x14ac:dyDescent="0.25">
      <c r="A49" s="70" t="s">
        <v>42</v>
      </c>
      <c r="B49" s="184">
        <f>G45+137.47</f>
        <v>5356.4022466470606</v>
      </c>
      <c r="C49" s="71" t="s">
        <v>31</v>
      </c>
      <c r="D49" s="119"/>
      <c r="E49" s="278"/>
      <c r="F49" s="274"/>
      <c r="G49" s="274"/>
      <c r="H49" s="137"/>
      <c r="I49" s="137"/>
      <c r="J49" s="137"/>
    </row>
    <row r="50" spans="1:10" x14ac:dyDescent="0.25">
      <c r="A50" s="70" t="s">
        <v>141</v>
      </c>
      <c r="B50" s="184">
        <f>G47</f>
        <v>138890.37034594116</v>
      </c>
      <c r="C50" s="71" t="s">
        <v>31</v>
      </c>
      <c r="D50" s="119"/>
      <c r="E50" s="279" t="s">
        <v>70</v>
      </c>
      <c r="F50" s="277">
        <f>1910.32</f>
        <v>1910.32</v>
      </c>
      <c r="G50" s="279">
        <f>F50/F48*C8</f>
        <v>33.250805176470593</v>
      </c>
      <c r="H50" s="137"/>
      <c r="I50" s="137"/>
      <c r="J50" s="137"/>
    </row>
    <row r="51" spans="1:10" x14ac:dyDescent="0.25">
      <c r="A51" s="70" t="s">
        <v>44</v>
      </c>
      <c r="B51" s="184">
        <f>G52</f>
        <v>285.97168470588235</v>
      </c>
      <c r="C51" s="71" t="s">
        <v>31</v>
      </c>
      <c r="D51" s="119"/>
      <c r="E51" s="119"/>
      <c r="F51" s="120"/>
      <c r="G51" s="121"/>
      <c r="H51" s="137"/>
      <c r="I51" s="137"/>
      <c r="J51" s="137"/>
    </row>
    <row r="52" spans="1:10" x14ac:dyDescent="0.25">
      <c r="A52" s="70" t="s">
        <v>45</v>
      </c>
      <c r="B52" s="184">
        <f>G50</f>
        <v>33.250805176470593</v>
      </c>
      <c r="C52" s="71" t="s">
        <v>31</v>
      </c>
      <c r="D52" s="119"/>
      <c r="E52" s="119" t="s">
        <v>125</v>
      </c>
      <c r="F52" s="280">
        <f>16429.6</f>
        <v>16429.599999999999</v>
      </c>
      <c r="G52" s="279">
        <f>F52/F48*C8</f>
        <v>285.97168470588235</v>
      </c>
      <c r="H52" s="137"/>
      <c r="I52" s="137"/>
      <c r="J52" s="137"/>
    </row>
    <row r="53" spans="1:10" x14ac:dyDescent="0.25">
      <c r="A53" s="70" t="s">
        <v>46</v>
      </c>
      <c r="B53" s="184"/>
      <c r="C53" s="71" t="s">
        <v>31</v>
      </c>
      <c r="D53" s="119"/>
      <c r="E53" s="119"/>
      <c r="F53" s="120"/>
      <c r="G53" s="121"/>
      <c r="H53" s="137"/>
      <c r="I53" s="137"/>
      <c r="J53" s="137"/>
    </row>
    <row r="54" spans="1:10" ht="26.25" x14ac:dyDescent="0.25">
      <c r="A54" s="191" t="s">
        <v>210</v>
      </c>
      <c r="B54" s="184">
        <f>400+1050+311.52+1000</f>
        <v>2761.52</v>
      </c>
      <c r="C54" s="71" t="s">
        <v>31</v>
      </c>
      <c r="D54" s="119"/>
      <c r="E54" s="119"/>
      <c r="F54" s="120"/>
      <c r="G54" s="121"/>
      <c r="H54" s="137"/>
      <c r="I54" s="137"/>
      <c r="J54" s="137"/>
    </row>
    <row r="55" spans="1:10" x14ac:dyDescent="0.25">
      <c r="A55" s="70" t="s">
        <v>48</v>
      </c>
      <c r="B55" s="184">
        <v>7456.68</v>
      </c>
      <c r="C55" s="71" t="s">
        <v>31</v>
      </c>
      <c r="D55" s="56"/>
      <c r="E55" s="56"/>
      <c r="F55" s="136"/>
      <c r="G55" s="137"/>
      <c r="H55" s="137"/>
      <c r="I55" s="137"/>
      <c r="J55" s="137"/>
    </row>
    <row r="56" spans="1:10" x14ac:dyDescent="0.25">
      <c r="A56" s="70" t="s">
        <v>49</v>
      </c>
      <c r="B56" s="184">
        <f>(B46+B47+B48+B49+B50+B52+B53+B54)*0.1</f>
        <v>31413.06836910588</v>
      </c>
      <c r="C56" s="71" t="s">
        <v>31</v>
      </c>
      <c r="D56" s="101"/>
      <c r="E56" s="101"/>
      <c r="F56" s="125"/>
      <c r="G56" s="97"/>
      <c r="H56" s="97"/>
      <c r="I56" s="97"/>
      <c r="J56" s="137"/>
    </row>
    <row r="57" spans="1:10" x14ac:dyDescent="0.25">
      <c r="A57" s="70" t="s">
        <v>103</v>
      </c>
      <c r="B57" s="184">
        <f>66000+6000</f>
        <v>72000</v>
      </c>
      <c r="C57" s="71" t="s">
        <v>31</v>
      </c>
      <c r="D57" s="119"/>
      <c r="E57" s="119"/>
      <c r="F57" s="138"/>
      <c r="G57" s="115"/>
      <c r="H57" s="137"/>
      <c r="I57" s="97"/>
      <c r="J57" s="137"/>
    </row>
    <row r="58" spans="1:10" x14ac:dyDescent="0.25">
      <c r="A58" s="67" t="s">
        <v>50</v>
      </c>
      <c r="B58" s="160">
        <f>C81</f>
        <v>31670.449999999997</v>
      </c>
      <c r="C58" s="69" t="s">
        <v>31</v>
      </c>
      <c r="D58" s="122"/>
      <c r="E58" s="122"/>
      <c r="F58" s="123"/>
      <c r="G58" s="124"/>
      <c r="H58" s="124"/>
      <c r="I58" s="97"/>
      <c r="J58" s="137"/>
    </row>
    <row r="59" spans="1:10" x14ac:dyDescent="0.25">
      <c r="A59" s="67" t="s">
        <v>51</v>
      </c>
      <c r="B59" s="160">
        <f>1400</f>
        <v>1400</v>
      </c>
      <c r="C59" s="69" t="s">
        <v>31</v>
      </c>
      <c r="D59" s="122"/>
      <c r="E59" s="122"/>
      <c r="F59" s="123"/>
      <c r="G59" s="124"/>
      <c r="H59" s="124"/>
      <c r="I59" s="97"/>
      <c r="J59" s="137"/>
    </row>
    <row r="60" spans="1:10" x14ac:dyDescent="0.25">
      <c r="A60" s="67" t="s">
        <v>52</v>
      </c>
      <c r="B60" s="68">
        <f>54376.48+70596.75+455788.03+64359.42</f>
        <v>645120.68000000005</v>
      </c>
      <c r="C60" s="69" t="s">
        <v>31</v>
      </c>
      <c r="D60" s="56"/>
      <c r="E60" s="56"/>
      <c r="F60" s="3"/>
      <c r="I60" s="97"/>
      <c r="J60" s="137"/>
    </row>
    <row r="61" spans="1:10" x14ac:dyDescent="0.25">
      <c r="A61" s="67" t="s">
        <v>53</v>
      </c>
      <c r="B61" s="68">
        <v>72844.55</v>
      </c>
      <c r="C61" s="69" t="s">
        <v>54</v>
      </c>
      <c r="D61" s="56"/>
      <c r="E61" s="56"/>
      <c r="F61" s="3"/>
      <c r="I61" s="97"/>
      <c r="J61" s="137"/>
    </row>
    <row r="62" spans="1:10" x14ac:dyDescent="0.25">
      <c r="A62" s="133" t="s">
        <v>154</v>
      </c>
      <c r="B62" s="134">
        <f>C37/1.02</f>
        <v>0</v>
      </c>
      <c r="C62" s="135"/>
      <c r="D62" s="56"/>
      <c r="E62" s="56"/>
      <c r="F62" s="3"/>
      <c r="I62" s="97"/>
      <c r="J62" s="137"/>
    </row>
    <row r="63" spans="1:10" ht="15.75" thickBot="1" x14ac:dyDescent="0.3">
      <c r="A63" s="73" t="s">
        <v>78</v>
      </c>
      <c r="B63" s="74">
        <f>G44</f>
        <v>3133.0588235294122</v>
      </c>
      <c r="C63" s="75" t="s">
        <v>31</v>
      </c>
      <c r="D63" s="56"/>
      <c r="E63" s="56"/>
      <c r="F63" s="3"/>
      <c r="I63" s="97"/>
      <c r="J63" s="137"/>
    </row>
    <row r="64" spans="1:10" x14ac:dyDescent="0.25">
      <c r="A64" s="59"/>
      <c r="B64" s="60"/>
      <c r="C64" s="56"/>
      <c r="D64" s="56"/>
      <c r="E64" s="56"/>
      <c r="F64" s="3"/>
      <c r="I64" s="97"/>
      <c r="J64" s="137"/>
    </row>
    <row r="65" spans="1:10" x14ac:dyDescent="0.25">
      <c r="A65" s="59" t="s">
        <v>142</v>
      </c>
      <c r="B65" s="143">
        <f>C39-C24+B43-B42</f>
        <v>-1446705.0225683998</v>
      </c>
      <c r="C65" s="56" t="s">
        <v>31</v>
      </c>
      <c r="D65" s="56"/>
      <c r="E65" s="56"/>
      <c r="F65" s="3"/>
      <c r="I65" s="97"/>
      <c r="J65" s="137"/>
    </row>
    <row r="66" spans="1:10" x14ac:dyDescent="0.25">
      <c r="A66" s="59" t="s">
        <v>130</v>
      </c>
      <c r="B66" s="2">
        <f>B67+B68+B69+B70+B71+B72</f>
        <v>-113050.26256839989</v>
      </c>
      <c r="C66" s="56" t="s">
        <v>31</v>
      </c>
      <c r="D66" s="56"/>
      <c r="E66" s="56"/>
      <c r="F66" s="3"/>
      <c r="I66" s="97"/>
      <c r="J66" s="137"/>
    </row>
    <row r="67" spans="1:10" x14ac:dyDescent="0.25">
      <c r="A67" s="77" t="s">
        <v>56</v>
      </c>
      <c r="B67" s="78">
        <f>C20-B44-B63</f>
        <v>-134141.40256839991</v>
      </c>
      <c r="C67" s="56" t="s">
        <v>31</v>
      </c>
      <c r="D67" s="56"/>
      <c r="E67" s="56"/>
      <c r="F67" s="3"/>
      <c r="I67" s="97"/>
      <c r="J67" s="137"/>
    </row>
    <row r="68" spans="1:10" x14ac:dyDescent="0.25">
      <c r="A68" s="77" t="s">
        <v>57</v>
      </c>
      <c r="B68" s="78">
        <f>C22-B58</f>
        <v>12323.950000000004</v>
      </c>
      <c r="C68" s="56" t="s">
        <v>31</v>
      </c>
      <c r="D68" s="56"/>
      <c r="E68" s="56"/>
      <c r="F68" s="3"/>
      <c r="I68" s="97"/>
      <c r="J68" s="137"/>
    </row>
    <row r="69" spans="1:10" x14ac:dyDescent="0.25">
      <c r="A69" s="77" t="s">
        <v>58</v>
      </c>
      <c r="B69" s="78">
        <f>C26-B59</f>
        <v>3073.96</v>
      </c>
      <c r="C69" s="56" t="s">
        <v>31</v>
      </c>
      <c r="D69" s="56"/>
      <c r="E69" s="56"/>
      <c r="F69" s="3"/>
      <c r="I69" s="97"/>
      <c r="J69" s="137"/>
    </row>
    <row r="70" spans="1:10" x14ac:dyDescent="0.25">
      <c r="A70" s="77" t="s">
        <v>59</v>
      </c>
      <c r="B70" s="78">
        <f>C28-B60</f>
        <v>-6236.25</v>
      </c>
      <c r="C70" s="56" t="s">
        <v>31</v>
      </c>
      <c r="D70" s="56"/>
      <c r="E70" s="56"/>
      <c r="F70" s="3"/>
      <c r="I70" s="97"/>
      <c r="J70" s="137"/>
    </row>
    <row r="71" spans="1:10" x14ac:dyDescent="0.25">
      <c r="A71" s="77" t="s">
        <v>60</v>
      </c>
      <c r="B71" s="78">
        <f>C35-B61</f>
        <v>11929.479999999996</v>
      </c>
      <c r="C71" s="56" t="s">
        <v>31</v>
      </c>
      <c r="D71" s="56"/>
      <c r="E71" s="56"/>
      <c r="F71" s="3"/>
      <c r="I71" s="97"/>
      <c r="J71" s="137"/>
    </row>
    <row r="72" spans="1:10" x14ac:dyDescent="0.25">
      <c r="A72" s="77" t="s">
        <v>157</v>
      </c>
      <c r="B72" s="78">
        <f>C37-B62</f>
        <v>0</v>
      </c>
      <c r="C72" s="56" t="s">
        <v>31</v>
      </c>
      <c r="I72" s="97"/>
      <c r="J72" s="137"/>
    </row>
    <row r="73" spans="1:10" ht="15.75" thickBot="1" x14ac:dyDescent="0.3">
      <c r="A73" s="77"/>
      <c r="B73" s="78"/>
      <c r="C73" s="56"/>
      <c r="D73" s="98"/>
      <c r="E73" s="99"/>
      <c r="F73" s="100"/>
      <c r="G73" s="97"/>
      <c r="I73" s="97"/>
      <c r="J73" s="137"/>
    </row>
    <row r="74" spans="1:10" ht="15.75" thickBot="1" x14ac:dyDescent="0.3">
      <c r="A74" s="128" t="s">
        <v>146</v>
      </c>
      <c r="B74" s="129"/>
      <c r="C74" s="130"/>
      <c r="D74" s="101"/>
      <c r="E74" s="101"/>
      <c r="F74" s="101"/>
      <c r="G74" s="97"/>
      <c r="I74" s="97"/>
      <c r="J74" s="137"/>
    </row>
    <row r="75" spans="1:10" ht="51.75" thickBot="1" x14ac:dyDescent="0.3">
      <c r="A75" s="79" t="s">
        <v>80</v>
      </c>
      <c r="B75" s="80" t="s">
        <v>61</v>
      </c>
      <c r="C75" s="81" t="s">
        <v>67</v>
      </c>
      <c r="D75" s="102"/>
      <c r="E75" s="103"/>
      <c r="F75" s="104"/>
      <c r="G75" s="97"/>
      <c r="I75" s="97"/>
      <c r="J75" s="137"/>
    </row>
    <row r="76" spans="1:10" x14ac:dyDescent="0.25">
      <c r="A76" s="82" t="s">
        <v>62</v>
      </c>
      <c r="B76" s="113" t="s">
        <v>31</v>
      </c>
      <c r="C76" s="114" t="s">
        <v>31</v>
      </c>
      <c r="D76" s="102"/>
      <c r="E76" s="103"/>
      <c r="F76" s="104"/>
      <c r="G76" s="97"/>
      <c r="I76" s="97"/>
      <c r="J76" s="137"/>
    </row>
    <row r="77" spans="1:10" ht="30" x14ac:dyDescent="0.25">
      <c r="A77" s="148" t="s">
        <v>196</v>
      </c>
      <c r="B77" s="43"/>
      <c r="C77" s="185">
        <f>11494.25+2402.3+11273.9</f>
        <v>25170.449999999997</v>
      </c>
      <c r="D77" s="102"/>
      <c r="E77" s="103"/>
      <c r="F77" s="104"/>
      <c r="G77" s="97"/>
      <c r="I77" s="97"/>
      <c r="J77" s="137"/>
    </row>
    <row r="78" spans="1:10" hidden="1" x14ac:dyDescent="0.25">
      <c r="A78" s="53"/>
      <c r="B78" s="43"/>
      <c r="C78" s="185"/>
      <c r="D78" s="102"/>
      <c r="E78" s="103"/>
      <c r="F78" s="104"/>
      <c r="G78" s="97"/>
    </row>
    <row r="79" spans="1:10" hidden="1" x14ac:dyDescent="0.25">
      <c r="A79" s="53"/>
      <c r="B79" s="43"/>
      <c r="C79" s="185"/>
      <c r="D79" s="102"/>
      <c r="E79" s="103"/>
      <c r="F79" s="104"/>
      <c r="G79" s="97"/>
    </row>
    <row r="80" spans="1:10" x14ac:dyDescent="0.25">
      <c r="A80" s="53" t="s">
        <v>179</v>
      </c>
      <c r="B80" s="43"/>
      <c r="C80" s="185">
        <v>6500</v>
      </c>
      <c r="D80" s="102"/>
      <c r="E80" s="103"/>
      <c r="F80" s="104"/>
      <c r="G80" s="97"/>
    </row>
    <row r="81" spans="1:7" ht="15.75" thickBot="1" x14ac:dyDescent="0.3">
      <c r="A81" s="145" t="s">
        <v>5</v>
      </c>
      <c r="B81" s="146">
        <f>B77</f>
        <v>0</v>
      </c>
      <c r="C81" s="147">
        <f>C77+C78+C79+C80</f>
        <v>31670.449999999997</v>
      </c>
      <c r="D81" s="102"/>
      <c r="E81" s="103"/>
      <c r="F81" s="104"/>
      <c r="G81" s="97"/>
    </row>
    <row r="82" spans="1:7" x14ac:dyDescent="0.25">
      <c r="A82" s="31"/>
      <c r="B82" s="33"/>
      <c r="C82" s="87"/>
      <c r="D82" s="102"/>
      <c r="E82" s="103"/>
      <c r="F82" s="104"/>
      <c r="G82" s="97"/>
    </row>
    <row r="83" spans="1:7" x14ac:dyDescent="0.25">
      <c r="A83" s="59"/>
      <c r="B83" s="33"/>
      <c r="C83" s="87"/>
      <c r="D83" s="102"/>
      <c r="E83" s="103"/>
      <c r="F83" s="104"/>
      <c r="G83" s="97"/>
    </row>
    <row r="84" spans="1:7" x14ac:dyDescent="0.25">
      <c r="A84" s="164" t="s">
        <v>132</v>
      </c>
      <c r="B84" s="149"/>
      <c r="C84" s="215"/>
      <c r="D84" s="216"/>
      <c r="E84" s="89"/>
    </row>
    <row r="85" spans="1:7" x14ac:dyDescent="0.25">
      <c r="A85" s="217"/>
      <c r="B85" s="149"/>
      <c r="C85" s="215"/>
      <c r="D85" s="218"/>
      <c r="E85" s="89"/>
    </row>
    <row r="86" spans="1:7" x14ac:dyDescent="0.25">
      <c r="A86" s="165" t="s">
        <v>133</v>
      </c>
      <c r="B86" s="149" t="s">
        <v>134</v>
      </c>
      <c r="C86" s="219"/>
      <c r="D86" s="216"/>
      <c r="E86" s="56"/>
    </row>
    <row r="87" spans="1:7" x14ac:dyDescent="0.25">
      <c r="A87" s="165"/>
      <c r="B87" s="149"/>
      <c r="C87" s="219"/>
      <c r="D87" s="216"/>
      <c r="E87" s="56"/>
    </row>
    <row r="88" spans="1:7" x14ac:dyDescent="0.25">
      <c r="A88" s="220"/>
      <c r="B88" s="221"/>
      <c r="C88" s="219"/>
      <c r="D88" s="150"/>
      <c r="E88" s="89"/>
    </row>
    <row r="89" spans="1:7" ht="15.75" x14ac:dyDescent="0.25">
      <c r="A89" s="223" t="s">
        <v>63</v>
      </c>
      <c r="B89" s="224" t="s">
        <v>134</v>
      </c>
      <c r="C89" s="225"/>
      <c r="D89" s="226" t="s">
        <v>66</v>
      </c>
      <c r="E89" s="89"/>
    </row>
    <row r="90" spans="1:7" x14ac:dyDescent="0.25">
      <c r="A90" s="95"/>
      <c r="B90" s="96"/>
      <c r="C90" s="89"/>
      <c r="D90" s="93"/>
      <c r="E90" s="89"/>
    </row>
    <row r="91" spans="1:7" x14ac:dyDescent="0.25">
      <c r="A91" s="95"/>
      <c r="B91" s="96"/>
      <c r="C91" s="89"/>
      <c r="D91" s="93"/>
      <c r="E91" s="89"/>
    </row>
    <row r="92" spans="1:7" x14ac:dyDescent="0.25">
      <c r="A92" s="95"/>
      <c r="B92" s="96"/>
      <c r="C92" s="89"/>
      <c r="D92" s="93"/>
      <c r="E92" s="89"/>
      <c r="F92" s="94"/>
    </row>
    <row r="93" spans="1:7" x14ac:dyDescent="0.25">
      <c r="A93" s="31"/>
      <c r="B93" s="33"/>
      <c r="C93" s="89"/>
      <c r="D93" s="93"/>
      <c r="E93" s="89"/>
    </row>
    <row r="94" spans="1:7" x14ac:dyDescent="0.25">
      <c r="A94" s="31"/>
      <c r="B94" s="33"/>
      <c r="C94" s="56"/>
      <c r="D94" s="87"/>
      <c r="E94" s="89"/>
    </row>
    <row r="95" spans="1:7" x14ac:dyDescent="0.25">
      <c r="A95" s="19"/>
      <c r="B95" s="20"/>
      <c r="C95" s="89"/>
      <c r="D95" s="87"/>
      <c r="E95" s="89"/>
    </row>
    <row r="96" spans="1:7" x14ac:dyDescent="0.25">
      <c r="A96" s="31"/>
      <c r="B96" s="33"/>
      <c r="C96" s="89"/>
      <c r="D96" s="56"/>
      <c r="E96" s="56"/>
      <c r="F96" s="3"/>
    </row>
    <row r="97" spans="1:6" x14ac:dyDescent="0.25">
      <c r="A97" s="31"/>
      <c r="B97" s="33"/>
      <c r="C97" s="33"/>
      <c r="D97" s="56"/>
      <c r="E97" s="89"/>
    </row>
    <row r="98" spans="1:6" x14ac:dyDescent="0.25">
      <c r="A98" s="31"/>
      <c r="B98" s="33"/>
      <c r="C98" s="33"/>
      <c r="D98" s="56"/>
      <c r="E98" s="56"/>
    </row>
    <row r="99" spans="1:6" x14ac:dyDescent="0.25">
      <c r="A99" s="31"/>
      <c r="B99" s="33"/>
      <c r="C99" s="33"/>
      <c r="D99" s="89"/>
      <c r="E99" s="89"/>
    </row>
    <row r="100" spans="1:6" x14ac:dyDescent="0.25">
      <c r="A100" s="31"/>
      <c r="B100" s="33"/>
      <c r="D100" s="89"/>
      <c r="E100" s="89"/>
    </row>
    <row r="101" spans="1:6" x14ac:dyDescent="0.25">
      <c r="D101" s="89"/>
      <c r="E101" s="89"/>
    </row>
    <row r="102" spans="1:6" x14ac:dyDescent="0.25">
      <c r="D102" s="89"/>
      <c r="E102" s="89"/>
    </row>
    <row r="103" spans="1:6" x14ac:dyDescent="0.25">
      <c r="D103" s="89"/>
      <c r="E103" s="89"/>
    </row>
    <row r="104" spans="1:6" x14ac:dyDescent="0.25">
      <c r="D104" s="89"/>
      <c r="E104" s="89"/>
    </row>
    <row r="105" spans="1:6" x14ac:dyDescent="0.25">
      <c r="B105"/>
      <c r="C105"/>
      <c r="D105" s="56"/>
      <c r="E105" s="56"/>
      <c r="F105" s="3"/>
    </row>
    <row r="106" spans="1:6" x14ac:dyDescent="0.25">
      <c r="B106"/>
      <c r="C106"/>
      <c r="D106" s="89"/>
      <c r="E106" s="89"/>
      <c r="F106" s="3"/>
    </row>
    <row r="107" spans="1:6" x14ac:dyDescent="0.25">
      <c r="B107"/>
      <c r="C107"/>
      <c r="D107" s="89"/>
      <c r="E107" s="89"/>
    </row>
    <row r="108" spans="1:6" x14ac:dyDescent="0.25">
      <c r="B108"/>
      <c r="C108"/>
      <c r="D108" s="33"/>
      <c r="E108" s="33"/>
    </row>
    <row r="109" spans="1:6" x14ac:dyDescent="0.25">
      <c r="B109"/>
      <c r="C109"/>
      <c r="D109" s="33"/>
      <c r="E109" s="33"/>
    </row>
    <row r="110" spans="1:6" x14ac:dyDescent="0.25">
      <c r="D110" s="33"/>
      <c r="E110" s="33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V106"/>
  <sheetViews>
    <sheetView view="pageBreakPreview" zoomScale="60" zoomScaleNormal="100" workbookViewId="0">
      <selection activeCell="C79" sqref="C79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4.85546875" style="3" customWidth="1"/>
    <col min="5" max="5" width="17.570312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197</v>
      </c>
      <c r="B2" s="2"/>
      <c r="C2" s="2"/>
      <c r="D2" s="2"/>
    </row>
    <row r="3" spans="1:22" ht="15.75" thickBot="1" x14ac:dyDescent="0.3">
      <c r="A3" s="1"/>
      <c r="B3" s="2"/>
      <c r="C3" s="2"/>
      <c r="D3" s="2"/>
      <c r="L3" s="108"/>
      <c r="M3" s="108"/>
      <c r="N3" s="108"/>
      <c r="O3" s="108"/>
    </row>
    <row r="4" spans="1:22" ht="15.75" thickBot="1" x14ac:dyDescent="0.3">
      <c r="A4" s="22" t="s">
        <v>0</v>
      </c>
      <c r="B4" s="126"/>
      <c r="C4" s="126"/>
      <c r="D4" s="127"/>
      <c r="L4" s="108"/>
      <c r="M4" s="108"/>
      <c r="N4" s="108"/>
      <c r="O4" s="108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L5" s="108"/>
      <c r="M5" s="108"/>
      <c r="N5" s="108"/>
      <c r="O5" s="108"/>
    </row>
    <row r="6" spans="1:22" ht="15.75" thickBot="1" x14ac:dyDescent="0.3">
      <c r="A6" s="10" t="s">
        <v>104</v>
      </c>
      <c r="B6" s="11"/>
      <c r="C6" s="11">
        <v>5051.8999999999996</v>
      </c>
      <c r="D6" s="12">
        <v>116</v>
      </c>
      <c r="L6" s="108"/>
      <c r="M6" s="108"/>
      <c r="N6" s="108"/>
      <c r="O6" s="108"/>
    </row>
    <row r="7" spans="1:22" x14ac:dyDescent="0.25">
      <c r="A7" s="10"/>
      <c r="B7" s="14"/>
      <c r="C7" s="14"/>
      <c r="D7" s="15"/>
      <c r="L7" s="108"/>
      <c r="M7" s="108"/>
      <c r="N7" s="108"/>
      <c r="O7" s="108"/>
    </row>
    <row r="8" spans="1:22" ht="15.75" thickBot="1" x14ac:dyDescent="0.3">
      <c r="A8" s="16" t="s">
        <v>5</v>
      </c>
      <c r="B8" s="17"/>
      <c r="C8" s="17">
        <f>C6+C7</f>
        <v>5051.8999999999996</v>
      </c>
      <c r="D8" s="18">
        <f>D6</f>
        <v>116</v>
      </c>
      <c r="L8" s="108"/>
      <c r="M8" s="108"/>
      <c r="N8" s="108"/>
      <c r="O8" s="108"/>
    </row>
    <row r="9" spans="1:22" ht="15.75" thickBot="1" x14ac:dyDescent="0.3">
      <c r="A9" s="19"/>
      <c r="B9" s="20"/>
      <c r="C9" s="20"/>
      <c r="D9" s="21"/>
      <c r="L9" s="108"/>
      <c r="M9" s="108"/>
      <c r="N9" s="108"/>
      <c r="O9" s="108"/>
    </row>
    <row r="10" spans="1:22" ht="15.75" thickBot="1" x14ac:dyDescent="0.3">
      <c r="A10" s="22" t="s">
        <v>112</v>
      </c>
      <c r="B10" s="23"/>
      <c r="C10" s="23"/>
      <c r="D10" s="24" t="s">
        <v>6</v>
      </c>
      <c r="F10" s="97"/>
      <c r="G10" s="97"/>
      <c r="H10" s="97"/>
      <c r="I10" s="97"/>
      <c r="J10" s="97"/>
      <c r="K10" s="97"/>
      <c r="L10" s="108"/>
      <c r="M10" s="108"/>
      <c r="N10" s="108"/>
      <c r="O10" s="108"/>
    </row>
    <row r="11" spans="1:22" x14ac:dyDescent="0.25">
      <c r="A11" s="25" t="s">
        <v>7</v>
      </c>
      <c r="B11" s="20"/>
      <c r="C11" s="20"/>
      <c r="D11" s="27">
        <v>16.850000000000001</v>
      </c>
      <c r="F11" s="97"/>
      <c r="G11" s="97"/>
      <c r="H11" s="97"/>
      <c r="I11" s="97"/>
      <c r="J11" s="97"/>
      <c r="K11" s="97"/>
      <c r="L11" s="108"/>
      <c r="M11" s="108"/>
      <c r="N11" s="108"/>
      <c r="O11" s="108"/>
    </row>
    <row r="12" spans="1:22" x14ac:dyDescent="0.25">
      <c r="A12" s="25" t="s">
        <v>8</v>
      </c>
      <c r="B12" s="20"/>
      <c r="C12" s="20"/>
      <c r="D12" s="27">
        <v>0.47</v>
      </c>
      <c r="F12" s="97"/>
      <c r="G12" s="97"/>
      <c r="H12" s="97"/>
      <c r="I12" s="97"/>
      <c r="J12" s="97"/>
      <c r="K12" s="97"/>
      <c r="L12" s="108"/>
      <c r="M12" s="108"/>
      <c r="N12" s="108"/>
      <c r="O12" s="108"/>
    </row>
    <row r="13" spans="1:22" x14ac:dyDescent="0.25">
      <c r="A13" s="25" t="s">
        <v>9</v>
      </c>
      <c r="B13" s="20"/>
      <c r="C13" s="20"/>
      <c r="D13" s="26">
        <v>0.18</v>
      </c>
      <c r="F13" s="97"/>
      <c r="G13" s="97"/>
      <c r="H13" s="97"/>
      <c r="I13" s="97"/>
      <c r="J13" s="97"/>
      <c r="K13" s="97"/>
      <c r="L13" s="108"/>
      <c r="M13" s="108"/>
      <c r="N13" s="108"/>
      <c r="O13" s="108"/>
    </row>
    <row r="14" spans="1:22" ht="15.75" thickBot="1" x14ac:dyDescent="0.3">
      <c r="A14" s="28" t="s">
        <v>10</v>
      </c>
      <c r="B14" s="29"/>
      <c r="C14" s="29"/>
      <c r="D14" s="30">
        <v>0</v>
      </c>
      <c r="F14" s="97"/>
      <c r="G14" s="97"/>
      <c r="H14" s="97"/>
      <c r="I14" s="97"/>
      <c r="J14" s="97"/>
      <c r="K14" s="97"/>
      <c r="L14" s="108"/>
      <c r="M14" s="108"/>
      <c r="N14" s="108"/>
      <c r="O14" s="108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97"/>
      <c r="G15" s="97"/>
      <c r="H15" s="97"/>
      <c r="I15" s="97"/>
      <c r="J15" s="97"/>
      <c r="K15" s="97"/>
      <c r="L15" s="108"/>
      <c r="M15" s="108"/>
      <c r="N15" s="108"/>
      <c r="O15" s="108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113</v>
      </c>
      <c r="B16" s="126"/>
      <c r="C16" s="126"/>
      <c r="D16" s="126"/>
      <c r="E16" s="127"/>
      <c r="F16" s="97"/>
      <c r="G16" s="97"/>
      <c r="H16" s="97"/>
      <c r="I16" s="97"/>
      <c r="J16" s="97"/>
      <c r="K16" s="97"/>
      <c r="L16" s="108"/>
      <c r="M16" s="109"/>
      <c r="N16" s="109"/>
      <c r="O16" s="108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39"/>
      <c r="F17" s="97"/>
      <c r="G17" s="97"/>
      <c r="H17" s="97"/>
      <c r="I17" s="97"/>
      <c r="J17" s="97"/>
      <c r="K17" s="97"/>
      <c r="L17" s="109"/>
      <c r="M17" s="110"/>
      <c r="N17" s="109"/>
      <c r="O17" s="108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39"/>
      <c r="F18" s="97"/>
      <c r="G18" s="97"/>
      <c r="H18" s="97"/>
      <c r="I18" s="97"/>
      <c r="J18" s="97"/>
      <c r="K18" s="97"/>
      <c r="L18" s="108"/>
      <c r="M18" s="108"/>
      <c r="N18" s="108"/>
      <c r="O18" s="108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114</v>
      </c>
      <c r="C19" s="38" t="s">
        <v>115</v>
      </c>
      <c r="D19" s="38" t="s">
        <v>116</v>
      </c>
      <c r="E19" s="39" t="s">
        <v>117</v>
      </c>
      <c r="F19" s="97"/>
      <c r="G19" s="97"/>
      <c r="H19" s="97"/>
      <c r="I19" s="97"/>
      <c r="J19" s="97"/>
      <c r="K19" s="97"/>
      <c r="L19" s="108"/>
      <c r="M19" s="111"/>
      <c r="N19" s="111"/>
      <c r="O19" s="108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171">
        <f>311882.42+147680.52</f>
        <v>459562.93999999994</v>
      </c>
      <c r="C20" s="171">
        <f>922542.12+3202.31-613.59+85297.39+21518.49</f>
        <v>1031946.7200000001</v>
      </c>
      <c r="D20" s="171">
        <f>896833.78+60748.08+31252.75+1714.45</f>
        <v>990549.05999999994</v>
      </c>
      <c r="E20" s="172">
        <f t="shared" ref="E20:E38" si="0">C20-D20+B20</f>
        <v>500960.60000000009</v>
      </c>
      <c r="F20" s="116">
        <f>C20+F22</f>
        <v>1060956.1800000002</v>
      </c>
      <c r="G20" s="117">
        <f>100</f>
        <v>100</v>
      </c>
      <c r="H20" s="115" t="s">
        <v>64</v>
      </c>
      <c r="I20" s="97"/>
      <c r="J20" s="97"/>
      <c r="K20" s="97"/>
      <c r="L20" s="108"/>
      <c r="M20" s="108"/>
      <c r="N20" s="108"/>
      <c r="O20" s="108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173"/>
      <c r="C21" s="173"/>
      <c r="D21" s="173"/>
      <c r="E21" s="174">
        <f t="shared" si="0"/>
        <v>0</v>
      </c>
      <c r="F21" s="116"/>
      <c r="G21" s="117"/>
      <c r="H21" s="115"/>
      <c r="I21" s="97"/>
      <c r="J21" s="97"/>
      <c r="K21" s="97"/>
      <c r="L21" s="108"/>
      <c r="M21" s="108"/>
      <c r="N21" s="108"/>
      <c r="O21" s="108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173">
        <f>5917.48+1238.16</f>
        <v>7155.6399999999994</v>
      </c>
      <c r="C22" s="173">
        <f>25701.24+108.18+2489.56+710.48</f>
        <v>29009.460000000003</v>
      </c>
      <c r="D22" s="173">
        <f>23721.24+1694.56+856.96+47.82</f>
        <v>26320.58</v>
      </c>
      <c r="E22" s="174">
        <f t="shared" si="0"/>
        <v>9844.52</v>
      </c>
      <c r="F22" s="116">
        <f>C22</f>
        <v>29009.460000000003</v>
      </c>
      <c r="G22" s="118">
        <f>F22*G20/F20</f>
        <v>2.734275038578879</v>
      </c>
      <c r="H22" s="115" t="s">
        <v>64</v>
      </c>
      <c r="I22" s="97"/>
      <c r="J22" s="97"/>
      <c r="K22" s="97"/>
      <c r="L22" s="108"/>
      <c r="M22" s="108"/>
      <c r="N22" s="111"/>
      <c r="O22" s="108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173"/>
      <c r="C23" s="173"/>
      <c r="D23" s="173"/>
      <c r="E23" s="174">
        <f t="shared" si="0"/>
        <v>0</v>
      </c>
      <c r="F23" s="97"/>
      <c r="G23" s="97"/>
      <c r="H23" s="97"/>
      <c r="I23" s="97"/>
      <c r="J23" s="97"/>
      <c r="K23" s="97"/>
      <c r="L23" s="108"/>
      <c r="M23" s="108"/>
      <c r="N23" s="108"/>
      <c r="O23" s="108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173"/>
      <c r="C24" s="173"/>
      <c r="D24" s="173"/>
      <c r="E24" s="174">
        <f t="shared" si="0"/>
        <v>0</v>
      </c>
      <c r="F24" s="97"/>
      <c r="G24" s="97"/>
      <c r="H24" s="97"/>
      <c r="I24" s="97"/>
      <c r="J24" s="97"/>
      <c r="K24" s="97"/>
      <c r="L24" s="108"/>
      <c r="M24" s="108"/>
      <c r="N24" s="108"/>
      <c r="O24" s="108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173"/>
      <c r="C25" s="173"/>
      <c r="D25" s="173"/>
      <c r="E25" s="174">
        <f t="shared" si="0"/>
        <v>0</v>
      </c>
      <c r="F25" s="97"/>
      <c r="G25" s="97"/>
      <c r="H25" s="97"/>
      <c r="I25" s="97"/>
      <c r="J25" s="97"/>
      <c r="K25" s="97"/>
      <c r="L25" s="108"/>
      <c r="M25" s="108"/>
      <c r="N25" s="108"/>
      <c r="O25" s="108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173">
        <f>6688.54+5239.59</f>
        <v>11928.130000000001</v>
      </c>
      <c r="C26" s="173">
        <f>9855.84+28.3+953.43+272.16</f>
        <v>11109.73</v>
      </c>
      <c r="D26" s="173">
        <f>11148.58+647.54+150.38+18.31</f>
        <v>11964.809999999998</v>
      </c>
      <c r="E26" s="174">
        <f t="shared" si="0"/>
        <v>11073.050000000003</v>
      </c>
      <c r="F26" s="97"/>
      <c r="G26" s="97"/>
      <c r="H26" s="97"/>
      <c r="I26" s="97"/>
      <c r="J26" s="97"/>
      <c r="K26" s="97"/>
      <c r="L26" s="108"/>
      <c r="M26" s="108"/>
      <c r="N26" s="108"/>
      <c r="O26" s="108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83</v>
      </c>
      <c r="B27" s="173"/>
      <c r="C27" s="173"/>
      <c r="D27" s="173"/>
      <c r="E27" s="174">
        <f t="shared" si="0"/>
        <v>0</v>
      </c>
      <c r="F27" s="97"/>
      <c r="G27" s="97"/>
      <c r="H27" s="97"/>
      <c r="I27" s="97"/>
      <c r="J27" s="97"/>
      <c r="K27" s="97"/>
      <c r="L27" s="108"/>
      <c r="M27" s="108"/>
      <c r="N27" s="108"/>
      <c r="O27" s="108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177">
        <f>B29+B30+B31+B33+B32</f>
        <v>387114.53</v>
      </c>
      <c r="C28" s="197">
        <f>C29+C30+C31+C33+C32</f>
        <v>1317639.1199999999</v>
      </c>
      <c r="D28" s="197">
        <f>D29+D30+D31+D33+D32</f>
        <v>1159003.8599999999</v>
      </c>
      <c r="E28" s="178">
        <f>C28-D28+B28</f>
        <v>545749.79</v>
      </c>
      <c r="F28" s="125"/>
      <c r="G28" s="97"/>
      <c r="H28" s="97"/>
      <c r="I28" s="97"/>
      <c r="J28" s="97"/>
      <c r="K28" s="97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171">
        <f>132692.32+101231.71</f>
        <v>233924.03000000003</v>
      </c>
      <c r="C29" s="171">
        <f>544220.19-1963.8+1413.4+55904.19+35649.08</f>
        <v>635223.05999999994</v>
      </c>
      <c r="D29" s="171">
        <f>493078.5+33862.32+20755.95+1102.94</f>
        <v>548799.70999999985</v>
      </c>
      <c r="E29" s="172">
        <f t="shared" si="0"/>
        <v>320347.38000000012</v>
      </c>
      <c r="F29" s="97"/>
      <c r="G29" s="97"/>
      <c r="H29" s="97"/>
      <c r="I29" s="97"/>
      <c r="J29" s="97"/>
      <c r="K29" s="97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23</v>
      </c>
      <c r="B30" s="173">
        <f>82323.35+20762.82+253.11+77.05</f>
        <v>103416.33000000002</v>
      </c>
      <c r="C30" s="173">
        <f>356527.29+91806.82-7573.3+2649.59-3073.03-64.8+2313.89+676.06+10148.3+2291.02</f>
        <v>455701.84</v>
      </c>
      <c r="D30" s="173">
        <f>297422.28+77675.8+20035.38+5695.21+1185.8+332.49+50.01+15</f>
        <v>402411.97000000003</v>
      </c>
      <c r="E30" s="174">
        <f t="shared" si="0"/>
        <v>156706.20000000001</v>
      </c>
      <c r="F30" s="97"/>
      <c r="G30" s="97"/>
      <c r="H30" s="97"/>
      <c r="I30" s="97"/>
      <c r="J30" s="97"/>
      <c r="K30" s="97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173">
        <f>16003.93+222.42</f>
        <v>16226.35</v>
      </c>
      <c r="C31" s="173">
        <f>81328.84-855.53-185.45+1589.61+1323.93</f>
        <v>83201.399999999994</v>
      </c>
      <c r="D31" s="173">
        <f>66852.37+5887.81+719.14+16.73</f>
        <v>73476.049999999988</v>
      </c>
      <c r="E31" s="174">
        <f t="shared" si="0"/>
        <v>25951.700000000004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53" t="s">
        <v>90</v>
      </c>
      <c r="B32" s="173"/>
      <c r="C32" s="173"/>
      <c r="D32" s="173"/>
      <c r="E32" s="174">
        <f t="shared" si="0"/>
        <v>0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173">
        <f>33406.66+141.16</f>
        <v>33547.820000000007</v>
      </c>
      <c r="C33" s="173">
        <f>144513.76-1998.44-99.55+825.79+73.81+197.45</f>
        <v>143512.82000000004</v>
      </c>
      <c r="D33" s="173">
        <f>123669.65+9577.12+1043.54+25.82</f>
        <v>134316.13</v>
      </c>
      <c r="E33" s="174">
        <f t="shared" si="0"/>
        <v>42744.510000000038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173"/>
      <c r="C34" s="173"/>
      <c r="D34" s="173"/>
      <c r="E34" s="174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74</v>
      </c>
      <c r="B35" s="179">
        <f>63261.87+4447.01</f>
        <v>67708.88</v>
      </c>
      <c r="C35" s="180">
        <f>223251.14-1693.53-690.53+2341.64-676.91</f>
        <v>222531.81000000003</v>
      </c>
      <c r="D35" s="180">
        <f>222512.4+12304.91+1095.74+0.01</f>
        <v>235913.06</v>
      </c>
      <c r="E35" s="174">
        <f t="shared" si="0"/>
        <v>54327.630000000034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173"/>
      <c r="C36" s="173"/>
      <c r="D36" s="173"/>
      <c r="E36" s="174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155</v>
      </c>
      <c r="B37" s="173"/>
      <c r="C37" s="173"/>
      <c r="D37" s="173"/>
      <c r="E37" s="174">
        <f t="shared" si="0"/>
        <v>0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>
        <f>-1624.77-14279.92</f>
        <v>-15904.69</v>
      </c>
      <c r="C38" s="46"/>
      <c r="D38" s="46"/>
      <c r="E38" s="47">
        <f t="shared" si="0"/>
        <v>-15904.69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917565.43</v>
      </c>
      <c r="C39" s="58">
        <f>C20+C21+C22+C23+C24+C25+C26+C28+C35+C36+C37+C38</f>
        <v>2612236.8400000003</v>
      </c>
      <c r="D39" s="58">
        <f>D20+D21+D22+D23+D24+D25+D26+D28+D35+D36+D37+D38+D27</f>
        <v>2423751.3699999996</v>
      </c>
      <c r="E39" s="58">
        <f>E20+E21+E22+E23+E24+E25+E26+E28+E35+E36+E37+E38+E27</f>
        <v>1106050.9000000004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59"/>
      <c r="B40" s="60"/>
      <c r="C40" s="56"/>
      <c r="D40" s="122"/>
      <c r="E40" s="122"/>
      <c r="F40" s="123"/>
      <c r="G40" s="124"/>
      <c r="H40" s="124"/>
      <c r="I40" s="124"/>
      <c r="J40" s="137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59"/>
      <c r="B41" s="60"/>
      <c r="C41" s="56"/>
      <c r="D41" s="119"/>
      <c r="E41" s="119"/>
      <c r="F41" s="138"/>
      <c r="G41" s="115"/>
      <c r="H41" s="137"/>
      <c r="I41" s="97"/>
      <c r="J41" s="137"/>
    </row>
    <row r="42" spans="1:22" ht="15.75" thickBot="1" x14ac:dyDescent="0.3">
      <c r="A42" s="61" t="s">
        <v>30</v>
      </c>
      <c r="B42" s="62">
        <f>B44+B60+B61+B58+B63+B59+B62</f>
        <v>2560411.8098892001</v>
      </c>
      <c r="C42" s="63" t="s">
        <v>31</v>
      </c>
      <c r="D42" s="119">
        <f>C39-B42-B63</f>
        <v>44183.500699035467</v>
      </c>
      <c r="E42" s="272" t="s">
        <v>32</v>
      </c>
      <c r="F42" s="273">
        <v>5512727.4500000002</v>
      </c>
      <c r="G42" s="274">
        <f>F42/F48*C8</f>
        <v>234031.49415676467</v>
      </c>
      <c r="H42" s="137"/>
      <c r="I42" s="97"/>
      <c r="J42" s="137"/>
    </row>
    <row r="43" spans="1:22" x14ac:dyDescent="0.25">
      <c r="A43" s="64" t="s">
        <v>124</v>
      </c>
      <c r="B43" s="183">
        <f>768768.99</f>
        <v>768768.99</v>
      </c>
      <c r="C43" s="69" t="s">
        <v>31</v>
      </c>
      <c r="D43" s="119"/>
      <c r="E43" s="272" t="s">
        <v>33</v>
      </c>
      <c r="F43" s="273">
        <f>1264951.09</f>
        <v>1264951.0900000001</v>
      </c>
      <c r="G43" s="274">
        <f>F43/F48*C8</f>
        <v>53700.894214882355</v>
      </c>
      <c r="H43" s="137"/>
      <c r="I43" s="97"/>
      <c r="J43" s="137"/>
    </row>
    <row r="44" spans="1:22" x14ac:dyDescent="0.25">
      <c r="A44" s="67" t="s">
        <v>34</v>
      </c>
      <c r="B44" s="160">
        <f>B45+B46+B48+B49+B50+B51+B52+B53+B54+B55+B56+B47+B57</f>
        <v>974878.56047743512</v>
      </c>
      <c r="C44" s="69" t="s">
        <v>31</v>
      </c>
      <c r="D44" s="119"/>
      <c r="E44" s="272" t="s">
        <v>35</v>
      </c>
      <c r="F44" s="273">
        <v>180000</v>
      </c>
      <c r="G44" s="274">
        <f>F44/F48*C8</f>
        <v>7641.5294117647054</v>
      </c>
      <c r="H44" s="137"/>
      <c r="I44" s="97"/>
      <c r="J44" s="137"/>
    </row>
    <row r="45" spans="1:22" x14ac:dyDescent="0.25">
      <c r="A45" s="70" t="s">
        <v>76</v>
      </c>
      <c r="B45" s="184">
        <v>29496.47</v>
      </c>
      <c r="C45" s="71" t="s">
        <v>31</v>
      </c>
      <c r="D45" s="119"/>
      <c r="E45" s="272" t="s">
        <v>18</v>
      </c>
      <c r="F45" s="273">
        <f>299837.27</f>
        <v>299837.27</v>
      </c>
      <c r="G45" s="274">
        <f>F45/F48*C8</f>
        <v>12728.97398582353</v>
      </c>
      <c r="H45" s="137"/>
      <c r="I45" s="97"/>
      <c r="J45" s="137"/>
    </row>
    <row r="46" spans="1:22" x14ac:dyDescent="0.25">
      <c r="A46" s="72" t="s">
        <v>37</v>
      </c>
      <c r="B46" s="184">
        <f>G42+G43</f>
        <v>287732.38837164704</v>
      </c>
      <c r="C46" s="71" t="s">
        <v>31</v>
      </c>
      <c r="D46" s="119"/>
      <c r="E46" s="275" t="s">
        <v>38</v>
      </c>
      <c r="F46" s="273">
        <f>7000+1260+30890+4200</f>
        <v>43350</v>
      </c>
      <c r="G46" s="274">
        <f>F46/F48*C8</f>
        <v>1840.3349999999998</v>
      </c>
      <c r="H46" s="137"/>
      <c r="I46" s="97"/>
      <c r="J46" s="137"/>
    </row>
    <row r="47" spans="1:22" x14ac:dyDescent="0.25">
      <c r="A47" s="72" t="s">
        <v>39</v>
      </c>
      <c r="B47" s="184">
        <v>16420</v>
      </c>
      <c r="C47" s="71" t="s">
        <v>31</v>
      </c>
      <c r="D47" s="119"/>
      <c r="E47" s="274" t="s">
        <v>12</v>
      </c>
      <c r="F47" s="273">
        <f>8022857.59-F46</f>
        <v>7979507.5899999999</v>
      </c>
      <c r="G47" s="274">
        <f>F47/F48*C8</f>
        <v>338753.56633547053</v>
      </c>
      <c r="H47" s="137"/>
      <c r="I47" s="97"/>
      <c r="J47" s="137"/>
    </row>
    <row r="48" spans="1:22" x14ac:dyDescent="0.25">
      <c r="A48" s="70" t="s">
        <v>40</v>
      </c>
      <c r="B48" s="184">
        <f>G46+12501.25</f>
        <v>14341.584999999999</v>
      </c>
      <c r="C48" s="71" t="s">
        <v>31</v>
      </c>
      <c r="D48" s="119"/>
      <c r="E48" s="276" t="s">
        <v>41</v>
      </c>
      <c r="F48" s="277">
        <f>119000</f>
        <v>119000</v>
      </c>
      <c r="G48" s="274"/>
      <c r="H48" s="137"/>
      <c r="I48" s="97"/>
      <c r="J48" s="137"/>
    </row>
    <row r="49" spans="1:10" x14ac:dyDescent="0.25">
      <c r="A49" s="70" t="s">
        <v>42</v>
      </c>
      <c r="B49" s="184">
        <f>G45</f>
        <v>12728.97398582353</v>
      </c>
      <c r="C49" s="71" t="s">
        <v>31</v>
      </c>
      <c r="D49" s="119"/>
      <c r="E49" s="278"/>
      <c r="F49" s="274"/>
      <c r="G49" s="274"/>
      <c r="H49" s="137"/>
      <c r="I49" s="97"/>
      <c r="J49" s="137"/>
    </row>
    <row r="50" spans="1:10" x14ac:dyDescent="0.25">
      <c r="A50" s="70" t="s">
        <v>141</v>
      </c>
      <c r="B50" s="184">
        <f>G47</f>
        <v>338753.56633547053</v>
      </c>
      <c r="C50" s="71" t="s">
        <v>31</v>
      </c>
      <c r="D50" s="119"/>
      <c r="E50" s="279" t="s">
        <v>70</v>
      </c>
      <c r="F50" s="277">
        <f>1910.32</f>
        <v>1910.32</v>
      </c>
      <c r="G50" s="279">
        <f>F50/F48*C8</f>
        <v>81.098702588235284</v>
      </c>
      <c r="H50" s="137"/>
      <c r="I50" s="97"/>
      <c r="J50" s="137"/>
    </row>
    <row r="51" spans="1:10" x14ac:dyDescent="0.25">
      <c r="A51" s="70" t="s">
        <v>44</v>
      </c>
      <c r="B51" s="184">
        <f>G52</f>
        <v>697.48484235294097</v>
      </c>
      <c r="C51" s="71" t="s">
        <v>31</v>
      </c>
      <c r="D51" s="119"/>
      <c r="E51" s="119"/>
      <c r="F51" s="120"/>
      <c r="G51" s="121"/>
      <c r="H51" s="137"/>
      <c r="I51" s="97"/>
      <c r="J51" s="137"/>
    </row>
    <row r="52" spans="1:10" x14ac:dyDescent="0.25">
      <c r="A52" s="70" t="s">
        <v>45</v>
      </c>
      <c r="B52" s="184">
        <f>G50</f>
        <v>81.098702588235284</v>
      </c>
      <c r="C52" s="71" t="s">
        <v>31</v>
      </c>
      <c r="D52" s="119"/>
      <c r="E52" s="119" t="s">
        <v>125</v>
      </c>
      <c r="F52" s="280">
        <f>16429.6</f>
        <v>16429.599999999999</v>
      </c>
      <c r="G52" s="279">
        <f>F52/F48*C8</f>
        <v>697.48484235294097</v>
      </c>
      <c r="H52" s="137"/>
      <c r="I52" s="97"/>
      <c r="J52" s="137"/>
    </row>
    <row r="53" spans="1:10" x14ac:dyDescent="0.25">
      <c r="A53" s="70" t="s">
        <v>46</v>
      </c>
      <c r="B53" s="184">
        <v>9295.19</v>
      </c>
      <c r="C53" s="71" t="s">
        <v>31</v>
      </c>
      <c r="D53" s="56"/>
      <c r="E53" s="56"/>
      <c r="F53" s="156"/>
      <c r="G53" s="157"/>
      <c r="H53" s="137"/>
      <c r="I53" s="97"/>
      <c r="J53" s="137"/>
    </row>
    <row r="54" spans="1:10" x14ac:dyDescent="0.25">
      <c r="A54" s="191" t="s">
        <v>211</v>
      </c>
      <c r="B54" s="184">
        <f>311.53</f>
        <v>311.52999999999997</v>
      </c>
      <c r="C54" s="71" t="s">
        <v>31</v>
      </c>
      <c r="D54" s="119"/>
      <c r="E54" s="119" t="s">
        <v>105</v>
      </c>
      <c r="F54" s="120" t="e">
        <f>F52/F53*C8</f>
        <v>#DIV/0!</v>
      </c>
      <c r="G54" s="121"/>
      <c r="H54" s="115"/>
      <c r="I54" s="97"/>
      <c r="J54" s="137"/>
    </row>
    <row r="55" spans="1:10" x14ac:dyDescent="0.25">
      <c r="A55" s="70" t="s">
        <v>48</v>
      </c>
      <c r="B55" s="184">
        <v>16570.080000000002</v>
      </c>
      <c r="C55" s="71" t="s">
        <v>31</v>
      </c>
      <c r="D55" s="101"/>
      <c r="E55" s="101"/>
      <c r="F55" s="125"/>
      <c r="G55" s="97"/>
      <c r="H55" s="97"/>
      <c r="I55" s="97"/>
      <c r="J55" s="137"/>
    </row>
    <row r="56" spans="1:10" x14ac:dyDescent="0.25">
      <c r="A56" s="70" t="s">
        <v>49</v>
      </c>
      <c r="B56" s="184">
        <f>(B46+B47+B48+B49+B50+B52+B53+B54)*0.1</f>
        <v>67966.433239552935</v>
      </c>
      <c r="C56" s="71" t="s">
        <v>31</v>
      </c>
      <c r="D56" s="101"/>
      <c r="E56" s="101"/>
      <c r="F56" s="125"/>
      <c r="G56" s="97"/>
      <c r="H56" s="97"/>
      <c r="I56" s="97"/>
      <c r="J56" s="137"/>
    </row>
    <row r="57" spans="1:10" x14ac:dyDescent="0.25">
      <c r="A57" s="70" t="s">
        <v>103</v>
      </c>
      <c r="B57" s="184">
        <f>168483.76+12000</f>
        <v>180483.76</v>
      </c>
      <c r="C57" s="71" t="s">
        <v>31</v>
      </c>
      <c r="D57" s="119"/>
      <c r="E57" s="119"/>
      <c r="F57" s="138"/>
      <c r="G57" s="115"/>
      <c r="H57" s="137"/>
      <c r="I57" s="137"/>
      <c r="J57" s="137"/>
    </row>
    <row r="58" spans="1:10" x14ac:dyDescent="0.25">
      <c r="A58" s="67" t="s">
        <v>50</v>
      </c>
      <c r="B58" s="160">
        <f>C78</f>
        <v>11498.2</v>
      </c>
      <c r="C58" s="69" t="s">
        <v>31</v>
      </c>
      <c r="D58" s="122"/>
      <c r="E58" s="122"/>
      <c r="F58" s="123"/>
      <c r="G58" s="124"/>
      <c r="H58" s="124"/>
      <c r="I58" s="137"/>
      <c r="J58" s="137"/>
    </row>
    <row r="59" spans="1:10" x14ac:dyDescent="0.25">
      <c r="A59" s="67" t="s">
        <v>51</v>
      </c>
      <c r="B59" s="160">
        <v>900</v>
      </c>
      <c r="C59" s="69" t="s">
        <v>31</v>
      </c>
      <c r="D59" s="122"/>
      <c r="E59" s="122"/>
      <c r="F59" s="123"/>
      <c r="G59" s="124"/>
      <c r="H59" s="124"/>
      <c r="I59" s="137"/>
      <c r="J59" s="137"/>
    </row>
    <row r="60" spans="1:10" x14ac:dyDescent="0.25">
      <c r="A60" s="67" t="s">
        <v>52</v>
      </c>
      <c r="B60" s="160">
        <f>99653.43+153460.89+999318.69+78599.22</f>
        <v>1331032.23</v>
      </c>
      <c r="C60" s="69" t="s">
        <v>31</v>
      </c>
      <c r="D60" s="56"/>
      <c r="E60" s="56"/>
      <c r="F60" s="3"/>
      <c r="I60" s="137"/>
      <c r="J60" s="137"/>
    </row>
    <row r="61" spans="1:10" x14ac:dyDescent="0.25">
      <c r="A61" s="67" t="s">
        <v>53</v>
      </c>
      <c r="B61" s="160">
        <v>234461.29</v>
      </c>
      <c r="C61" s="69" t="s">
        <v>54</v>
      </c>
      <c r="D61" s="56"/>
      <c r="E61" s="56"/>
      <c r="F61" s="3"/>
      <c r="I61" s="137"/>
      <c r="J61" s="137"/>
    </row>
    <row r="62" spans="1:10" x14ac:dyDescent="0.25">
      <c r="A62" s="133" t="s">
        <v>154</v>
      </c>
      <c r="B62" s="134">
        <f>C37/1.02</f>
        <v>0</v>
      </c>
      <c r="C62" s="135"/>
      <c r="D62" s="56"/>
      <c r="E62" s="56"/>
      <c r="F62" s="3"/>
      <c r="I62" s="137"/>
      <c r="J62" s="137"/>
    </row>
    <row r="63" spans="1:10" ht="15.75" thickBot="1" x14ac:dyDescent="0.3">
      <c r="A63" s="73" t="s">
        <v>78</v>
      </c>
      <c r="B63" s="74">
        <f>G44</f>
        <v>7641.5294117647054</v>
      </c>
      <c r="C63" s="75" t="s">
        <v>31</v>
      </c>
      <c r="D63" s="56"/>
      <c r="E63" s="56"/>
      <c r="F63" s="3"/>
      <c r="I63" s="137"/>
      <c r="J63" s="137"/>
    </row>
    <row r="64" spans="1:10" x14ac:dyDescent="0.25">
      <c r="A64" s="59"/>
      <c r="B64" s="60"/>
      <c r="C64" s="56"/>
      <c r="D64" s="56"/>
      <c r="E64" s="56"/>
      <c r="F64" s="3"/>
      <c r="I64" s="137"/>
      <c r="J64" s="137"/>
    </row>
    <row r="65" spans="1:10" x14ac:dyDescent="0.25">
      <c r="A65" s="59" t="s">
        <v>142</v>
      </c>
      <c r="B65" s="143">
        <f>C39-C24+B43-B42</f>
        <v>820594.02011079993</v>
      </c>
      <c r="C65" s="56" t="s">
        <v>31</v>
      </c>
      <c r="D65" s="56"/>
      <c r="E65" s="56"/>
      <c r="F65" s="3"/>
      <c r="I65" s="137"/>
      <c r="J65" s="137"/>
    </row>
    <row r="66" spans="1:10" x14ac:dyDescent="0.25">
      <c r="A66" s="59" t="s">
        <v>130</v>
      </c>
      <c r="B66" s="2">
        <f>B67+B68+B69+B70+B71+B72</f>
        <v>51825.030110800173</v>
      </c>
      <c r="C66" s="56" t="s">
        <v>31</v>
      </c>
      <c r="D66" s="56"/>
      <c r="E66" s="56"/>
      <c r="F66" s="3"/>
      <c r="I66" s="137"/>
      <c r="J66" s="137"/>
    </row>
    <row r="67" spans="1:10" x14ac:dyDescent="0.25">
      <c r="A67" s="77" t="s">
        <v>56</v>
      </c>
      <c r="B67" s="78">
        <f>C20-B44-B63</f>
        <v>49426.630110800259</v>
      </c>
      <c r="C67" s="56" t="s">
        <v>31</v>
      </c>
      <c r="D67" s="56"/>
      <c r="E67" s="56"/>
      <c r="F67" s="3"/>
      <c r="I67" s="137"/>
      <c r="J67" s="137"/>
    </row>
    <row r="68" spans="1:10" x14ac:dyDescent="0.25">
      <c r="A68" s="77" t="s">
        <v>57</v>
      </c>
      <c r="B68" s="78">
        <f>C22-B58</f>
        <v>17511.260000000002</v>
      </c>
      <c r="C68" s="56" t="s">
        <v>31</v>
      </c>
      <c r="D68" s="56"/>
      <c r="E68" s="56"/>
      <c r="F68" s="3"/>
      <c r="I68" s="137"/>
      <c r="J68" s="137"/>
    </row>
    <row r="69" spans="1:10" x14ac:dyDescent="0.25">
      <c r="A69" s="77" t="s">
        <v>58</v>
      </c>
      <c r="B69" s="78">
        <f>C26-B59</f>
        <v>10209.73</v>
      </c>
      <c r="C69" s="56" t="s">
        <v>31</v>
      </c>
      <c r="D69" s="56"/>
      <c r="E69" s="56"/>
      <c r="F69" s="3"/>
      <c r="I69" s="137"/>
      <c r="J69" s="137"/>
    </row>
    <row r="70" spans="1:10" x14ac:dyDescent="0.25">
      <c r="A70" s="77" t="s">
        <v>59</v>
      </c>
      <c r="B70" s="78">
        <f>C28-B60</f>
        <v>-13393.110000000102</v>
      </c>
      <c r="C70" s="56" t="s">
        <v>31</v>
      </c>
      <c r="D70" s="56"/>
      <c r="E70" s="56"/>
      <c r="F70" s="3"/>
      <c r="I70" s="137"/>
      <c r="J70" s="137"/>
    </row>
    <row r="71" spans="1:10" x14ac:dyDescent="0.25">
      <c r="A71" s="77" t="s">
        <v>60</v>
      </c>
      <c r="B71" s="78">
        <f>C35-B61</f>
        <v>-11929.479999999981</v>
      </c>
      <c r="C71" s="56" t="s">
        <v>31</v>
      </c>
      <c r="D71" s="56"/>
      <c r="E71" s="56"/>
      <c r="F71" s="3"/>
      <c r="I71" s="137"/>
      <c r="J71" s="137"/>
    </row>
    <row r="72" spans="1:10" x14ac:dyDescent="0.25">
      <c r="A72" s="77" t="s">
        <v>157</v>
      </c>
      <c r="B72" s="78">
        <f>C37-B62</f>
        <v>0</v>
      </c>
      <c r="C72" s="56" t="s">
        <v>31</v>
      </c>
      <c r="I72" s="137"/>
      <c r="J72" s="137"/>
    </row>
    <row r="73" spans="1:10" ht="15.75" thickBot="1" x14ac:dyDescent="0.3">
      <c r="A73" s="77"/>
      <c r="B73" s="78"/>
      <c r="C73" s="56"/>
      <c r="D73" s="98"/>
      <c r="E73" s="99"/>
      <c r="F73" s="100"/>
      <c r="G73" s="97"/>
      <c r="I73" s="137"/>
      <c r="J73" s="137"/>
    </row>
    <row r="74" spans="1:10" ht="15.75" thickBot="1" x14ac:dyDescent="0.3">
      <c r="A74" s="128" t="s">
        <v>146</v>
      </c>
      <c r="B74" s="129"/>
      <c r="C74" s="130"/>
      <c r="D74" s="101"/>
      <c r="E74" s="101"/>
      <c r="F74" s="101"/>
      <c r="G74" s="97"/>
      <c r="I74" s="137"/>
      <c r="J74" s="137"/>
    </row>
    <row r="75" spans="1:10" ht="51.75" thickBot="1" x14ac:dyDescent="0.3">
      <c r="A75" s="79" t="s">
        <v>80</v>
      </c>
      <c r="B75" s="80" t="s">
        <v>61</v>
      </c>
      <c r="C75" s="81" t="s">
        <v>67</v>
      </c>
      <c r="D75" s="102"/>
      <c r="E75" s="103"/>
      <c r="F75" s="104"/>
      <c r="G75" s="97"/>
      <c r="I75" s="137"/>
      <c r="J75" s="137"/>
    </row>
    <row r="76" spans="1:10" x14ac:dyDescent="0.25">
      <c r="A76" s="82" t="s">
        <v>62</v>
      </c>
      <c r="B76" s="113" t="s">
        <v>31</v>
      </c>
      <c r="C76" s="114" t="s">
        <v>31</v>
      </c>
      <c r="D76" s="102"/>
      <c r="E76" s="103"/>
      <c r="F76" s="104"/>
      <c r="G76" s="97"/>
      <c r="I76" s="137"/>
      <c r="J76" s="137"/>
    </row>
    <row r="77" spans="1:10" ht="36" customHeight="1" x14ac:dyDescent="0.25">
      <c r="A77" s="299" t="s">
        <v>198</v>
      </c>
      <c r="B77" s="173"/>
      <c r="C77" s="185">
        <f>5969+929.2+4600</f>
        <v>11498.2</v>
      </c>
      <c r="D77" s="102"/>
      <c r="E77" s="103"/>
      <c r="F77" s="104"/>
      <c r="G77" s="97"/>
      <c r="I77" s="137"/>
      <c r="J77" s="137"/>
    </row>
    <row r="78" spans="1:10" ht="15.75" thickBot="1" x14ac:dyDescent="0.3">
      <c r="A78" s="145" t="s">
        <v>5</v>
      </c>
      <c r="B78" s="146">
        <f>B77</f>
        <v>0</v>
      </c>
      <c r="C78" s="147">
        <f>C77</f>
        <v>11498.2</v>
      </c>
      <c r="D78" s="105"/>
      <c r="E78" s="103"/>
      <c r="F78" s="104"/>
      <c r="G78" s="97"/>
      <c r="I78" s="137"/>
      <c r="J78" s="137"/>
    </row>
    <row r="79" spans="1:10" x14ac:dyDescent="0.25">
      <c r="A79" s="91"/>
      <c r="B79" s="92"/>
      <c r="C79" s="87"/>
      <c r="D79" s="88"/>
      <c r="E79" s="89"/>
      <c r="I79" s="137"/>
      <c r="J79" s="137"/>
    </row>
    <row r="80" spans="1:10" x14ac:dyDescent="0.25">
      <c r="A80" s="164" t="s">
        <v>132</v>
      </c>
      <c r="B80" s="149"/>
      <c r="C80" s="215"/>
      <c r="D80" s="216"/>
      <c r="E80" s="89"/>
      <c r="I80" s="137"/>
      <c r="J80" s="137"/>
    </row>
    <row r="81" spans="1:10" x14ac:dyDescent="0.25">
      <c r="A81" s="217"/>
      <c r="B81" s="149"/>
      <c r="C81" s="215"/>
      <c r="D81" s="218"/>
      <c r="E81" s="89"/>
      <c r="I81" s="137"/>
      <c r="J81" s="137"/>
    </row>
    <row r="82" spans="1:10" x14ac:dyDescent="0.25">
      <c r="A82" s="165" t="s">
        <v>133</v>
      </c>
      <c r="B82" s="149" t="s">
        <v>134</v>
      </c>
      <c r="C82" s="219"/>
      <c r="D82" s="216"/>
      <c r="E82" s="56"/>
    </row>
    <row r="83" spans="1:10" x14ac:dyDescent="0.25">
      <c r="A83" s="165"/>
      <c r="B83" s="149"/>
      <c r="C83" s="219"/>
      <c r="D83" s="216"/>
      <c r="E83" s="56"/>
    </row>
    <row r="84" spans="1:10" x14ac:dyDescent="0.25">
      <c r="A84" s="220"/>
      <c r="B84" s="221"/>
      <c r="C84" s="219"/>
      <c r="D84" s="150"/>
      <c r="E84" s="89"/>
    </row>
    <row r="85" spans="1:10" ht="15.75" x14ac:dyDescent="0.25">
      <c r="A85" s="223" t="s">
        <v>63</v>
      </c>
      <c r="B85" s="224" t="s">
        <v>134</v>
      </c>
      <c r="C85" s="225"/>
      <c r="D85" s="226" t="s">
        <v>66</v>
      </c>
      <c r="E85" s="89"/>
    </row>
    <row r="86" spans="1:10" x14ac:dyDescent="0.25">
      <c r="A86" s="95"/>
      <c r="B86" s="96"/>
      <c r="C86" s="89"/>
      <c r="D86" s="93"/>
      <c r="E86" s="89"/>
    </row>
    <row r="87" spans="1:10" x14ac:dyDescent="0.25">
      <c r="A87" s="95"/>
      <c r="B87" s="96"/>
      <c r="C87" s="89"/>
      <c r="D87" s="93"/>
      <c r="E87" s="89"/>
    </row>
    <row r="88" spans="1:10" x14ac:dyDescent="0.25">
      <c r="A88" s="95"/>
      <c r="B88" s="96"/>
      <c r="C88" s="89"/>
      <c r="D88" s="93"/>
      <c r="E88" s="89"/>
      <c r="F88" s="94"/>
    </row>
    <row r="89" spans="1:10" x14ac:dyDescent="0.25">
      <c r="A89" s="31"/>
      <c r="B89" s="33"/>
      <c r="C89" s="89"/>
      <c r="D89" s="93"/>
      <c r="E89" s="89"/>
    </row>
    <row r="90" spans="1:10" x14ac:dyDescent="0.25">
      <c r="A90" s="31"/>
      <c r="B90" s="33"/>
      <c r="C90" s="56"/>
      <c r="D90" s="87"/>
      <c r="E90" s="89"/>
    </row>
    <row r="91" spans="1:10" x14ac:dyDescent="0.25">
      <c r="A91" s="19"/>
      <c r="B91" s="20"/>
      <c r="C91" s="89"/>
      <c r="D91" s="87"/>
      <c r="E91" s="89"/>
    </row>
    <row r="92" spans="1:10" x14ac:dyDescent="0.25">
      <c r="A92" s="31"/>
      <c r="B92" s="33"/>
      <c r="C92" s="89"/>
      <c r="D92" s="56"/>
      <c r="E92" s="56"/>
      <c r="F92" s="3"/>
    </row>
    <row r="93" spans="1:10" x14ac:dyDescent="0.25">
      <c r="A93" s="31"/>
      <c r="B93" s="33"/>
      <c r="C93" s="33"/>
      <c r="D93" s="56"/>
      <c r="E93" s="89"/>
    </row>
    <row r="94" spans="1:10" x14ac:dyDescent="0.25">
      <c r="A94" s="31"/>
      <c r="B94" s="33"/>
      <c r="C94" s="33"/>
      <c r="D94" s="56"/>
      <c r="E94" s="56"/>
    </row>
    <row r="95" spans="1:10" x14ac:dyDescent="0.25">
      <c r="A95" s="31"/>
      <c r="B95" s="33"/>
      <c r="C95" s="33"/>
      <c r="D95" s="89"/>
      <c r="E95" s="89"/>
    </row>
    <row r="96" spans="1:10" x14ac:dyDescent="0.25">
      <c r="A96" s="31"/>
      <c r="B96" s="33"/>
      <c r="D96" s="89"/>
      <c r="E96" s="89"/>
    </row>
    <row r="97" spans="2:6" x14ac:dyDescent="0.25">
      <c r="D97" s="89"/>
      <c r="E97" s="89"/>
    </row>
    <row r="98" spans="2:6" x14ac:dyDescent="0.25">
      <c r="D98" s="89"/>
      <c r="E98" s="89"/>
    </row>
    <row r="99" spans="2:6" x14ac:dyDescent="0.25">
      <c r="D99" s="89"/>
      <c r="E99" s="89"/>
    </row>
    <row r="100" spans="2:6" x14ac:dyDescent="0.25">
      <c r="D100" s="89"/>
      <c r="E100" s="89"/>
    </row>
    <row r="101" spans="2:6" x14ac:dyDescent="0.25">
      <c r="B101"/>
      <c r="C101"/>
      <c r="D101" s="56"/>
      <c r="E101" s="56"/>
      <c r="F101" s="3"/>
    </row>
    <row r="102" spans="2:6" x14ac:dyDescent="0.25">
      <c r="B102"/>
      <c r="C102"/>
      <c r="D102" s="89"/>
      <c r="E102" s="89"/>
      <c r="F102" s="3"/>
    </row>
    <row r="103" spans="2:6" x14ac:dyDescent="0.25">
      <c r="B103"/>
      <c r="C103"/>
      <c r="D103" s="89"/>
      <c r="E103" s="89"/>
    </row>
    <row r="104" spans="2:6" x14ac:dyDescent="0.25">
      <c r="B104"/>
      <c r="C104"/>
      <c r="D104" s="33"/>
      <c r="E104" s="33"/>
    </row>
    <row r="105" spans="2:6" x14ac:dyDescent="0.25">
      <c r="B105"/>
      <c r="C105"/>
      <c r="D105" s="33"/>
      <c r="E105" s="33"/>
    </row>
    <row r="106" spans="2:6" x14ac:dyDescent="0.25">
      <c r="D106" s="33"/>
      <c r="E106" s="33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V112"/>
  <sheetViews>
    <sheetView view="pageBreakPreview" topLeftCell="A53" zoomScale="60" zoomScaleNormal="100" workbookViewId="0">
      <selection activeCell="H16" sqref="H16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4.85546875" style="3" customWidth="1"/>
    <col min="5" max="5" width="17.570312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149</v>
      </c>
      <c r="B2" s="2"/>
      <c r="C2" s="2"/>
      <c r="D2" s="20"/>
    </row>
    <row r="3" spans="1:22" ht="15.75" thickBot="1" x14ac:dyDescent="0.3">
      <c r="A3" s="1"/>
      <c r="B3" s="2"/>
      <c r="C3" s="2"/>
      <c r="D3" s="20"/>
      <c r="L3" s="108"/>
      <c r="M3" s="108"/>
      <c r="N3" s="108"/>
      <c r="O3" s="108"/>
    </row>
    <row r="4" spans="1:22" ht="15.75" thickBot="1" x14ac:dyDescent="0.3">
      <c r="A4" s="22" t="s">
        <v>0</v>
      </c>
      <c r="B4" s="126"/>
      <c r="C4" s="127"/>
      <c r="D4" s="20"/>
      <c r="L4" s="108"/>
      <c r="M4" s="108"/>
      <c r="N4" s="108"/>
      <c r="O4" s="108"/>
    </row>
    <row r="5" spans="1:22" ht="40.5" customHeight="1" thickBot="1" x14ac:dyDescent="0.3">
      <c r="A5" s="6" t="s">
        <v>1</v>
      </c>
      <c r="B5" s="8" t="s">
        <v>2</v>
      </c>
      <c r="C5" s="9" t="s">
        <v>3</v>
      </c>
      <c r="D5" s="20"/>
      <c r="E5"/>
      <c r="K5" s="108"/>
      <c r="L5" s="108"/>
      <c r="M5" s="108"/>
      <c r="N5" s="108"/>
    </row>
    <row r="6" spans="1:22" ht="15.75" thickBot="1" x14ac:dyDescent="0.3">
      <c r="A6" s="151" t="s">
        <v>108</v>
      </c>
      <c r="B6" s="153">
        <v>1674.1</v>
      </c>
      <c r="C6" s="154">
        <v>30</v>
      </c>
      <c r="D6" s="20"/>
      <c r="E6"/>
      <c r="K6" s="108"/>
      <c r="L6" s="108"/>
      <c r="M6" s="108"/>
      <c r="N6" s="108"/>
    </row>
    <row r="7" spans="1:22" x14ac:dyDescent="0.25">
      <c r="A7" s="10"/>
      <c r="B7" s="86"/>
      <c r="C7" s="152"/>
      <c r="E7"/>
      <c r="K7" s="108"/>
      <c r="L7" s="108"/>
      <c r="M7" s="108"/>
      <c r="N7" s="108"/>
    </row>
    <row r="8" spans="1:22" ht="15.75" thickBot="1" x14ac:dyDescent="0.3">
      <c r="A8" s="16" t="s">
        <v>5</v>
      </c>
      <c r="B8" s="17">
        <f>B6+B7</f>
        <v>1674.1</v>
      </c>
      <c r="C8" s="18">
        <f>C6</f>
        <v>30</v>
      </c>
      <c r="E8"/>
      <c r="K8" s="108"/>
      <c r="L8" s="108"/>
      <c r="M8" s="108"/>
      <c r="N8" s="108"/>
    </row>
    <row r="9" spans="1:22" ht="15.75" thickBot="1" x14ac:dyDescent="0.3">
      <c r="A9" s="19"/>
      <c r="B9" s="20"/>
      <c r="C9" s="20"/>
      <c r="D9" s="21"/>
      <c r="L9" s="108"/>
      <c r="M9" s="108"/>
      <c r="N9" s="108"/>
      <c r="O9" s="108"/>
    </row>
    <row r="10" spans="1:22" ht="15.75" thickBot="1" x14ac:dyDescent="0.3">
      <c r="A10" s="22" t="s">
        <v>112</v>
      </c>
      <c r="B10" s="23"/>
      <c r="C10" s="23"/>
      <c r="D10" s="24" t="s">
        <v>6</v>
      </c>
      <c r="F10" s="97"/>
      <c r="G10" s="97"/>
      <c r="H10" s="97"/>
      <c r="I10" s="97"/>
      <c r="J10" s="97"/>
      <c r="K10" s="97"/>
      <c r="L10" s="108"/>
      <c r="M10" s="108"/>
      <c r="N10" s="108"/>
      <c r="O10" s="108"/>
    </row>
    <row r="11" spans="1:22" x14ac:dyDescent="0.25">
      <c r="A11" s="25" t="s">
        <v>7</v>
      </c>
      <c r="B11" s="20"/>
      <c r="C11" s="20"/>
      <c r="D11" s="27">
        <v>14.5</v>
      </c>
      <c r="F11" s="97"/>
      <c r="G11" s="97"/>
      <c r="H11" s="97"/>
      <c r="I11" s="97"/>
      <c r="J11" s="97"/>
      <c r="K11" s="97"/>
      <c r="L11" s="108"/>
      <c r="M11" s="108"/>
      <c r="N11" s="108"/>
      <c r="O11" s="108"/>
    </row>
    <row r="12" spans="1:22" x14ac:dyDescent="0.25">
      <c r="A12" s="25" t="s">
        <v>8</v>
      </c>
      <c r="B12" s="20"/>
      <c r="C12" s="20"/>
      <c r="D12" s="27">
        <v>12.99</v>
      </c>
      <c r="F12" s="97"/>
      <c r="G12" s="97"/>
      <c r="H12" s="97"/>
      <c r="I12" s="97"/>
      <c r="J12" s="97"/>
      <c r="K12" s="97"/>
      <c r="L12" s="108"/>
      <c r="M12" s="108"/>
      <c r="N12" s="108"/>
      <c r="O12" s="108"/>
    </row>
    <row r="13" spans="1:22" x14ac:dyDescent="0.25">
      <c r="A13" s="25" t="s">
        <v>9</v>
      </c>
      <c r="B13" s="20"/>
      <c r="C13" s="20"/>
      <c r="D13" s="26"/>
      <c r="F13" s="97"/>
      <c r="G13" s="97"/>
      <c r="H13" s="97"/>
      <c r="I13" s="97"/>
      <c r="J13" s="97"/>
      <c r="K13" s="97"/>
      <c r="L13" s="108"/>
      <c r="M13" s="108"/>
      <c r="N13" s="108"/>
      <c r="O13" s="108"/>
    </row>
    <row r="14" spans="1:22" ht="15.75" thickBot="1" x14ac:dyDescent="0.3">
      <c r="A14" s="28" t="s">
        <v>10</v>
      </c>
      <c r="B14" s="29"/>
      <c r="C14" s="29"/>
      <c r="D14" s="30">
        <v>0</v>
      </c>
      <c r="F14" s="97"/>
      <c r="G14" s="97"/>
      <c r="H14" s="97"/>
      <c r="I14" s="97"/>
      <c r="J14" s="97"/>
      <c r="K14" s="97"/>
      <c r="L14" s="108"/>
      <c r="M14" s="108"/>
      <c r="N14" s="108"/>
      <c r="O14" s="108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97"/>
      <c r="G15" s="97"/>
      <c r="H15" s="97"/>
      <c r="I15" s="97"/>
      <c r="J15" s="97"/>
      <c r="K15" s="97"/>
      <c r="L15" s="108"/>
      <c r="M15" s="108"/>
      <c r="N15" s="108"/>
      <c r="O15" s="108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113</v>
      </c>
      <c r="B16" s="126"/>
      <c r="C16" s="126"/>
      <c r="D16" s="126"/>
      <c r="E16" s="127"/>
      <c r="F16" s="97"/>
      <c r="G16" s="97"/>
      <c r="H16" s="97"/>
      <c r="I16" s="97"/>
      <c r="J16" s="97"/>
      <c r="K16" s="97"/>
      <c r="L16" s="108"/>
      <c r="M16" s="109"/>
      <c r="N16" s="109"/>
      <c r="O16" s="108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39"/>
      <c r="F17" s="97"/>
      <c r="G17" s="97"/>
      <c r="H17" s="97"/>
      <c r="I17" s="97"/>
      <c r="J17" s="97"/>
      <c r="K17" s="97"/>
      <c r="L17" s="109"/>
      <c r="M17" s="110"/>
      <c r="N17" s="109"/>
      <c r="O17" s="108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39"/>
      <c r="F18" s="97"/>
      <c r="G18" s="97"/>
      <c r="H18" s="97"/>
      <c r="I18" s="97"/>
      <c r="J18" s="97"/>
      <c r="K18" s="97"/>
      <c r="L18" s="108"/>
      <c r="M18" s="108"/>
      <c r="N18" s="108"/>
      <c r="O18" s="108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114</v>
      </c>
      <c r="C19" s="38" t="s">
        <v>115</v>
      </c>
      <c r="D19" s="38" t="s">
        <v>116</v>
      </c>
      <c r="E19" s="39" t="s">
        <v>117</v>
      </c>
      <c r="F19" s="97"/>
      <c r="G19" s="97"/>
      <c r="H19" s="97"/>
      <c r="I19" s="97"/>
      <c r="J19" s="97"/>
      <c r="K19" s="97"/>
      <c r="L19" s="108"/>
      <c r="M19" s="111"/>
      <c r="N19" s="111"/>
      <c r="O19" s="108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>
        <f>63482.41</f>
        <v>63482.41</v>
      </c>
      <c r="C20" s="41">
        <f>288127.2</f>
        <v>288127.2</v>
      </c>
      <c r="D20" s="40">
        <f>265538.66+37429.61</f>
        <v>302968.26999999996</v>
      </c>
      <c r="E20" s="42">
        <f t="shared" ref="E20:E38" si="0">C20-D20+B20</f>
        <v>48641.340000000055</v>
      </c>
      <c r="F20" s="116">
        <f>C20+F22</f>
        <v>549086.16</v>
      </c>
      <c r="G20" s="117">
        <f>100</f>
        <v>100</v>
      </c>
      <c r="H20" s="115" t="s">
        <v>64</v>
      </c>
      <c r="I20" s="97"/>
      <c r="J20" s="97"/>
      <c r="K20" s="97"/>
      <c r="L20" s="108"/>
      <c r="M20" s="108"/>
      <c r="N20" s="108"/>
      <c r="O20" s="108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16"/>
      <c r="G21" s="117"/>
      <c r="H21" s="115"/>
      <c r="I21" s="97"/>
      <c r="J21" s="97"/>
      <c r="K21" s="97"/>
      <c r="L21" s="108"/>
      <c r="M21" s="108"/>
      <c r="N21" s="108"/>
      <c r="O21" s="108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>
        <f>53708.41</f>
        <v>53708.41</v>
      </c>
      <c r="C22" s="44">
        <f>260958.96</f>
        <v>260958.96</v>
      </c>
      <c r="D22" s="43">
        <f>237470.28+33558.1</f>
        <v>271028.38</v>
      </c>
      <c r="E22" s="45">
        <f t="shared" si="0"/>
        <v>43638.989999999991</v>
      </c>
      <c r="F22" s="116">
        <f>C22</f>
        <v>260958.96</v>
      </c>
      <c r="G22" s="118">
        <f>F22*G20/F20</f>
        <v>47.526049463712575</v>
      </c>
      <c r="H22" s="115" t="s">
        <v>64</v>
      </c>
      <c r="I22" s="97"/>
      <c r="J22" s="97"/>
      <c r="K22" s="97"/>
      <c r="L22" s="108"/>
      <c r="M22" s="108"/>
      <c r="N22" s="111"/>
      <c r="O22" s="108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97"/>
      <c r="G23" s="97"/>
      <c r="H23" s="97"/>
      <c r="I23" s="97"/>
      <c r="J23" s="97"/>
      <c r="K23" s="97"/>
      <c r="L23" s="108"/>
      <c r="M23" s="108"/>
      <c r="N23" s="108"/>
      <c r="O23" s="108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44"/>
      <c r="D24" s="44"/>
      <c r="E24" s="45">
        <f t="shared" si="0"/>
        <v>0</v>
      </c>
      <c r="F24" s="97"/>
      <c r="G24" s="97"/>
      <c r="H24" s="97"/>
      <c r="I24" s="97"/>
      <c r="J24" s="97"/>
      <c r="K24" s="97"/>
      <c r="L24" s="108"/>
      <c r="M24" s="108"/>
      <c r="N24" s="108"/>
      <c r="O24" s="108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97"/>
      <c r="G25" s="97"/>
      <c r="H25" s="97"/>
      <c r="I25" s="97"/>
      <c r="J25" s="97"/>
      <c r="K25" s="97"/>
      <c r="L25" s="108"/>
      <c r="M25" s="108"/>
      <c r="N25" s="108"/>
      <c r="O25" s="108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/>
      <c r="C26" s="44"/>
      <c r="D26" s="44"/>
      <c r="E26" s="45">
        <f t="shared" si="0"/>
        <v>0</v>
      </c>
      <c r="F26" s="97"/>
      <c r="G26" s="97"/>
      <c r="H26" s="97"/>
      <c r="I26" s="97"/>
      <c r="J26" s="97"/>
      <c r="K26" s="97"/>
      <c r="L26" s="108"/>
      <c r="M26" s="108"/>
      <c r="N26" s="108"/>
      <c r="O26" s="108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83</v>
      </c>
      <c r="B27" s="44"/>
      <c r="C27" s="44"/>
      <c r="D27" s="44"/>
      <c r="E27" s="45">
        <f t="shared" si="0"/>
        <v>0</v>
      </c>
      <c r="F27" s="97"/>
      <c r="G27" s="97"/>
      <c r="H27" s="97"/>
      <c r="I27" s="97"/>
      <c r="J27" s="97"/>
      <c r="K27" s="97"/>
      <c r="L27" s="108"/>
      <c r="M27" s="108"/>
      <c r="N27" s="108"/>
      <c r="O27" s="108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92344.12</v>
      </c>
      <c r="C28" s="50">
        <f>C29+C30+C31+C33+C32</f>
        <v>272784.52</v>
      </c>
      <c r="D28" s="50">
        <f>D29+D30+D31+D33+D32</f>
        <v>333888.25</v>
      </c>
      <c r="E28" s="51">
        <f>C28-D28+B28</f>
        <v>31240.390000000014</v>
      </c>
      <c r="F28" s="97"/>
      <c r="G28" s="97"/>
      <c r="H28" s="97"/>
      <c r="I28" s="97"/>
      <c r="J28" s="97"/>
      <c r="K28" s="97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40">
        <f>65443.27</f>
        <v>65443.27</v>
      </c>
      <c r="C29" s="40">
        <f>195789.66-286.62</f>
        <v>195503.04</v>
      </c>
      <c r="D29" s="40">
        <f>229207.9+20177.39</f>
        <v>249385.28999999998</v>
      </c>
      <c r="E29" s="42">
        <f t="shared" si="0"/>
        <v>11561.020000000026</v>
      </c>
      <c r="F29" s="97"/>
      <c r="G29" s="97"/>
      <c r="H29" s="97"/>
      <c r="I29" s="97"/>
      <c r="J29" s="97"/>
      <c r="K29" s="97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23</v>
      </c>
      <c r="B30" s="43">
        <f>73.57+16497.42</f>
        <v>16570.989999999998</v>
      </c>
      <c r="C30" s="43">
        <f>23767.51+14476.15+5258.04-4117.37</f>
        <v>39384.329999999994</v>
      </c>
      <c r="D30" s="43">
        <f>22196.29+22781.98+2725.33+1684.08</f>
        <v>49387.680000000008</v>
      </c>
      <c r="E30" s="45">
        <f t="shared" si="0"/>
        <v>6567.6399999999849</v>
      </c>
      <c r="F30" s="97"/>
      <c r="G30" s="97"/>
      <c r="H30" s="97"/>
      <c r="I30" s="97"/>
      <c r="J30" s="97"/>
      <c r="K30" s="97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43">
        <f>3681.53</f>
        <v>3681.53</v>
      </c>
      <c r="C31" s="43">
        <f>13430.64+1518.01</f>
        <v>14948.65</v>
      </c>
      <c r="D31" s="43">
        <f>11035.49+2205.54</f>
        <v>13241.029999999999</v>
      </c>
      <c r="E31" s="45">
        <f t="shared" si="0"/>
        <v>5389.1500000000015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53" t="s">
        <v>90</v>
      </c>
      <c r="B32" s="43"/>
      <c r="C32" s="43"/>
      <c r="D32" s="43"/>
      <c r="E32" s="45">
        <f t="shared" si="0"/>
        <v>0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43">
        <f>6648.33</f>
        <v>6648.33</v>
      </c>
      <c r="C33" s="43">
        <f>21355.84+1592.66</f>
        <v>22948.5</v>
      </c>
      <c r="D33" s="43">
        <f>18502.69+3371.56</f>
        <v>21874.25</v>
      </c>
      <c r="E33" s="45">
        <f t="shared" si="0"/>
        <v>7722.58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74</v>
      </c>
      <c r="B35" s="54"/>
      <c r="C35" s="55"/>
      <c r="D35" s="55"/>
      <c r="E35" s="45">
        <f t="shared" si="0"/>
        <v>0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155</v>
      </c>
      <c r="B37" s="44"/>
      <c r="C37" s="44"/>
      <c r="D37" s="44"/>
      <c r="E37" s="45">
        <f t="shared" si="0"/>
        <v>0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>
        <v>-1142.67</v>
      </c>
      <c r="C38" s="46">
        <v>-95.34</v>
      </c>
      <c r="D38" s="46"/>
      <c r="E38" s="47">
        <f t="shared" si="0"/>
        <v>-1238.01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208392.27</v>
      </c>
      <c r="C39" s="58">
        <f>C20+C21+C22+C23+C24+C25+C26+C28+C35+C36+C37+C38</f>
        <v>821775.34000000008</v>
      </c>
      <c r="D39" s="58">
        <f>D20+D21+D22+D23+D24+D25+D26+D28+D35+D36+D37+D38+D27</f>
        <v>907884.89999999991</v>
      </c>
      <c r="E39" s="58">
        <f>E20+E21+E22+E23+E24+E25+E26+E28+E35+E36+E37+E38+E27</f>
        <v>122282.71000000006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59"/>
      <c r="B40" s="60"/>
      <c r="C40" s="56"/>
      <c r="D40" s="122"/>
      <c r="E40" s="122"/>
      <c r="F40" s="123"/>
      <c r="G40" s="124"/>
      <c r="H40" s="124"/>
      <c r="I40" s="124"/>
      <c r="J40" s="137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59"/>
      <c r="B41" s="60"/>
      <c r="C41" s="56"/>
      <c r="D41" s="119"/>
      <c r="E41" s="119"/>
      <c r="F41" s="138"/>
      <c r="G41" s="115"/>
      <c r="H41" s="137"/>
      <c r="I41" s="137"/>
      <c r="J41" s="137"/>
    </row>
    <row r="42" spans="1:22" ht="15.75" thickBot="1" x14ac:dyDescent="0.3">
      <c r="A42" s="61" t="s">
        <v>30</v>
      </c>
      <c r="B42" s="62">
        <f>B44+B60+B61+B58+B63+B59+B62</f>
        <v>680201.58373594284</v>
      </c>
      <c r="C42" s="63" t="s">
        <v>31</v>
      </c>
      <c r="D42" s="119">
        <f>C39-B42-B63</f>
        <v>139041.50416321692</v>
      </c>
      <c r="E42" s="272" t="s">
        <v>32</v>
      </c>
      <c r="F42" s="273">
        <v>5512727.4500000002</v>
      </c>
      <c r="G42" s="274">
        <f>F42/F48*B8</f>
        <v>77553.420370126041</v>
      </c>
      <c r="H42" s="137"/>
      <c r="I42" s="137"/>
      <c r="J42" s="137"/>
    </row>
    <row r="43" spans="1:22" x14ac:dyDescent="0.25">
      <c r="A43" s="64" t="s">
        <v>124</v>
      </c>
      <c r="B43" s="183">
        <f>-72066.55</f>
        <v>-72066.55</v>
      </c>
      <c r="C43" s="69" t="s">
        <v>31</v>
      </c>
      <c r="D43" s="119"/>
      <c r="E43" s="272" t="s">
        <v>33</v>
      </c>
      <c r="F43" s="273">
        <v>1264951.0900000001</v>
      </c>
      <c r="G43" s="274">
        <f>F43/F48*B8</f>
        <v>17795.41697284874</v>
      </c>
      <c r="H43" s="137"/>
      <c r="I43" s="137"/>
      <c r="J43" s="137"/>
    </row>
    <row r="44" spans="1:22" x14ac:dyDescent="0.25">
      <c r="A44" s="67" t="s">
        <v>34</v>
      </c>
      <c r="B44" s="160">
        <f>B45+B46+B48+B49+B50+B51+B52+B53+B54+B55+B56+B47+B57</f>
        <v>316716.02163510252</v>
      </c>
      <c r="C44" s="69" t="s">
        <v>31</v>
      </c>
      <c r="D44" s="119"/>
      <c r="E44" s="272" t="s">
        <v>35</v>
      </c>
      <c r="F44" s="273">
        <v>180000</v>
      </c>
      <c r="G44" s="274">
        <f>F44/F48*B8</f>
        <v>2532.252100840336</v>
      </c>
      <c r="H44" s="137"/>
      <c r="I44" s="137"/>
      <c r="J44" s="137"/>
    </row>
    <row r="45" spans="1:22" x14ac:dyDescent="0.25">
      <c r="A45" s="70" t="s">
        <v>76</v>
      </c>
      <c r="B45" s="184">
        <f>8473.19</f>
        <v>8473.19</v>
      </c>
      <c r="C45" s="71" t="s">
        <v>31</v>
      </c>
      <c r="D45" s="119"/>
      <c r="E45" s="272" t="s">
        <v>18</v>
      </c>
      <c r="F45" s="273">
        <f>299837.27</f>
        <v>299837.27</v>
      </c>
      <c r="G45" s="274">
        <f>F45/F48*B8</f>
        <v>4218.1308714873949</v>
      </c>
      <c r="H45" s="137"/>
      <c r="I45" s="137"/>
      <c r="J45" s="137"/>
    </row>
    <row r="46" spans="1:22" x14ac:dyDescent="0.25">
      <c r="A46" s="72" t="s">
        <v>37</v>
      </c>
      <c r="B46" s="184">
        <f>G42+G43</f>
        <v>95348.837342974788</v>
      </c>
      <c r="C46" s="71" t="s">
        <v>31</v>
      </c>
      <c r="D46" s="119"/>
      <c r="E46" s="275" t="s">
        <v>38</v>
      </c>
      <c r="F46" s="273">
        <f>7000+1260+30890+4200</f>
        <v>43350</v>
      </c>
      <c r="G46" s="274">
        <f>F46/F48*B8</f>
        <v>609.85071428571428</v>
      </c>
      <c r="H46" s="137"/>
      <c r="I46" s="137"/>
      <c r="J46" s="137"/>
    </row>
    <row r="47" spans="1:22" x14ac:dyDescent="0.25">
      <c r="A47" s="72" t="s">
        <v>39</v>
      </c>
      <c r="B47" s="184">
        <v>7200</v>
      </c>
      <c r="C47" s="71" t="s">
        <v>31</v>
      </c>
      <c r="D47" s="119"/>
      <c r="E47" s="274" t="s">
        <v>12</v>
      </c>
      <c r="F47" s="273">
        <f>8022857.59-F46</f>
        <v>7979507.5899999999</v>
      </c>
      <c r="G47" s="274">
        <f>F47/F48*B8</f>
        <v>112256.24921360503</v>
      </c>
      <c r="H47" s="137"/>
      <c r="I47" s="137"/>
      <c r="J47" s="137"/>
    </row>
    <row r="48" spans="1:22" x14ac:dyDescent="0.25">
      <c r="A48" s="70" t="s">
        <v>40</v>
      </c>
      <c r="B48" s="184">
        <f>G46+43774.8</f>
        <v>44384.650714285715</v>
      </c>
      <c r="C48" s="71" t="s">
        <v>31</v>
      </c>
      <c r="D48" s="119"/>
      <c r="E48" s="276" t="s">
        <v>41</v>
      </c>
      <c r="F48" s="277">
        <f>119000</f>
        <v>119000</v>
      </c>
      <c r="G48" s="274"/>
      <c r="H48" s="137"/>
      <c r="I48" s="137"/>
      <c r="J48" s="137"/>
    </row>
    <row r="49" spans="1:10" x14ac:dyDescent="0.25">
      <c r="A49" s="70" t="s">
        <v>42</v>
      </c>
      <c r="B49" s="184">
        <f>G45</f>
        <v>4218.1308714873949</v>
      </c>
      <c r="C49" s="71" t="s">
        <v>31</v>
      </c>
      <c r="D49" s="119"/>
      <c r="E49" s="278"/>
      <c r="F49" s="274"/>
      <c r="G49" s="274"/>
      <c r="H49" s="137"/>
      <c r="I49" s="137"/>
      <c r="J49" s="137"/>
    </row>
    <row r="50" spans="1:10" x14ac:dyDescent="0.25">
      <c r="A50" s="70" t="s">
        <v>141</v>
      </c>
      <c r="B50" s="184">
        <f>G47</f>
        <v>112256.24921360503</v>
      </c>
      <c r="C50" s="71" t="s">
        <v>31</v>
      </c>
      <c r="D50" s="119"/>
      <c r="E50" s="279" t="s">
        <v>70</v>
      </c>
      <c r="F50" s="277">
        <f>1910.32</f>
        <v>1910.32</v>
      </c>
      <c r="G50" s="279">
        <f>F50/F48*B8</f>
        <v>26.874510184873948</v>
      </c>
      <c r="H50" s="137"/>
      <c r="I50" s="137"/>
      <c r="J50" s="137"/>
    </row>
    <row r="51" spans="1:10" x14ac:dyDescent="0.25">
      <c r="A51" s="70" t="s">
        <v>44</v>
      </c>
      <c r="B51" s="184">
        <f>G52</f>
        <v>231.13271731092433</v>
      </c>
      <c r="C51" s="71" t="s">
        <v>31</v>
      </c>
      <c r="D51" s="119"/>
      <c r="E51" s="119"/>
      <c r="F51" s="120"/>
      <c r="G51" s="121"/>
      <c r="H51" s="137"/>
      <c r="I51" s="137"/>
      <c r="J51" s="137"/>
    </row>
    <row r="52" spans="1:10" x14ac:dyDescent="0.25">
      <c r="A52" s="70" t="s">
        <v>45</v>
      </c>
      <c r="B52" s="184">
        <f>G50</f>
        <v>26.874510184873948</v>
      </c>
      <c r="C52" s="71" t="s">
        <v>31</v>
      </c>
      <c r="D52" s="119"/>
      <c r="E52" s="119" t="s">
        <v>69</v>
      </c>
      <c r="F52" s="280">
        <f>16429.6</f>
        <v>16429.599999999999</v>
      </c>
      <c r="G52" s="279">
        <f>F52/F48*B8</f>
        <v>231.13271731092433</v>
      </c>
      <c r="H52" s="137"/>
      <c r="I52" s="137"/>
      <c r="J52" s="137"/>
    </row>
    <row r="53" spans="1:10" x14ac:dyDescent="0.25">
      <c r="A53" s="70" t="s">
        <v>46</v>
      </c>
      <c r="B53" s="184">
        <f>5695.17</f>
        <v>5695.17</v>
      </c>
      <c r="C53" s="71" t="s">
        <v>31</v>
      </c>
      <c r="D53" s="56"/>
      <c r="E53" s="56"/>
      <c r="F53" s="156"/>
      <c r="G53" s="157"/>
      <c r="H53" s="137"/>
      <c r="I53" s="137"/>
      <c r="J53" s="137"/>
    </row>
    <row r="54" spans="1:10" ht="26.25" x14ac:dyDescent="0.25">
      <c r="A54" s="191" t="s">
        <v>144</v>
      </c>
      <c r="B54" s="184">
        <f>700+1750+623.05+2300</f>
        <v>5373.05</v>
      </c>
      <c r="C54" s="71" t="s">
        <v>31</v>
      </c>
      <c r="D54" s="56"/>
      <c r="E54" s="56"/>
      <c r="F54" s="156"/>
      <c r="G54" s="157"/>
      <c r="H54" s="137"/>
      <c r="I54" s="137"/>
      <c r="J54" s="137"/>
    </row>
    <row r="55" spans="1:10" x14ac:dyDescent="0.25">
      <c r="A55" s="70" t="s">
        <v>48</v>
      </c>
      <c r="B55" s="184">
        <f>6058.44</f>
        <v>6058.44</v>
      </c>
      <c r="C55" s="71" t="s">
        <v>31</v>
      </c>
      <c r="D55" s="56"/>
      <c r="E55" s="56"/>
      <c r="F55" s="136"/>
      <c r="G55" s="137"/>
      <c r="H55" s="137"/>
      <c r="I55" s="137"/>
      <c r="J55" s="137"/>
    </row>
    <row r="56" spans="1:10" x14ac:dyDescent="0.25">
      <c r="A56" s="70" t="s">
        <v>49</v>
      </c>
      <c r="B56" s="184">
        <f>(B46+B47+B48+B49+B50+B52+B53+B54)*0.1</f>
        <v>27450.296265253783</v>
      </c>
      <c r="C56" s="71" t="s">
        <v>31</v>
      </c>
      <c r="D56" s="56"/>
      <c r="E56" s="56"/>
      <c r="F56" s="136"/>
      <c r="G56" s="137"/>
      <c r="H56" s="137"/>
      <c r="I56" s="137"/>
      <c r="J56" s="137"/>
    </row>
    <row r="57" spans="1:10" x14ac:dyDescent="0.25">
      <c r="A57" s="70" t="s">
        <v>103</v>
      </c>
      <c r="B57" s="184"/>
      <c r="C57" s="71" t="s">
        <v>31</v>
      </c>
      <c r="D57" s="119"/>
      <c r="E57" s="119"/>
      <c r="F57" s="138"/>
      <c r="G57" s="115"/>
      <c r="H57" s="137"/>
      <c r="I57" s="137"/>
      <c r="J57" s="137"/>
    </row>
    <row r="58" spans="1:10" x14ac:dyDescent="0.25">
      <c r="A58" s="67" t="s">
        <v>50</v>
      </c>
      <c r="B58" s="160">
        <f>C82</f>
        <v>92335.89</v>
      </c>
      <c r="C58" s="69" t="s">
        <v>31</v>
      </c>
      <c r="D58" s="122"/>
      <c r="E58" s="122"/>
      <c r="F58" s="123"/>
      <c r="G58" s="124"/>
      <c r="H58" s="124"/>
      <c r="I58" s="137"/>
      <c r="J58" s="137"/>
    </row>
    <row r="59" spans="1:10" x14ac:dyDescent="0.25">
      <c r="A59" s="67" t="s">
        <v>51</v>
      </c>
      <c r="B59" s="160">
        <f>0</f>
        <v>0</v>
      </c>
      <c r="C59" s="69" t="s">
        <v>31</v>
      </c>
      <c r="D59" s="122"/>
      <c r="E59" s="122"/>
      <c r="F59" s="123"/>
      <c r="G59" s="124"/>
      <c r="H59" s="124"/>
      <c r="I59" s="137"/>
      <c r="J59" s="137"/>
    </row>
    <row r="60" spans="1:10" x14ac:dyDescent="0.25">
      <c r="A60" s="67" t="s">
        <v>52</v>
      </c>
      <c r="B60" s="160">
        <f>8549.69+22699.59+222596.46+14771.68</f>
        <v>268617.42</v>
      </c>
      <c r="C60" s="69" t="s">
        <v>31</v>
      </c>
      <c r="D60" s="56"/>
      <c r="E60" s="56"/>
      <c r="F60" s="3"/>
      <c r="I60" s="137"/>
      <c r="J60" s="137"/>
    </row>
    <row r="61" spans="1:10" x14ac:dyDescent="0.25">
      <c r="A61" s="67" t="s">
        <v>53</v>
      </c>
      <c r="B61" s="160"/>
      <c r="C61" s="69" t="s">
        <v>54</v>
      </c>
      <c r="D61" s="56"/>
      <c r="E61" s="56"/>
      <c r="F61" s="3"/>
      <c r="I61" s="137"/>
      <c r="J61" s="137"/>
    </row>
    <row r="62" spans="1:10" x14ac:dyDescent="0.25">
      <c r="A62" s="133" t="s">
        <v>154</v>
      </c>
      <c r="B62" s="134">
        <f>C37/1.02</f>
        <v>0</v>
      </c>
      <c r="C62" s="135"/>
      <c r="D62" s="56"/>
      <c r="E62" s="56"/>
      <c r="F62" s="3"/>
      <c r="I62" s="137"/>
      <c r="J62" s="137"/>
    </row>
    <row r="63" spans="1:10" ht="15.75" thickBot="1" x14ac:dyDescent="0.3">
      <c r="A63" s="73" t="s">
        <v>78</v>
      </c>
      <c r="B63" s="74">
        <f>G44</f>
        <v>2532.252100840336</v>
      </c>
      <c r="C63" s="75" t="s">
        <v>31</v>
      </c>
      <c r="D63" s="56"/>
      <c r="E63" s="56"/>
      <c r="F63" s="3"/>
      <c r="I63" s="137"/>
      <c r="J63" s="137"/>
    </row>
    <row r="64" spans="1:10" x14ac:dyDescent="0.25">
      <c r="A64" s="59"/>
      <c r="B64" s="60"/>
      <c r="C64" s="56"/>
      <c r="D64" s="56"/>
      <c r="E64" s="56"/>
      <c r="F64" s="3"/>
      <c r="I64" s="137"/>
      <c r="J64" s="137"/>
    </row>
    <row r="65" spans="1:10" x14ac:dyDescent="0.25">
      <c r="A65" s="59" t="s">
        <v>142</v>
      </c>
      <c r="B65" s="143">
        <f>C39+B43-B42</f>
        <v>69507.206264057197</v>
      </c>
      <c r="C65" s="56" t="s">
        <v>31</v>
      </c>
      <c r="D65" s="56"/>
      <c r="E65" s="56"/>
      <c r="F65" s="3"/>
      <c r="I65" s="137"/>
      <c r="J65" s="137"/>
    </row>
    <row r="66" spans="1:10" x14ac:dyDescent="0.25">
      <c r="A66" s="59" t="s">
        <v>148</v>
      </c>
      <c r="B66" s="2">
        <f>B67+B68+B69+B70+B71+B72</f>
        <v>141669.09626405721</v>
      </c>
      <c r="C66" s="56" t="s">
        <v>31</v>
      </c>
      <c r="D66" s="56"/>
      <c r="E66" s="56"/>
      <c r="F66" s="3"/>
      <c r="I66" s="137"/>
      <c r="J66" s="137"/>
    </row>
    <row r="67" spans="1:10" x14ac:dyDescent="0.25">
      <c r="A67" s="77" t="s">
        <v>56</v>
      </c>
      <c r="B67" s="78">
        <f>C20-B44-B63</f>
        <v>-31121.073735942839</v>
      </c>
      <c r="C67" s="56" t="s">
        <v>31</v>
      </c>
      <c r="D67" s="56"/>
      <c r="E67" s="56"/>
      <c r="F67" s="3"/>
      <c r="I67" s="137"/>
      <c r="J67" s="137"/>
    </row>
    <row r="68" spans="1:10" x14ac:dyDescent="0.25">
      <c r="A68" s="77" t="s">
        <v>57</v>
      </c>
      <c r="B68" s="78">
        <f>C22-B58</f>
        <v>168623.07</v>
      </c>
      <c r="C68" s="56" t="s">
        <v>31</v>
      </c>
      <c r="D68" s="56"/>
      <c r="E68" s="56"/>
      <c r="F68" s="3"/>
      <c r="I68" s="137"/>
      <c r="J68" s="137"/>
    </row>
    <row r="69" spans="1:10" x14ac:dyDescent="0.25">
      <c r="A69" s="77" t="s">
        <v>58</v>
      </c>
      <c r="B69" s="78">
        <f>C26-B59</f>
        <v>0</v>
      </c>
      <c r="C69" s="56" t="s">
        <v>31</v>
      </c>
      <c r="D69" s="56"/>
      <c r="E69" s="56"/>
      <c r="F69" s="3"/>
      <c r="I69" s="137"/>
      <c r="J69" s="137"/>
    </row>
    <row r="70" spans="1:10" x14ac:dyDescent="0.25">
      <c r="A70" s="77" t="s">
        <v>59</v>
      </c>
      <c r="B70" s="78">
        <f>C28-B60</f>
        <v>4167.1000000000349</v>
      </c>
      <c r="C70" s="56" t="s">
        <v>31</v>
      </c>
      <c r="D70" s="56"/>
      <c r="E70" s="56"/>
      <c r="F70" s="3"/>
      <c r="I70" s="137"/>
      <c r="J70" s="137"/>
    </row>
    <row r="71" spans="1:10" x14ac:dyDescent="0.25">
      <c r="A71" s="77" t="s">
        <v>60</v>
      </c>
      <c r="B71" s="78">
        <f>C35-B61</f>
        <v>0</v>
      </c>
      <c r="C71" s="56" t="s">
        <v>31</v>
      </c>
      <c r="D71" s="56"/>
      <c r="E71" s="56"/>
      <c r="F71" s="3"/>
      <c r="I71" s="137"/>
      <c r="J71" s="137"/>
    </row>
    <row r="72" spans="1:10" x14ac:dyDescent="0.25">
      <c r="A72" s="77" t="s">
        <v>157</v>
      </c>
      <c r="B72" s="78">
        <f>C37-B62</f>
        <v>0</v>
      </c>
      <c r="C72" s="56" t="s">
        <v>31</v>
      </c>
      <c r="I72" s="137"/>
      <c r="J72" s="137"/>
    </row>
    <row r="73" spans="1:10" ht="15.75" thickBot="1" x14ac:dyDescent="0.3">
      <c r="A73" s="77"/>
      <c r="B73" s="78"/>
      <c r="C73" s="56"/>
      <c r="D73" s="98"/>
      <c r="E73" s="99"/>
      <c r="F73" s="100"/>
      <c r="G73" s="97"/>
      <c r="I73" s="137"/>
      <c r="J73" s="137"/>
    </row>
    <row r="74" spans="1:10" ht="15.75" thickBot="1" x14ac:dyDescent="0.3">
      <c r="A74" s="128" t="s">
        <v>146</v>
      </c>
      <c r="B74" s="129"/>
      <c r="C74" s="130"/>
      <c r="D74" s="101"/>
      <c r="E74" s="101"/>
      <c r="F74" s="101"/>
      <c r="G74" s="97"/>
      <c r="I74" s="137"/>
      <c r="J74" s="137"/>
    </row>
    <row r="75" spans="1:10" ht="51.75" thickBot="1" x14ac:dyDescent="0.3">
      <c r="A75" s="79" t="s">
        <v>80</v>
      </c>
      <c r="B75" s="80" t="s">
        <v>61</v>
      </c>
      <c r="C75" s="81" t="s">
        <v>67</v>
      </c>
      <c r="D75" s="102"/>
      <c r="E75" s="103"/>
      <c r="F75" s="104"/>
      <c r="G75" s="97"/>
      <c r="I75" s="137"/>
      <c r="J75" s="137"/>
    </row>
    <row r="76" spans="1:10" x14ac:dyDescent="0.25">
      <c r="A76" s="82" t="s">
        <v>62</v>
      </c>
      <c r="B76" s="113" t="s">
        <v>31</v>
      </c>
      <c r="C76" s="114" t="s">
        <v>31</v>
      </c>
      <c r="D76" s="102"/>
      <c r="E76" s="103"/>
      <c r="F76" s="104"/>
      <c r="G76" s="97"/>
      <c r="I76" s="137"/>
      <c r="J76" s="137"/>
    </row>
    <row r="77" spans="1:10" x14ac:dyDescent="0.25">
      <c r="A77" s="148" t="s">
        <v>150</v>
      </c>
      <c r="B77" s="43"/>
      <c r="C77" s="185">
        <v>15402</v>
      </c>
      <c r="D77" s="102"/>
      <c r="E77" s="103"/>
      <c r="F77" s="104"/>
      <c r="G77" s="97"/>
    </row>
    <row r="78" spans="1:10" x14ac:dyDescent="0.25">
      <c r="A78" s="155" t="s">
        <v>177</v>
      </c>
      <c r="B78" s="43"/>
      <c r="C78" s="185">
        <f>22196.89+9355+1955</f>
        <v>33506.89</v>
      </c>
      <c r="D78" s="102"/>
      <c r="E78" s="103"/>
      <c r="F78" s="104"/>
      <c r="G78" s="97"/>
    </row>
    <row r="79" spans="1:10" x14ac:dyDescent="0.25">
      <c r="A79" s="155" t="s">
        <v>173</v>
      </c>
      <c r="B79" s="43"/>
      <c r="C79" s="185">
        <v>35778</v>
      </c>
      <c r="D79" s="102"/>
      <c r="E79" s="103"/>
      <c r="F79" s="104"/>
      <c r="G79" s="97"/>
    </row>
    <row r="80" spans="1:10" x14ac:dyDescent="0.25">
      <c r="A80" s="53" t="s">
        <v>179</v>
      </c>
      <c r="B80" s="43"/>
      <c r="C80" s="185">
        <v>6500</v>
      </c>
      <c r="D80" s="102"/>
      <c r="E80" s="103"/>
      <c r="F80" s="104"/>
      <c r="G80" s="97"/>
    </row>
    <row r="81" spans="1:7" x14ac:dyDescent="0.25">
      <c r="A81" s="76" t="s">
        <v>185</v>
      </c>
      <c r="B81" s="43"/>
      <c r="C81" s="144">
        <v>1149</v>
      </c>
      <c r="D81" s="102"/>
      <c r="E81" s="103"/>
      <c r="F81" s="104"/>
      <c r="G81" s="97"/>
    </row>
    <row r="82" spans="1:7" ht="15.75" thickBot="1" x14ac:dyDescent="0.3">
      <c r="A82" s="145" t="s">
        <v>5</v>
      </c>
      <c r="B82" s="146">
        <f>B77</f>
        <v>0</v>
      </c>
      <c r="C82" s="147">
        <f>C77+C78+C79+C80+C81</f>
        <v>92335.89</v>
      </c>
      <c r="D82" s="102"/>
      <c r="E82" s="103"/>
      <c r="F82" s="104"/>
      <c r="G82" s="97"/>
    </row>
    <row r="83" spans="1:7" x14ac:dyDescent="0.25">
      <c r="A83" s="31"/>
      <c r="B83" s="33"/>
      <c r="C83" s="87"/>
      <c r="D83" s="105"/>
      <c r="E83" s="103"/>
      <c r="F83" s="104"/>
      <c r="G83" s="97"/>
    </row>
    <row r="84" spans="1:7" x14ac:dyDescent="0.25">
      <c r="A84" s="164" t="s">
        <v>132</v>
      </c>
      <c r="B84" s="149"/>
      <c r="C84" s="215"/>
      <c r="D84" s="216"/>
      <c r="E84" s="103"/>
      <c r="F84" s="97"/>
      <c r="G84" s="97"/>
    </row>
    <row r="85" spans="1:7" x14ac:dyDescent="0.25">
      <c r="A85" s="217"/>
      <c r="B85" s="149"/>
      <c r="C85" s="215"/>
      <c r="D85" s="218"/>
      <c r="E85" s="103"/>
      <c r="F85" s="97"/>
      <c r="G85" s="97"/>
    </row>
    <row r="86" spans="1:7" x14ac:dyDescent="0.25">
      <c r="A86" s="165" t="s">
        <v>133</v>
      </c>
      <c r="B86" s="149" t="s">
        <v>134</v>
      </c>
      <c r="C86" s="219"/>
      <c r="D86" s="216"/>
      <c r="E86" s="103"/>
      <c r="F86" s="97"/>
      <c r="G86" s="97"/>
    </row>
    <row r="87" spans="1:7" x14ac:dyDescent="0.25">
      <c r="A87" s="165"/>
      <c r="B87" s="149"/>
      <c r="C87" s="219"/>
      <c r="D87" s="216"/>
      <c r="E87" s="103"/>
      <c r="F87" s="97"/>
      <c r="G87" s="97"/>
    </row>
    <row r="88" spans="1:7" x14ac:dyDescent="0.25">
      <c r="A88" s="220"/>
      <c r="B88" s="221"/>
      <c r="C88" s="219"/>
      <c r="D88" s="150"/>
      <c r="E88" s="89"/>
    </row>
    <row r="89" spans="1:7" ht="15.75" x14ac:dyDescent="0.25">
      <c r="A89" s="223" t="s">
        <v>63</v>
      </c>
      <c r="B89" s="224" t="s">
        <v>134</v>
      </c>
      <c r="C89" s="225"/>
      <c r="D89" s="226" t="s">
        <v>66</v>
      </c>
      <c r="E89" s="89"/>
    </row>
    <row r="90" spans="1:7" x14ac:dyDescent="0.25">
      <c r="A90" s="95"/>
      <c r="B90" s="96"/>
      <c r="C90" s="89"/>
      <c r="D90" s="93"/>
      <c r="E90" s="89"/>
    </row>
    <row r="91" spans="1:7" x14ac:dyDescent="0.25">
      <c r="A91" s="31"/>
      <c r="B91" s="33"/>
      <c r="C91" s="89"/>
      <c r="D91" s="88"/>
      <c r="E91" s="89"/>
    </row>
    <row r="92" spans="1:7" x14ac:dyDescent="0.25">
      <c r="A92" s="31"/>
      <c r="B92" s="33"/>
      <c r="C92" s="89"/>
      <c r="D92" s="93"/>
      <c r="E92" s="89"/>
    </row>
    <row r="93" spans="1:7" x14ac:dyDescent="0.25">
      <c r="A93" s="95"/>
      <c r="B93" s="96"/>
      <c r="C93" s="89"/>
      <c r="D93" s="93"/>
      <c r="E93" s="89"/>
    </row>
    <row r="94" spans="1:7" x14ac:dyDescent="0.25">
      <c r="A94" s="95"/>
      <c r="B94" s="96"/>
      <c r="C94" s="89"/>
      <c r="D94" s="93"/>
      <c r="E94" s="89"/>
      <c r="F94" s="94"/>
    </row>
    <row r="95" spans="1:7" x14ac:dyDescent="0.25">
      <c r="A95" s="31"/>
      <c r="B95" s="33"/>
      <c r="C95" s="89"/>
      <c r="D95" s="93"/>
      <c r="E95" s="89"/>
    </row>
    <row r="96" spans="1:7" x14ac:dyDescent="0.25">
      <c r="A96" s="31"/>
      <c r="B96" s="33"/>
      <c r="C96" s="56"/>
      <c r="D96" s="87"/>
      <c r="E96" s="89"/>
    </row>
    <row r="97" spans="1:6" x14ac:dyDescent="0.25">
      <c r="A97" s="19"/>
      <c r="B97" s="20"/>
      <c r="C97" s="89"/>
      <c r="D97" s="87"/>
      <c r="E97" s="89"/>
    </row>
    <row r="98" spans="1:6" x14ac:dyDescent="0.25">
      <c r="A98" s="31"/>
      <c r="B98" s="33"/>
      <c r="C98" s="89"/>
      <c r="D98" s="56"/>
      <c r="E98" s="56"/>
      <c r="F98" s="3"/>
    </row>
    <row r="99" spans="1:6" x14ac:dyDescent="0.25">
      <c r="A99" s="31"/>
      <c r="B99" s="33"/>
      <c r="C99" s="33"/>
      <c r="D99" s="56"/>
      <c r="E99" s="89"/>
    </row>
    <row r="100" spans="1:6" x14ac:dyDescent="0.25">
      <c r="A100" s="31"/>
      <c r="B100" s="33"/>
      <c r="C100" s="33"/>
      <c r="D100" s="56"/>
      <c r="E100" s="56"/>
    </row>
    <row r="101" spans="1:6" x14ac:dyDescent="0.25">
      <c r="A101" s="31"/>
      <c r="B101" s="33"/>
      <c r="C101" s="33"/>
      <c r="D101" s="89"/>
      <c r="E101" s="89"/>
    </row>
    <row r="102" spans="1:6" x14ac:dyDescent="0.25">
      <c r="A102" s="31"/>
      <c r="B102" s="33"/>
      <c r="D102" s="89"/>
      <c r="E102" s="89"/>
    </row>
    <row r="103" spans="1:6" x14ac:dyDescent="0.25">
      <c r="D103" s="89"/>
      <c r="E103" s="89"/>
    </row>
    <row r="104" spans="1:6" x14ac:dyDescent="0.25">
      <c r="D104" s="89"/>
      <c r="E104" s="89"/>
    </row>
    <row r="105" spans="1:6" x14ac:dyDescent="0.25">
      <c r="D105" s="89"/>
      <c r="E105" s="89"/>
    </row>
    <row r="106" spans="1:6" x14ac:dyDescent="0.25">
      <c r="D106" s="89"/>
      <c r="E106" s="89"/>
    </row>
    <row r="107" spans="1:6" x14ac:dyDescent="0.25">
      <c r="B107"/>
      <c r="C107"/>
      <c r="D107" s="56"/>
      <c r="E107" s="56"/>
      <c r="F107" s="3"/>
    </row>
    <row r="108" spans="1:6" x14ac:dyDescent="0.25">
      <c r="B108"/>
      <c r="C108"/>
      <c r="D108" s="89"/>
      <c r="E108" s="89"/>
      <c r="F108" s="3"/>
    </row>
    <row r="109" spans="1:6" x14ac:dyDescent="0.25">
      <c r="B109"/>
      <c r="C109"/>
      <c r="D109" s="89"/>
      <c r="E109" s="89"/>
    </row>
    <row r="110" spans="1:6" x14ac:dyDescent="0.25">
      <c r="B110"/>
      <c r="C110"/>
      <c r="D110" s="33"/>
      <c r="E110" s="33"/>
    </row>
    <row r="111" spans="1:6" x14ac:dyDescent="0.25">
      <c r="B111"/>
      <c r="C111"/>
      <c r="D111" s="33"/>
      <c r="E111" s="33"/>
    </row>
    <row r="112" spans="1:6" x14ac:dyDescent="0.25">
      <c r="D112" s="33"/>
      <c r="E112" s="33"/>
    </row>
  </sheetData>
  <pageMargins left="0.70866141732283472" right="0.70866141732283472" top="0.74803149606299213" bottom="0.74803149606299213" header="0.31496062992125984" footer="0.31496062992125984"/>
  <pageSetup paperSize="9" scale="54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V109"/>
  <sheetViews>
    <sheetView view="pageBreakPreview" topLeftCell="A53" zoomScale="60" zoomScaleNormal="100" workbookViewId="0">
      <selection activeCell="F16" sqref="F16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4.85546875" style="3" customWidth="1"/>
    <col min="5" max="5" width="17.570312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158</v>
      </c>
      <c r="B2" s="2"/>
      <c r="C2" s="2"/>
      <c r="D2" s="20"/>
    </row>
    <row r="3" spans="1:22" ht="15.75" thickBot="1" x14ac:dyDescent="0.3">
      <c r="A3" s="1"/>
      <c r="B3" s="2"/>
      <c r="C3" s="2"/>
      <c r="D3" s="20"/>
      <c r="L3" s="108"/>
      <c r="M3" s="108"/>
      <c r="N3" s="108"/>
      <c r="O3" s="108"/>
    </row>
    <row r="4" spans="1:22" ht="15.75" thickBot="1" x14ac:dyDescent="0.3">
      <c r="A4" s="22" t="s">
        <v>0</v>
      </c>
      <c r="B4" s="126"/>
      <c r="C4" s="127"/>
      <c r="D4" s="111"/>
      <c r="L4" s="108"/>
      <c r="M4" s="108"/>
      <c r="N4" s="108"/>
      <c r="O4" s="108"/>
    </row>
    <row r="5" spans="1:22" ht="40.5" customHeight="1" thickBot="1" x14ac:dyDescent="0.3">
      <c r="A5" s="6" t="s">
        <v>1</v>
      </c>
      <c r="B5" s="8" t="s">
        <v>2</v>
      </c>
      <c r="C5" s="9" t="s">
        <v>3</v>
      </c>
      <c r="D5" s="33"/>
      <c r="E5"/>
      <c r="K5" s="108"/>
      <c r="L5" s="108"/>
      <c r="M5" s="108"/>
      <c r="N5" s="108"/>
    </row>
    <row r="6" spans="1:22" ht="15.75" thickBot="1" x14ac:dyDescent="0.3">
      <c r="A6" s="151" t="s">
        <v>109</v>
      </c>
      <c r="B6" s="153">
        <v>508.4</v>
      </c>
      <c r="C6" s="154">
        <v>22</v>
      </c>
      <c r="E6"/>
      <c r="K6" s="108"/>
      <c r="L6" s="108"/>
      <c r="M6" s="108"/>
      <c r="N6" s="108"/>
    </row>
    <row r="7" spans="1:22" x14ac:dyDescent="0.25">
      <c r="A7" s="10"/>
      <c r="B7" s="86"/>
      <c r="C7" s="152"/>
      <c r="E7"/>
      <c r="K7" s="108"/>
      <c r="L7" s="108"/>
      <c r="M7" s="108"/>
      <c r="N7" s="108"/>
    </row>
    <row r="8" spans="1:22" ht="15.75" thickBot="1" x14ac:dyDescent="0.3">
      <c r="A8" s="16" t="s">
        <v>5</v>
      </c>
      <c r="B8" s="17">
        <f>B6+B7</f>
        <v>508.4</v>
      </c>
      <c r="C8" s="18">
        <f>C6</f>
        <v>22</v>
      </c>
      <c r="E8"/>
      <c r="K8" s="108"/>
      <c r="L8" s="108"/>
      <c r="M8" s="108"/>
      <c r="N8" s="108"/>
    </row>
    <row r="9" spans="1:22" ht="15.75" thickBot="1" x14ac:dyDescent="0.3">
      <c r="A9" s="19"/>
      <c r="B9" s="20"/>
      <c r="C9" s="20"/>
      <c r="D9" s="21"/>
      <c r="L9" s="108"/>
      <c r="M9" s="108"/>
      <c r="N9" s="108"/>
      <c r="O9" s="108"/>
    </row>
    <row r="10" spans="1:22" ht="15.75" thickBot="1" x14ac:dyDescent="0.3">
      <c r="A10" s="22" t="s">
        <v>112</v>
      </c>
      <c r="B10" s="23"/>
      <c r="C10" s="23"/>
      <c r="D10" s="24" t="s">
        <v>6</v>
      </c>
      <c r="F10" s="97"/>
      <c r="G10" s="97"/>
      <c r="H10" s="97"/>
      <c r="I10" s="97"/>
      <c r="J10" s="97"/>
      <c r="K10" s="97"/>
      <c r="L10" s="108"/>
      <c r="M10" s="108"/>
      <c r="N10" s="108"/>
      <c r="O10" s="108"/>
    </row>
    <row r="11" spans="1:22" x14ac:dyDescent="0.25">
      <c r="A11" s="25" t="s">
        <v>7</v>
      </c>
      <c r="B11" s="20"/>
      <c r="C11" s="20"/>
      <c r="D11" s="27">
        <v>11.94</v>
      </c>
      <c r="F11" s="97"/>
      <c r="G11" s="97"/>
      <c r="H11" s="97"/>
      <c r="I11" s="97"/>
      <c r="J11" s="97"/>
      <c r="K11" s="97"/>
      <c r="L11" s="108"/>
      <c r="M11" s="108"/>
      <c r="N11" s="108"/>
      <c r="O11" s="108"/>
    </row>
    <row r="12" spans="1:22" x14ac:dyDescent="0.25">
      <c r="A12" s="25" t="s">
        <v>8</v>
      </c>
      <c r="B12" s="20"/>
      <c r="C12" s="20"/>
      <c r="D12" s="27">
        <v>5.77</v>
      </c>
      <c r="F12" s="97"/>
      <c r="G12" s="97"/>
      <c r="H12" s="97"/>
      <c r="I12" s="97"/>
      <c r="J12" s="97"/>
      <c r="K12" s="97"/>
      <c r="L12" s="108"/>
      <c r="M12" s="108"/>
      <c r="N12" s="108"/>
      <c r="O12" s="108"/>
    </row>
    <row r="13" spans="1:22" x14ac:dyDescent="0.25">
      <c r="A13" s="25" t="s">
        <v>9</v>
      </c>
      <c r="B13" s="20"/>
      <c r="C13" s="20"/>
      <c r="D13" s="26"/>
      <c r="F13" s="97"/>
      <c r="G13" s="97"/>
      <c r="H13" s="97"/>
      <c r="I13" s="97"/>
      <c r="J13" s="97"/>
      <c r="K13" s="97"/>
      <c r="L13" s="108"/>
      <c r="M13" s="108"/>
      <c r="N13" s="108"/>
      <c r="O13" s="108"/>
    </row>
    <row r="14" spans="1:22" ht="15.75" thickBot="1" x14ac:dyDescent="0.3">
      <c r="A14" s="28" t="s">
        <v>10</v>
      </c>
      <c r="B14" s="29"/>
      <c r="C14" s="29"/>
      <c r="D14" s="30">
        <v>0</v>
      </c>
      <c r="F14" s="97"/>
      <c r="G14" s="97"/>
      <c r="H14" s="97"/>
      <c r="I14" s="97"/>
      <c r="J14" s="97"/>
      <c r="K14" s="97"/>
      <c r="L14" s="108"/>
      <c r="M14" s="108"/>
      <c r="N14" s="108"/>
      <c r="O14" s="108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97"/>
      <c r="G15" s="97"/>
      <c r="H15" s="97"/>
      <c r="I15" s="97"/>
      <c r="J15" s="97"/>
      <c r="K15" s="97"/>
      <c r="L15" s="108"/>
      <c r="M15" s="108"/>
      <c r="N15" s="108"/>
      <c r="O15" s="108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113</v>
      </c>
      <c r="B16" s="126"/>
      <c r="C16" s="126"/>
      <c r="D16" s="126"/>
      <c r="E16" s="127"/>
      <c r="F16" s="97"/>
      <c r="G16" s="97"/>
      <c r="H16" s="97"/>
      <c r="I16" s="97"/>
      <c r="J16" s="97"/>
      <c r="K16" s="97"/>
      <c r="L16" s="108"/>
      <c r="M16" s="109"/>
      <c r="N16" s="109"/>
      <c r="O16" s="108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39"/>
      <c r="F17" s="97"/>
      <c r="G17" s="97"/>
      <c r="H17" s="97"/>
      <c r="I17" s="97"/>
      <c r="J17" s="97"/>
      <c r="K17" s="97"/>
      <c r="L17" s="109"/>
      <c r="M17" s="110"/>
      <c r="N17" s="109"/>
      <c r="O17" s="108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39"/>
      <c r="F18" s="97"/>
      <c r="G18" s="97"/>
      <c r="H18" s="97"/>
      <c r="I18" s="97"/>
      <c r="J18" s="97"/>
      <c r="K18" s="97"/>
      <c r="L18" s="108"/>
      <c r="M18" s="108"/>
      <c r="N18" s="108"/>
      <c r="O18" s="108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114</v>
      </c>
      <c r="C19" s="38" t="s">
        <v>115</v>
      </c>
      <c r="D19" s="38" t="s">
        <v>116</v>
      </c>
      <c r="E19" s="39" t="s">
        <v>117</v>
      </c>
      <c r="F19" s="97"/>
      <c r="G19" s="97"/>
      <c r="H19" s="97"/>
      <c r="I19" s="97"/>
      <c r="J19" s="97"/>
      <c r="K19" s="97"/>
      <c r="L19" s="108"/>
      <c r="M19" s="111"/>
      <c r="N19" s="111"/>
      <c r="O19" s="108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>
        <v>9409.73</v>
      </c>
      <c r="C20" s="41">
        <f>72843.48</f>
        <v>72843.48</v>
      </c>
      <c r="D20" s="40">
        <f>52928.63+20039.66</f>
        <v>72968.289999999994</v>
      </c>
      <c r="E20" s="42">
        <f t="shared" ref="E20:E38" si="0">C20-D20+B20</f>
        <v>9284.9200000000019</v>
      </c>
      <c r="F20" s="116">
        <f>C20+F22</f>
        <v>108045.35999999999</v>
      </c>
      <c r="G20" s="117">
        <f>100</f>
        <v>100</v>
      </c>
      <c r="H20" s="115" t="s">
        <v>64</v>
      </c>
      <c r="I20" s="97"/>
      <c r="J20" s="97"/>
      <c r="K20" s="97"/>
      <c r="L20" s="108"/>
      <c r="M20" s="108"/>
      <c r="N20" s="108"/>
      <c r="O20" s="108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16"/>
      <c r="G21" s="117"/>
      <c r="H21" s="115"/>
      <c r="I21" s="97"/>
      <c r="J21" s="97"/>
      <c r="K21" s="97"/>
      <c r="L21" s="108"/>
      <c r="M21" s="108"/>
      <c r="N21" s="108"/>
      <c r="O21" s="108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>
        <f>4547.28</f>
        <v>4547.28</v>
      </c>
      <c r="C22" s="44">
        <f>35201.88</f>
        <v>35201.879999999997</v>
      </c>
      <c r="D22" s="43">
        <f>25577.9+9684.29</f>
        <v>35262.19</v>
      </c>
      <c r="E22" s="45">
        <f t="shared" si="0"/>
        <v>4486.9699999999948</v>
      </c>
      <c r="F22" s="116">
        <f>C22</f>
        <v>35201.879999999997</v>
      </c>
      <c r="G22" s="118">
        <f>F22*G20/F20</f>
        <v>32.580649460559897</v>
      </c>
      <c r="H22" s="115" t="s">
        <v>64</v>
      </c>
      <c r="I22" s="97"/>
      <c r="J22" s="97"/>
      <c r="K22" s="97"/>
      <c r="L22" s="108"/>
      <c r="M22" s="108"/>
      <c r="N22" s="111"/>
      <c r="O22" s="108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97"/>
      <c r="G23" s="97"/>
      <c r="H23" s="97"/>
      <c r="I23" s="97"/>
      <c r="J23" s="97"/>
      <c r="K23" s="97"/>
      <c r="L23" s="108"/>
      <c r="M23" s="108"/>
      <c r="N23" s="108"/>
      <c r="O23" s="108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44"/>
      <c r="D24" s="44"/>
      <c r="E24" s="45">
        <f t="shared" si="0"/>
        <v>0</v>
      </c>
      <c r="F24" s="97"/>
      <c r="G24" s="97"/>
      <c r="H24" s="97"/>
      <c r="I24" s="97"/>
      <c r="J24" s="97"/>
      <c r="K24" s="97"/>
      <c r="L24" s="108"/>
      <c r="M24" s="108"/>
      <c r="N24" s="108"/>
      <c r="O24" s="108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97"/>
      <c r="G25" s="97"/>
      <c r="H25" s="97"/>
      <c r="I25" s="97"/>
      <c r="J25" s="97"/>
      <c r="K25" s="97"/>
      <c r="L25" s="108"/>
      <c r="M25" s="108"/>
      <c r="N25" s="108"/>
      <c r="O25" s="108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/>
      <c r="C26" s="44"/>
      <c r="D26" s="44"/>
      <c r="E26" s="45">
        <f t="shared" si="0"/>
        <v>0</v>
      </c>
      <c r="F26" s="97"/>
      <c r="G26" s="97"/>
      <c r="H26" s="97"/>
      <c r="I26" s="97"/>
      <c r="J26" s="97"/>
      <c r="K26" s="97"/>
      <c r="L26" s="108"/>
      <c r="M26" s="108"/>
      <c r="N26" s="108"/>
      <c r="O26" s="108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83</v>
      </c>
      <c r="B27" s="44"/>
      <c r="C27" s="44"/>
      <c r="D27" s="44"/>
      <c r="E27" s="45">
        <f t="shared" si="0"/>
        <v>0</v>
      </c>
      <c r="F27" s="97"/>
      <c r="G27" s="97"/>
      <c r="H27" s="97"/>
      <c r="I27" s="97"/>
      <c r="J27" s="97"/>
      <c r="K27" s="97"/>
      <c r="L27" s="108"/>
      <c r="M27" s="108"/>
      <c r="N27" s="108"/>
      <c r="O27" s="108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4146.24</v>
      </c>
      <c r="C28" s="50">
        <f>C29+C30+C31+C33+C32</f>
        <v>42332.07</v>
      </c>
      <c r="D28" s="50">
        <f>D29+D30+D31+D33+D32</f>
        <v>42914.1</v>
      </c>
      <c r="E28" s="51">
        <f>C28-D28+B28</f>
        <v>3564.2100000000009</v>
      </c>
      <c r="F28" s="97"/>
      <c r="G28" s="97"/>
      <c r="H28" s="97"/>
      <c r="I28" s="97"/>
      <c r="J28" s="97"/>
      <c r="K28" s="97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40"/>
      <c r="C29" s="40"/>
      <c r="D29" s="40"/>
      <c r="E29" s="42">
        <f t="shared" si="0"/>
        <v>0</v>
      </c>
      <c r="F29" s="97"/>
      <c r="G29" s="97"/>
      <c r="H29" s="97"/>
      <c r="I29" s="97"/>
      <c r="J29" s="97"/>
      <c r="K29" s="97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23</v>
      </c>
      <c r="B30" s="43"/>
      <c r="C30" s="43"/>
      <c r="D30" s="43"/>
      <c r="E30" s="45">
        <f t="shared" si="0"/>
        <v>0</v>
      </c>
      <c r="F30" s="97"/>
      <c r="G30" s="97"/>
      <c r="H30" s="97"/>
      <c r="I30" s="97"/>
      <c r="J30" s="97"/>
      <c r="K30" s="97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43">
        <f>1491.1</f>
        <v>1491.1</v>
      </c>
      <c r="C31" s="43">
        <f>15369.6+139.02+158.58</f>
        <v>15667.2</v>
      </c>
      <c r="D31" s="43">
        <f>12405.55+3271.99+90.33+41.08</f>
        <v>15808.949999999999</v>
      </c>
      <c r="E31" s="45">
        <f t="shared" si="0"/>
        <v>1349.3500000000017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53" t="s">
        <v>90</v>
      </c>
      <c r="B32" s="43"/>
      <c r="C32" s="43"/>
      <c r="D32" s="43"/>
      <c r="E32" s="45">
        <f t="shared" si="0"/>
        <v>0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43">
        <f>2655.14</f>
        <v>2655.14</v>
      </c>
      <c r="C33" s="43">
        <f>26359.53+305.34</f>
        <v>26664.87</v>
      </c>
      <c r="D33" s="43">
        <f>21493.88+5611.27</f>
        <v>27105.15</v>
      </c>
      <c r="E33" s="45">
        <f t="shared" si="0"/>
        <v>2214.8599999999974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74</v>
      </c>
      <c r="B35" s="54"/>
      <c r="C35" s="55"/>
      <c r="D35" s="55"/>
      <c r="E35" s="45">
        <f t="shared" si="0"/>
        <v>0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155</v>
      </c>
      <c r="B37" s="44"/>
      <c r="C37" s="44"/>
      <c r="D37" s="44"/>
      <c r="E37" s="45">
        <f t="shared" si="0"/>
        <v>0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/>
      <c r="C38" s="46"/>
      <c r="D38" s="46"/>
      <c r="E38" s="47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18103.25</v>
      </c>
      <c r="C39" s="58">
        <f>C20+C21+C22+C23+C24+C25+C26+C28+C35+C36+C37+C38</f>
        <v>150377.43</v>
      </c>
      <c r="D39" s="58">
        <f>D20+D21+D22+D23+D24+D25+D26+D28+D35+D36+D37+D38+D27</f>
        <v>151144.57999999999</v>
      </c>
      <c r="E39" s="58">
        <f>E20+E21+E22+E23+E24+E25+E26+E28+E35+E36+E37+E38+E27</f>
        <v>17336.099999999999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59"/>
      <c r="B40" s="60"/>
      <c r="C40" s="56"/>
      <c r="D40" s="122"/>
      <c r="E40" s="122"/>
      <c r="F40" s="123"/>
      <c r="G40" s="124"/>
      <c r="H40" s="124"/>
      <c r="I40" s="124"/>
      <c r="J40" s="137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59"/>
      <c r="B41" s="60"/>
      <c r="C41" s="56"/>
      <c r="D41" s="119"/>
      <c r="E41" s="119"/>
      <c r="F41" s="138"/>
      <c r="G41" s="115"/>
      <c r="H41" s="115"/>
      <c r="I41" s="137"/>
      <c r="J41" s="137"/>
    </row>
    <row r="42" spans="1:22" ht="15.75" thickBot="1" x14ac:dyDescent="0.3">
      <c r="A42" s="61" t="s">
        <v>30</v>
      </c>
      <c r="B42" s="62">
        <f>B44+B60+B61+B58+B63+B59+B62</f>
        <v>153572.57729052773</v>
      </c>
      <c r="C42" s="63" t="s">
        <v>31</v>
      </c>
      <c r="D42" s="119">
        <f>C39-B42-B63</f>
        <v>-3964.1556938890776</v>
      </c>
      <c r="E42" s="272" t="s">
        <v>32</v>
      </c>
      <c r="F42" s="273">
        <v>5512727.4500000002</v>
      </c>
      <c r="G42" s="274">
        <f>F42/F48*B8</f>
        <v>23551.854080504199</v>
      </c>
      <c r="H42" s="115"/>
      <c r="I42" s="137"/>
      <c r="J42" s="137"/>
    </row>
    <row r="43" spans="1:22" x14ac:dyDescent="0.25">
      <c r="A43" s="64" t="s">
        <v>124</v>
      </c>
      <c r="B43" s="183">
        <f>26429.2</f>
        <v>26429.200000000001</v>
      </c>
      <c r="C43" s="69" t="s">
        <v>31</v>
      </c>
      <c r="D43" s="119"/>
      <c r="E43" s="272" t="s">
        <v>33</v>
      </c>
      <c r="F43" s="273">
        <v>1264951.0900000001</v>
      </c>
      <c r="G43" s="274">
        <f>F43/F48*B8</f>
        <v>5404.2112113949588</v>
      </c>
      <c r="H43" s="115"/>
      <c r="I43" s="137"/>
      <c r="J43" s="137"/>
    </row>
    <row r="44" spans="1:22" x14ac:dyDescent="0.25">
      <c r="A44" s="67" t="s">
        <v>34</v>
      </c>
      <c r="B44" s="160">
        <f>B45+B46+B48+B49+B50+B51+B52+B53+B54+B55+B56+B47+B57</f>
        <v>89889.748887166395</v>
      </c>
      <c r="C44" s="69" t="s">
        <v>31</v>
      </c>
      <c r="D44" s="119"/>
      <c r="E44" s="272" t="s">
        <v>35</v>
      </c>
      <c r="F44" s="273">
        <v>180000</v>
      </c>
      <c r="G44" s="274">
        <f>F44/F48*B8</f>
        <v>769.00840336134445</v>
      </c>
      <c r="H44" s="115"/>
      <c r="I44" s="137"/>
      <c r="J44" s="137"/>
    </row>
    <row r="45" spans="1:22" x14ac:dyDescent="0.25">
      <c r="A45" s="70" t="s">
        <v>76</v>
      </c>
      <c r="B45" s="184">
        <v>6274.07</v>
      </c>
      <c r="C45" s="71" t="s">
        <v>31</v>
      </c>
      <c r="D45" s="119"/>
      <c r="E45" s="272" t="s">
        <v>18</v>
      </c>
      <c r="F45" s="273">
        <f>299837.27</f>
        <v>299837.27</v>
      </c>
      <c r="G45" s="274">
        <f>F45/F48*B8</f>
        <v>1280.98544594958</v>
      </c>
      <c r="H45" s="115"/>
      <c r="I45" s="137"/>
      <c r="J45" s="137"/>
    </row>
    <row r="46" spans="1:22" x14ac:dyDescent="0.25">
      <c r="A46" s="72" t="s">
        <v>37</v>
      </c>
      <c r="B46" s="184">
        <f>(G42+G43)</f>
        <v>28956.065291899158</v>
      </c>
      <c r="C46" s="71" t="s">
        <v>31</v>
      </c>
      <c r="D46" s="119"/>
      <c r="E46" s="275" t="s">
        <v>38</v>
      </c>
      <c r="F46" s="273">
        <f>7000+1260+30890+4200</f>
        <v>43350</v>
      </c>
      <c r="G46" s="274">
        <f>F46/F48*B8</f>
        <v>185.20285714285711</v>
      </c>
      <c r="H46" s="115"/>
      <c r="I46" s="137"/>
      <c r="J46" s="137"/>
    </row>
    <row r="47" spans="1:22" x14ac:dyDescent="0.25">
      <c r="A47" s="72" t="s">
        <v>39</v>
      </c>
      <c r="B47" s="184">
        <v>5280</v>
      </c>
      <c r="C47" s="71" t="s">
        <v>31</v>
      </c>
      <c r="D47" s="119"/>
      <c r="E47" s="274" t="s">
        <v>12</v>
      </c>
      <c r="F47" s="273">
        <f>8022857.59-F46</f>
        <v>7979507.5899999999</v>
      </c>
      <c r="G47" s="274">
        <f>F47/F48*B8</f>
        <v>34090.602174420164</v>
      </c>
      <c r="H47" s="115"/>
      <c r="I47" s="137"/>
      <c r="J47" s="137"/>
    </row>
    <row r="48" spans="1:22" x14ac:dyDescent="0.25">
      <c r="A48" s="70" t="s">
        <v>40</v>
      </c>
      <c r="B48" s="184">
        <f>G46+1184.8</f>
        <v>1370.002857142857</v>
      </c>
      <c r="C48" s="71" t="s">
        <v>31</v>
      </c>
      <c r="D48" s="119"/>
      <c r="E48" s="276" t="s">
        <v>41</v>
      </c>
      <c r="F48" s="277">
        <f>119000</f>
        <v>119000</v>
      </c>
      <c r="G48" s="274"/>
      <c r="H48" s="115"/>
      <c r="I48" s="137"/>
      <c r="J48" s="137"/>
    </row>
    <row r="49" spans="1:10" x14ac:dyDescent="0.25">
      <c r="A49" s="70" t="s">
        <v>42</v>
      </c>
      <c r="B49" s="184">
        <f>G45</f>
        <v>1280.98544594958</v>
      </c>
      <c r="C49" s="71" t="s">
        <v>31</v>
      </c>
      <c r="D49" s="119"/>
      <c r="E49" s="278"/>
      <c r="F49" s="274"/>
      <c r="G49" s="274"/>
      <c r="H49" s="115"/>
      <c r="I49" s="137"/>
      <c r="J49" s="137"/>
    </row>
    <row r="50" spans="1:10" x14ac:dyDescent="0.25">
      <c r="A50" s="70" t="s">
        <v>141</v>
      </c>
      <c r="B50" s="184">
        <f>G47</f>
        <v>34090.602174420164</v>
      </c>
      <c r="C50" s="71" t="s">
        <v>31</v>
      </c>
      <c r="D50" s="119"/>
      <c r="E50" s="279" t="s">
        <v>70</v>
      </c>
      <c r="F50" s="277">
        <f>1910.32</f>
        <v>1910.32</v>
      </c>
      <c r="G50" s="279">
        <f>F50/F48*B8</f>
        <v>8.1614007394957984</v>
      </c>
      <c r="H50" s="115"/>
      <c r="I50" s="137"/>
      <c r="J50" s="137"/>
    </row>
    <row r="51" spans="1:10" x14ac:dyDescent="0.25">
      <c r="A51" s="70" t="s">
        <v>44</v>
      </c>
      <c r="B51" s="184">
        <f>F54/12*5.5</f>
        <v>0</v>
      </c>
      <c r="C51" s="71" t="s">
        <v>31</v>
      </c>
      <c r="D51" s="119"/>
      <c r="E51" s="119"/>
      <c r="F51" s="120"/>
      <c r="G51" s="121"/>
      <c r="H51" s="115"/>
      <c r="I51" s="137"/>
      <c r="J51" s="137"/>
    </row>
    <row r="52" spans="1:10" x14ac:dyDescent="0.25">
      <c r="A52" s="70" t="s">
        <v>45</v>
      </c>
      <c r="B52" s="184">
        <f>G50</f>
        <v>8.1614007394957984</v>
      </c>
      <c r="C52" s="71" t="s">
        <v>31</v>
      </c>
      <c r="D52" s="119"/>
      <c r="E52" s="119" t="s">
        <v>125</v>
      </c>
      <c r="F52" s="280">
        <f>16429.6</f>
        <v>16429.599999999999</v>
      </c>
      <c r="G52" s="279">
        <f>F52/F48*B8</f>
        <v>70.191669243697461</v>
      </c>
      <c r="H52" s="115"/>
      <c r="I52" s="137"/>
      <c r="J52" s="137"/>
    </row>
    <row r="53" spans="1:10" x14ac:dyDescent="0.25">
      <c r="A53" s="70" t="s">
        <v>46</v>
      </c>
      <c r="B53" s="184">
        <f>3374.4</f>
        <v>3374.4</v>
      </c>
      <c r="C53" s="71" t="s">
        <v>31</v>
      </c>
      <c r="D53" s="119"/>
      <c r="E53" s="119"/>
      <c r="F53" s="120"/>
      <c r="G53" s="121"/>
      <c r="H53" s="115"/>
      <c r="I53" s="137"/>
      <c r="J53" s="137"/>
    </row>
    <row r="54" spans="1:10" x14ac:dyDescent="0.25">
      <c r="A54" s="70" t="s">
        <v>47</v>
      </c>
      <c r="B54" s="184"/>
      <c r="C54" s="71" t="s">
        <v>31</v>
      </c>
      <c r="D54" s="56"/>
      <c r="E54" s="56"/>
      <c r="F54" s="156"/>
      <c r="G54" s="157"/>
      <c r="H54" s="137"/>
      <c r="I54" s="137"/>
      <c r="J54" s="137"/>
    </row>
    <row r="55" spans="1:10" x14ac:dyDescent="0.25">
      <c r="A55" s="70" t="s">
        <v>48</v>
      </c>
      <c r="B55" s="184">
        <f>1819.44</f>
        <v>1819.44</v>
      </c>
      <c r="C55" s="71" t="s">
        <v>31</v>
      </c>
      <c r="D55" s="56"/>
      <c r="E55" s="56"/>
      <c r="F55" s="136"/>
      <c r="G55" s="137"/>
      <c r="H55" s="137"/>
      <c r="I55" s="137"/>
      <c r="J55" s="137"/>
    </row>
    <row r="56" spans="1:10" x14ac:dyDescent="0.25">
      <c r="A56" s="70" t="s">
        <v>49</v>
      </c>
      <c r="B56" s="184">
        <f>(B46+B47+B48+B49+B50+B52+B53+B54)*0.1</f>
        <v>7436.0217170151263</v>
      </c>
      <c r="C56" s="71" t="s">
        <v>31</v>
      </c>
      <c r="D56" s="101"/>
      <c r="E56" s="101"/>
      <c r="F56" s="125"/>
      <c r="G56" s="97"/>
      <c r="H56" s="97"/>
      <c r="I56" s="97"/>
      <c r="J56" s="137"/>
    </row>
    <row r="57" spans="1:10" x14ac:dyDescent="0.25">
      <c r="A57" s="70" t="s">
        <v>103</v>
      </c>
      <c r="B57" s="184"/>
      <c r="C57" s="71" t="s">
        <v>31</v>
      </c>
      <c r="D57" s="119"/>
      <c r="E57" s="119"/>
      <c r="F57" s="138"/>
      <c r="G57" s="115"/>
      <c r="H57" s="137"/>
      <c r="I57" s="97"/>
      <c r="J57" s="137"/>
    </row>
    <row r="58" spans="1:10" x14ac:dyDescent="0.25">
      <c r="A58" s="67" t="s">
        <v>50</v>
      </c>
      <c r="B58" s="160">
        <f>C81</f>
        <v>18066</v>
      </c>
      <c r="C58" s="69" t="s">
        <v>31</v>
      </c>
      <c r="D58" s="122"/>
      <c r="E58" s="122"/>
      <c r="F58" s="123"/>
      <c r="G58" s="124"/>
      <c r="H58" s="124"/>
      <c r="I58" s="97"/>
      <c r="J58" s="137"/>
    </row>
    <row r="59" spans="1:10" x14ac:dyDescent="0.25">
      <c r="A59" s="67" t="s">
        <v>51</v>
      </c>
      <c r="B59" s="160"/>
      <c r="C59" s="69" t="s">
        <v>31</v>
      </c>
      <c r="D59" s="122"/>
      <c r="E59" s="122"/>
      <c r="F59" s="123"/>
      <c r="G59" s="124"/>
      <c r="H59" s="124"/>
      <c r="I59" s="97"/>
      <c r="J59" s="137"/>
    </row>
    <row r="60" spans="1:10" x14ac:dyDescent="0.25">
      <c r="A60" s="67" t="s">
        <v>52</v>
      </c>
      <c r="B60" s="160">
        <f>26429.2+18418.62</f>
        <v>44847.82</v>
      </c>
      <c r="C60" s="69" t="s">
        <v>31</v>
      </c>
      <c r="D60" s="56"/>
      <c r="E60" s="56"/>
      <c r="F60" s="3"/>
      <c r="I60" s="97"/>
      <c r="J60" s="137"/>
    </row>
    <row r="61" spans="1:10" x14ac:dyDescent="0.25">
      <c r="A61" s="67" t="s">
        <v>53</v>
      </c>
      <c r="B61" s="160"/>
      <c r="C61" s="69" t="s">
        <v>54</v>
      </c>
      <c r="D61" s="56"/>
      <c r="E61" s="56"/>
      <c r="F61" s="3"/>
      <c r="I61" s="97"/>
      <c r="J61" s="137"/>
    </row>
    <row r="62" spans="1:10" x14ac:dyDescent="0.25">
      <c r="A62" s="133" t="s">
        <v>154</v>
      </c>
      <c r="B62" s="134">
        <f>C37/1.02</f>
        <v>0</v>
      </c>
      <c r="C62" s="135"/>
      <c r="D62" s="56"/>
      <c r="E62" s="56"/>
      <c r="F62" s="3"/>
      <c r="I62" s="97"/>
      <c r="J62" s="137"/>
    </row>
    <row r="63" spans="1:10" ht="15.75" thickBot="1" x14ac:dyDescent="0.3">
      <c r="A63" s="73" t="s">
        <v>78</v>
      </c>
      <c r="B63" s="74">
        <f>G44</f>
        <v>769.00840336134445</v>
      </c>
      <c r="C63" s="75" t="s">
        <v>31</v>
      </c>
      <c r="D63" s="56"/>
      <c r="E63" s="56"/>
      <c r="F63" s="3"/>
      <c r="I63" s="97"/>
      <c r="J63" s="137"/>
    </row>
    <row r="64" spans="1:10" x14ac:dyDescent="0.25">
      <c r="A64" s="59"/>
      <c r="B64" s="60"/>
      <c r="C64" s="56"/>
      <c r="D64" s="56"/>
      <c r="E64" s="56"/>
      <c r="F64" s="3"/>
      <c r="I64" s="97"/>
      <c r="J64" s="137"/>
    </row>
    <row r="65" spans="1:10" x14ac:dyDescent="0.25">
      <c r="A65" s="59" t="s">
        <v>142</v>
      </c>
      <c r="B65" s="143">
        <f>C39-C24+B43-B42</f>
        <v>23234.052709472278</v>
      </c>
      <c r="C65" s="56" t="s">
        <v>31</v>
      </c>
      <c r="D65" s="56"/>
      <c r="E65" s="56"/>
      <c r="F65" s="3"/>
      <c r="I65" s="97"/>
      <c r="J65" s="137"/>
    </row>
    <row r="66" spans="1:10" x14ac:dyDescent="0.25">
      <c r="A66" s="59" t="s">
        <v>130</v>
      </c>
      <c r="B66" s="2">
        <f>B67+B68+B69+B70+B71+B72</f>
        <v>-3195.1472905277478</v>
      </c>
      <c r="C66" s="56" t="s">
        <v>31</v>
      </c>
      <c r="D66" s="56"/>
      <c r="E66" s="56"/>
      <c r="F66" s="3"/>
      <c r="I66" s="97"/>
      <c r="J66" s="137"/>
    </row>
    <row r="67" spans="1:10" x14ac:dyDescent="0.25">
      <c r="A67" s="77" t="s">
        <v>56</v>
      </c>
      <c r="B67" s="78">
        <f>C20-B44-B63</f>
        <v>-17815.277290527745</v>
      </c>
      <c r="C67" s="56" t="s">
        <v>31</v>
      </c>
      <c r="D67" s="56"/>
      <c r="E67" s="56"/>
      <c r="F67" s="3"/>
      <c r="I67" s="97"/>
      <c r="J67" s="137"/>
    </row>
    <row r="68" spans="1:10" x14ac:dyDescent="0.25">
      <c r="A68" s="77" t="s">
        <v>57</v>
      </c>
      <c r="B68" s="78">
        <f>C22-B58</f>
        <v>17135.879999999997</v>
      </c>
      <c r="C68" s="56" t="s">
        <v>31</v>
      </c>
      <c r="D68" s="56"/>
      <c r="E68" s="56"/>
      <c r="F68" s="3"/>
      <c r="I68" s="97"/>
      <c r="J68" s="137"/>
    </row>
    <row r="69" spans="1:10" x14ac:dyDescent="0.25">
      <c r="A69" s="77" t="s">
        <v>58</v>
      </c>
      <c r="B69" s="78">
        <f>C26-B59</f>
        <v>0</v>
      </c>
      <c r="C69" s="56" t="s">
        <v>31</v>
      </c>
      <c r="D69" s="56"/>
      <c r="E69" s="56"/>
      <c r="F69" s="3"/>
      <c r="I69" s="97"/>
      <c r="J69" s="137"/>
    </row>
    <row r="70" spans="1:10" x14ac:dyDescent="0.25">
      <c r="A70" s="77" t="s">
        <v>59</v>
      </c>
      <c r="B70" s="78">
        <f>C28-B60</f>
        <v>-2515.75</v>
      </c>
      <c r="C70" s="56" t="s">
        <v>31</v>
      </c>
      <c r="D70" s="56"/>
      <c r="E70" s="56"/>
      <c r="F70" s="3"/>
      <c r="I70" s="97"/>
      <c r="J70" s="137"/>
    </row>
    <row r="71" spans="1:10" x14ac:dyDescent="0.25">
      <c r="A71" s="77" t="s">
        <v>60</v>
      </c>
      <c r="B71" s="78">
        <f>C35-B61</f>
        <v>0</v>
      </c>
      <c r="C71" s="56" t="s">
        <v>31</v>
      </c>
      <c r="D71" s="56"/>
      <c r="E71" s="56"/>
      <c r="F71" s="3"/>
      <c r="I71" s="97"/>
      <c r="J71" s="137"/>
    </row>
    <row r="72" spans="1:10" x14ac:dyDescent="0.25">
      <c r="A72" s="77" t="s">
        <v>157</v>
      </c>
      <c r="B72" s="78">
        <f>C37-B62</f>
        <v>0</v>
      </c>
      <c r="C72" s="56" t="s">
        <v>31</v>
      </c>
      <c r="I72" s="97"/>
      <c r="J72" s="137"/>
    </row>
    <row r="73" spans="1:10" ht="15.75" thickBot="1" x14ac:dyDescent="0.3">
      <c r="A73" s="77"/>
      <c r="B73" s="78"/>
      <c r="C73" s="56"/>
      <c r="D73" s="98"/>
      <c r="E73" s="99"/>
      <c r="F73" s="100"/>
      <c r="G73" s="97"/>
      <c r="I73" s="97"/>
      <c r="J73" s="137"/>
    </row>
    <row r="74" spans="1:10" ht="15.75" thickBot="1" x14ac:dyDescent="0.3">
      <c r="A74" s="128" t="s">
        <v>146</v>
      </c>
      <c r="B74" s="129"/>
      <c r="C74" s="130"/>
      <c r="D74" s="101"/>
      <c r="E74" s="101"/>
      <c r="F74" s="101"/>
      <c r="G74" s="97"/>
      <c r="I74" s="97"/>
      <c r="J74" s="137"/>
    </row>
    <row r="75" spans="1:10" ht="51.75" thickBot="1" x14ac:dyDescent="0.3">
      <c r="A75" s="79" t="s">
        <v>80</v>
      </c>
      <c r="B75" s="80" t="s">
        <v>61</v>
      </c>
      <c r="C75" s="81" t="s">
        <v>67</v>
      </c>
      <c r="D75" s="102"/>
      <c r="E75" s="103"/>
      <c r="F75" s="104"/>
      <c r="G75" s="97"/>
      <c r="I75" s="97"/>
      <c r="J75" s="137"/>
    </row>
    <row r="76" spans="1:10" x14ac:dyDescent="0.25">
      <c r="A76" s="82" t="s">
        <v>62</v>
      </c>
      <c r="B76" s="113" t="s">
        <v>31</v>
      </c>
      <c r="C76" s="114" t="s">
        <v>31</v>
      </c>
      <c r="D76" s="102"/>
      <c r="E76" s="103"/>
      <c r="F76" s="104"/>
      <c r="G76" s="97"/>
      <c r="I76" s="97"/>
      <c r="J76" s="137"/>
    </row>
    <row r="77" spans="1:10" x14ac:dyDescent="0.25">
      <c r="A77" s="148" t="s">
        <v>203</v>
      </c>
      <c r="B77" s="43"/>
      <c r="C77" s="107">
        <v>18066</v>
      </c>
      <c r="D77" s="102"/>
      <c r="E77" s="103"/>
      <c r="F77" s="104"/>
      <c r="G77" s="97"/>
      <c r="I77" s="97"/>
      <c r="J77" s="137"/>
    </row>
    <row r="78" spans="1:10" hidden="1" x14ac:dyDescent="0.25">
      <c r="A78" s="155"/>
      <c r="B78" s="43"/>
      <c r="C78" s="107"/>
      <c r="D78" s="102"/>
      <c r="E78" s="103"/>
      <c r="F78" s="104"/>
      <c r="G78" s="97"/>
      <c r="I78" s="97"/>
      <c r="J78" s="137"/>
    </row>
    <row r="79" spans="1:10" hidden="1" x14ac:dyDescent="0.25">
      <c r="A79" s="155"/>
      <c r="B79" s="43"/>
      <c r="C79" s="107"/>
      <c r="D79" s="102"/>
      <c r="E79" s="103"/>
      <c r="F79" s="104"/>
      <c r="G79" s="97"/>
      <c r="I79" s="97"/>
      <c r="J79" s="137"/>
    </row>
    <row r="80" spans="1:10" hidden="1" x14ac:dyDescent="0.25">
      <c r="A80" s="53"/>
      <c r="B80" s="43"/>
      <c r="C80" s="107"/>
      <c r="D80" s="102"/>
      <c r="E80" s="103"/>
      <c r="F80" s="104"/>
      <c r="G80" s="97"/>
      <c r="I80" s="97"/>
      <c r="J80" s="137"/>
    </row>
    <row r="81" spans="1:10" ht="15.75" thickBot="1" x14ac:dyDescent="0.3">
      <c r="A81" s="145" t="s">
        <v>5</v>
      </c>
      <c r="B81" s="146">
        <f>B77</f>
        <v>0</v>
      </c>
      <c r="C81" s="147">
        <f>C77+C78+C79+C80</f>
        <v>18066</v>
      </c>
      <c r="D81" s="105"/>
      <c r="E81" s="103"/>
      <c r="F81" s="104"/>
      <c r="G81" s="97"/>
      <c r="I81" s="97"/>
      <c r="J81" s="137"/>
    </row>
    <row r="82" spans="1:10" x14ac:dyDescent="0.25">
      <c r="A82" s="91"/>
      <c r="B82" s="92"/>
      <c r="C82" s="87"/>
      <c r="D82" s="88"/>
      <c r="E82" s="89"/>
      <c r="I82" s="97"/>
      <c r="J82" s="137"/>
    </row>
    <row r="83" spans="1:10" x14ac:dyDescent="0.25">
      <c r="A83" s="164" t="s">
        <v>132</v>
      </c>
      <c r="B83" s="149"/>
      <c r="C83" s="215"/>
      <c r="D83" s="216"/>
      <c r="E83" s="89"/>
    </row>
    <row r="84" spans="1:10" x14ac:dyDescent="0.25">
      <c r="A84" s="217"/>
      <c r="B84" s="149"/>
      <c r="C84" s="215"/>
      <c r="D84" s="218"/>
      <c r="E84" s="89"/>
    </row>
    <row r="85" spans="1:10" x14ac:dyDescent="0.25">
      <c r="A85" s="165" t="s">
        <v>133</v>
      </c>
      <c r="B85" s="149" t="s">
        <v>134</v>
      </c>
      <c r="C85" s="219"/>
      <c r="D85" s="216"/>
      <c r="E85" s="56"/>
    </row>
    <row r="86" spans="1:10" x14ac:dyDescent="0.25">
      <c r="A86" s="165"/>
      <c r="B86" s="149"/>
      <c r="C86" s="219"/>
      <c r="D86" s="216"/>
      <c r="E86" s="56"/>
    </row>
    <row r="87" spans="1:10" x14ac:dyDescent="0.25">
      <c r="A87" s="220"/>
      <c r="B87" s="221"/>
      <c r="C87" s="219"/>
      <c r="D87" s="150"/>
      <c r="E87" s="89"/>
    </row>
    <row r="88" spans="1:10" ht="15.75" x14ac:dyDescent="0.25">
      <c r="A88" s="223" t="s">
        <v>63</v>
      </c>
      <c r="B88" s="224" t="s">
        <v>134</v>
      </c>
      <c r="C88" s="225"/>
      <c r="D88" s="226" t="s">
        <v>66</v>
      </c>
      <c r="E88" s="89"/>
    </row>
    <row r="89" spans="1:10" x14ac:dyDescent="0.25">
      <c r="A89" s="95"/>
      <c r="B89" s="96"/>
      <c r="C89" s="89"/>
      <c r="D89" s="93"/>
      <c r="E89" s="89"/>
    </row>
    <row r="90" spans="1:10" x14ac:dyDescent="0.25">
      <c r="A90" s="95"/>
      <c r="B90" s="96"/>
      <c r="C90" s="89"/>
      <c r="D90" s="93"/>
      <c r="E90" s="89"/>
    </row>
    <row r="91" spans="1:10" x14ac:dyDescent="0.25">
      <c r="A91" s="95"/>
      <c r="B91" s="96"/>
      <c r="C91" s="89"/>
      <c r="D91" s="93"/>
      <c r="E91" s="89"/>
      <c r="F91" s="94"/>
    </row>
    <row r="92" spans="1:10" x14ac:dyDescent="0.25">
      <c r="A92" s="31"/>
      <c r="B92" s="33"/>
      <c r="C92" s="89"/>
      <c r="D92" s="93"/>
      <c r="E92" s="89"/>
    </row>
    <row r="93" spans="1:10" x14ac:dyDescent="0.25">
      <c r="A93" s="31"/>
      <c r="B93" s="33"/>
      <c r="C93" s="56"/>
      <c r="D93" s="87"/>
      <c r="E93" s="89"/>
    </row>
    <row r="94" spans="1:10" x14ac:dyDescent="0.25">
      <c r="A94" s="19"/>
      <c r="B94" s="20"/>
      <c r="C94" s="89"/>
      <c r="D94" s="87"/>
      <c r="E94" s="89"/>
    </row>
    <row r="95" spans="1:10" x14ac:dyDescent="0.25">
      <c r="A95" s="31"/>
      <c r="B95" s="33"/>
      <c r="C95" s="89"/>
      <c r="D95" s="56"/>
      <c r="E95" s="56"/>
      <c r="F95" s="3"/>
    </row>
    <row r="96" spans="1:10" x14ac:dyDescent="0.25">
      <c r="A96" s="31"/>
      <c r="B96" s="33"/>
      <c r="C96" s="33"/>
      <c r="D96" s="56"/>
      <c r="E96" s="89"/>
    </row>
    <row r="97" spans="1:6" x14ac:dyDescent="0.25">
      <c r="A97" s="31"/>
      <c r="B97" s="33"/>
      <c r="C97" s="33"/>
      <c r="D97" s="56"/>
      <c r="E97" s="56"/>
    </row>
    <row r="98" spans="1:6" x14ac:dyDescent="0.25">
      <c r="A98" s="31"/>
      <c r="B98" s="33"/>
      <c r="C98" s="33"/>
      <c r="D98" s="89"/>
      <c r="E98" s="89"/>
    </row>
    <row r="99" spans="1:6" x14ac:dyDescent="0.25">
      <c r="A99" s="31"/>
      <c r="B99" s="33"/>
      <c r="D99" s="89"/>
      <c r="E99" s="89"/>
    </row>
    <row r="100" spans="1:6" x14ac:dyDescent="0.25">
      <c r="D100" s="89"/>
      <c r="E100" s="89"/>
    </row>
    <row r="101" spans="1:6" x14ac:dyDescent="0.25">
      <c r="D101" s="89"/>
      <c r="E101" s="89"/>
    </row>
    <row r="102" spans="1:6" x14ac:dyDescent="0.25">
      <c r="D102" s="89"/>
      <c r="E102" s="89"/>
    </row>
    <row r="103" spans="1:6" x14ac:dyDescent="0.25">
      <c r="D103" s="89"/>
      <c r="E103" s="89"/>
    </row>
    <row r="104" spans="1:6" x14ac:dyDescent="0.25">
      <c r="B104"/>
      <c r="C104"/>
      <c r="D104" s="56"/>
      <c r="E104" s="56"/>
      <c r="F104" s="3"/>
    </row>
    <row r="105" spans="1:6" x14ac:dyDescent="0.25">
      <c r="B105"/>
      <c r="C105"/>
      <c r="D105" s="89"/>
      <c r="E105" s="89"/>
      <c r="F105" s="3"/>
    </row>
    <row r="106" spans="1:6" x14ac:dyDescent="0.25">
      <c r="B106"/>
      <c r="C106"/>
      <c r="D106" s="89"/>
      <c r="E106" s="89"/>
    </row>
    <row r="107" spans="1:6" x14ac:dyDescent="0.25">
      <c r="B107"/>
      <c r="C107"/>
      <c r="D107" s="33"/>
      <c r="E107" s="33"/>
    </row>
    <row r="108" spans="1:6" x14ac:dyDescent="0.25">
      <c r="B108"/>
      <c r="C108"/>
      <c r="D108" s="33"/>
      <c r="E108" s="33"/>
    </row>
    <row r="109" spans="1:6" x14ac:dyDescent="0.25">
      <c r="D109" s="33"/>
      <c r="E109" s="33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V100"/>
  <sheetViews>
    <sheetView view="pageBreakPreview" topLeftCell="A53" zoomScale="60" zoomScaleNormal="100" workbookViewId="0">
      <selection activeCell="D35" sqref="D35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4.85546875" style="3" customWidth="1"/>
    <col min="5" max="5" width="17.570312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201</v>
      </c>
      <c r="B2" s="2"/>
      <c r="C2" s="2"/>
      <c r="D2" s="20"/>
    </row>
    <row r="3" spans="1:22" ht="15.75" thickBot="1" x14ac:dyDescent="0.3">
      <c r="A3" s="1"/>
      <c r="B3" s="2"/>
      <c r="C3" s="2"/>
      <c r="D3" s="20"/>
      <c r="L3" s="108"/>
      <c r="M3" s="108"/>
      <c r="N3" s="108"/>
      <c r="O3" s="108"/>
    </row>
    <row r="4" spans="1:22" ht="15.75" thickBot="1" x14ac:dyDescent="0.3">
      <c r="A4" s="22" t="s">
        <v>0</v>
      </c>
      <c r="B4" s="202"/>
      <c r="C4" s="203"/>
      <c r="D4" s="208"/>
      <c r="E4" s="125"/>
      <c r="L4" s="108"/>
      <c r="M4" s="108"/>
      <c r="N4" s="108"/>
      <c r="O4" s="108"/>
    </row>
    <row r="5" spans="1:22" ht="40.5" customHeight="1" thickBot="1" x14ac:dyDescent="0.3">
      <c r="A5" s="6" t="s">
        <v>1</v>
      </c>
      <c r="B5" s="8" t="s">
        <v>2</v>
      </c>
      <c r="C5" s="9" t="s">
        <v>3</v>
      </c>
      <c r="D5" s="131"/>
      <c r="E5" s="97"/>
      <c r="K5" s="108"/>
      <c r="L5" s="108"/>
      <c r="M5" s="108"/>
      <c r="N5" s="108"/>
    </row>
    <row r="6" spans="1:22" ht="15.75" thickBot="1" x14ac:dyDescent="0.3">
      <c r="A6" s="151" t="s">
        <v>110</v>
      </c>
      <c r="B6" s="153">
        <v>661.34</v>
      </c>
      <c r="C6" s="154"/>
      <c r="D6" s="125"/>
      <c r="E6" s="97"/>
      <c r="K6" s="108"/>
      <c r="L6" s="108"/>
      <c r="M6" s="108"/>
      <c r="N6" s="108"/>
    </row>
    <row r="7" spans="1:22" x14ac:dyDescent="0.25">
      <c r="A7" s="10"/>
      <c r="B7" s="86"/>
      <c r="C7" s="152"/>
      <c r="D7" s="125"/>
      <c r="E7" s="97"/>
      <c r="K7" s="108"/>
      <c r="L7" s="108"/>
      <c r="M7" s="108"/>
      <c r="N7" s="108"/>
    </row>
    <row r="8" spans="1:22" ht="15.75" thickBot="1" x14ac:dyDescent="0.3">
      <c r="A8" s="16" t="s">
        <v>5</v>
      </c>
      <c r="B8" s="17">
        <f>B6+B7</f>
        <v>661.34</v>
      </c>
      <c r="C8" s="18">
        <v>26</v>
      </c>
      <c r="D8" s="125"/>
      <c r="E8" s="97"/>
      <c r="K8" s="108"/>
      <c r="L8" s="108"/>
      <c r="M8" s="108"/>
      <c r="N8" s="108"/>
    </row>
    <row r="9" spans="1:22" ht="15.75" thickBot="1" x14ac:dyDescent="0.3">
      <c r="A9" s="194"/>
      <c r="B9" s="106"/>
      <c r="C9" s="106"/>
      <c r="D9" s="195"/>
      <c r="E9" s="125"/>
      <c r="L9" s="108"/>
      <c r="M9" s="108"/>
      <c r="N9" s="108"/>
      <c r="O9" s="108"/>
    </row>
    <row r="10" spans="1:22" ht="15.75" thickBot="1" x14ac:dyDescent="0.3">
      <c r="A10" s="22" t="s">
        <v>112</v>
      </c>
      <c r="B10" s="23"/>
      <c r="C10" s="23"/>
      <c r="D10" s="24" t="s">
        <v>6</v>
      </c>
      <c r="E10" s="125"/>
      <c r="F10" s="97"/>
      <c r="G10" s="97"/>
      <c r="H10" s="97"/>
      <c r="I10" s="97"/>
      <c r="J10" s="97"/>
      <c r="K10" s="97"/>
      <c r="L10" s="108"/>
      <c r="M10" s="108"/>
      <c r="N10" s="108"/>
      <c r="O10" s="108"/>
    </row>
    <row r="11" spans="1:22" x14ac:dyDescent="0.25">
      <c r="A11" s="25" t="s">
        <v>7</v>
      </c>
      <c r="B11" s="20"/>
      <c r="C11" s="20"/>
      <c r="D11" s="27">
        <f>0.84+1.89+3.37+0.33+1.17+0.37+0.33+4.51</f>
        <v>12.809999999999999</v>
      </c>
      <c r="E11" s="125"/>
      <c r="F11" s="97"/>
      <c r="G11" s="97"/>
      <c r="H11" s="97"/>
      <c r="I11" s="97"/>
      <c r="J11" s="97"/>
      <c r="K11" s="97"/>
      <c r="L11" s="108"/>
      <c r="M11" s="108"/>
      <c r="N11" s="108"/>
      <c r="O11" s="108"/>
    </row>
    <row r="12" spans="1:22" x14ac:dyDescent="0.25">
      <c r="A12" s="25" t="s">
        <v>8</v>
      </c>
      <c r="B12" s="20"/>
      <c r="C12" s="20"/>
      <c r="D12" s="27"/>
      <c r="E12" s="125"/>
      <c r="F12" s="97"/>
      <c r="G12" s="97"/>
      <c r="H12" s="97"/>
      <c r="I12" s="97"/>
      <c r="J12" s="97"/>
      <c r="K12" s="97"/>
      <c r="L12" s="108"/>
      <c r="M12" s="108"/>
      <c r="N12" s="108"/>
      <c r="O12" s="108"/>
    </row>
    <row r="13" spans="1:22" x14ac:dyDescent="0.25">
      <c r="A13" s="25" t="s">
        <v>9</v>
      </c>
      <c r="B13" s="20"/>
      <c r="C13" s="20"/>
      <c r="D13" s="26"/>
      <c r="E13" s="125"/>
      <c r="F13" s="97"/>
      <c r="G13" s="97"/>
      <c r="H13" s="97"/>
      <c r="I13" s="97"/>
      <c r="J13" s="97"/>
      <c r="K13" s="97"/>
      <c r="L13" s="108"/>
      <c r="M13" s="108"/>
      <c r="N13" s="108"/>
      <c r="O13" s="108"/>
    </row>
    <row r="14" spans="1:22" ht="15.75" thickBot="1" x14ac:dyDescent="0.3">
      <c r="A14" s="28" t="s">
        <v>10</v>
      </c>
      <c r="B14" s="193"/>
      <c r="C14" s="193"/>
      <c r="D14" s="30">
        <v>0</v>
      </c>
      <c r="E14" s="125"/>
      <c r="F14" s="97"/>
      <c r="G14" s="97"/>
      <c r="H14" s="97"/>
      <c r="I14" s="97"/>
      <c r="J14" s="97"/>
      <c r="K14" s="97"/>
      <c r="L14" s="108"/>
      <c r="M14" s="108"/>
      <c r="N14" s="108"/>
      <c r="O14" s="108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209"/>
      <c r="B15" s="131"/>
      <c r="C15" s="131"/>
      <c r="D15" s="131"/>
      <c r="E15" s="125"/>
      <c r="F15" s="97"/>
      <c r="G15" s="97"/>
      <c r="H15" s="97"/>
      <c r="I15" s="97"/>
      <c r="J15" s="97"/>
      <c r="K15" s="97"/>
      <c r="L15" s="108"/>
      <c r="M15" s="108"/>
      <c r="N15" s="108"/>
      <c r="O15" s="108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113</v>
      </c>
      <c r="B16" s="206"/>
      <c r="C16" s="206"/>
      <c r="D16" s="206"/>
      <c r="E16" s="207"/>
      <c r="F16" s="97"/>
      <c r="G16" s="97"/>
      <c r="H16" s="97"/>
      <c r="I16" s="97"/>
      <c r="J16" s="97"/>
      <c r="K16" s="97"/>
      <c r="L16" s="108"/>
      <c r="M16" s="109"/>
      <c r="N16" s="109"/>
      <c r="O16" s="108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196"/>
      <c r="B17" s="131"/>
      <c r="C17" s="131"/>
      <c r="D17" s="131"/>
      <c r="E17" s="210"/>
      <c r="F17" s="97"/>
      <c r="G17" s="97"/>
      <c r="H17" s="97"/>
      <c r="I17" s="97"/>
      <c r="J17" s="97"/>
      <c r="K17" s="97"/>
      <c r="L17" s="109"/>
      <c r="M17" s="110"/>
      <c r="N17" s="109"/>
      <c r="O17" s="108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196"/>
      <c r="B18" s="131"/>
      <c r="C18" s="131"/>
      <c r="D18" s="131"/>
      <c r="E18" s="210"/>
      <c r="F18" s="97"/>
      <c r="G18" s="97"/>
      <c r="H18" s="97"/>
      <c r="I18" s="97"/>
      <c r="J18" s="97"/>
      <c r="K18" s="97"/>
      <c r="L18" s="108"/>
      <c r="M18" s="108"/>
      <c r="N18" s="108"/>
      <c r="O18" s="108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114</v>
      </c>
      <c r="C19" s="38" t="s">
        <v>115</v>
      </c>
      <c r="D19" s="38" t="s">
        <v>116</v>
      </c>
      <c r="E19" s="39" t="s">
        <v>117</v>
      </c>
      <c r="F19" s="97"/>
      <c r="G19" s="97"/>
      <c r="H19" s="97"/>
      <c r="I19" s="97"/>
      <c r="J19" s="97"/>
      <c r="K19" s="97"/>
      <c r="L19" s="108"/>
      <c r="M19" s="111"/>
      <c r="N19" s="111"/>
      <c r="O19" s="108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/>
      <c r="C20" s="41">
        <f>89963.04+15441.33</f>
        <v>105404.37</v>
      </c>
      <c r="D20" s="40">
        <f>72431.61+7351.49</f>
        <v>79783.100000000006</v>
      </c>
      <c r="E20" s="42">
        <f t="shared" ref="E20:E38" si="0">C20-D20+B20</f>
        <v>25621.26999999999</v>
      </c>
      <c r="F20" s="116">
        <f>C20+F22</f>
        <v>105404.37</v>
      </c>
      <c r="G20" s="117">
        <f>100</f>
        <v>100</v>
      </c>
      <c r="H20" s="115" t="s">
        <v>64</v>
      </c>
      <c r="I20" s="97"/>
      <c r="J20" s="97"/>
      <c r="K20" s="97"/>
      <c r="L20" s="108"/>
      <c r="M20" s="108"/>
      <c r="N20" s="108"/>
      <c r="O20" s="108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16"/>
      <c r="G21" s="117"/>
      <c r="H21" s="115"/>
      <c r="I21" s="97"/>
      <c r="J21" s="97"/>
      <c r="K21" s="97"/>
      <c r="L21" s="108"/>
      <c r="M21" s="108"/>
      <c r="N21" s="108"/>
      <c r="O21" s="108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/>
      <c r="C22" s="44"/>
      <c r="D22" s="43"/>
      <c r="E22" s="45">
        <f t="shared" si="0"/>
        <v>0</v>
      </c>
      <c r="F22" s="116">
        <f>C22</f>
        <v>0</v>
      </c>
      <c r="G22" s="118">
        <f>F22*G20/F20</f>
        <v>0</v>
      </c>
      <c r="H22" s="115" t="s">
        <v>64</v>
      </c>
      <c r="I22" s="97"/>
      <c r="J22" s="97"/>
      <c r="K22" s="97"/>
      <c r="L22" s="108"/>
      <c r="M22" s="108"/>
      <c r="N22" s="111"/>
      <c r="O22" s="108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97"/>
      <c r="G23" s="97"/>
      <c r="H23" s="97"/>
      <c r="I23" s="97"/>
      <c r="J23" s="97"/>
      <c r="K23" s="97"/>
      <c r="L23" s="108"/>
      <c r="M23" s="108"/>
      <c r="N23" s="108"/>
      <c r="O23" s="108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44"/>
      <c r="D24" s="44"/>
      <c r="E24" s="45">
        <f t="shared" si="0"/>
        <v>0</v>
      </c>
      <c r="F24" s="97"/>
      <c r="G24" s="97"/>
      <c r="H24" s="97"/>
      <c r="I24" s="97"/>
      <c r="J24" s="97"/>
      <c r="K24" s="97"/>
      <c r="L24" s="108"/>
      <c r="M24" s="108"/>
      <c r="N24" s="108"/>
      <c r="O24" s="108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97"/>
      <c r="G25" s="97"/>
      <c r="H25" s="97"/>
      <c r="I25" s="97"/>
      <c r="J25" s="97"/>
      <c r="K25" s="97"/>
      <c r="L25" s="108"/>
      <c r="M25" s="108"/>
      <c r="N25" s="108"/>
      <c r="O25" s="108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/>
      <c r="C26" s="44"/>
      <c r="D26" s="44"/>
      <c r="E26" s="45">
        <f t="shared" si="0"/>
        <v>0</v>
      </c>
      <c r="F26" s="97"/>
      <c r="G26" s="97"/>
      <c r="H26" s="97"/>
      <c r="I26" s="97"/>
      <c r="J26" s="97"/>
      <c r="K26" s="97"/>
      <c r="L26" s="108"/>
      <c r="M26" s="108"/>
      <c r="N26" s="108"/>
      <c r="O26" s="108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83</v>
      </c>
      <c r="B27" s="44"/>
      <c r="C27" s="44"/>
      <c r="D27" s="44"/>
      <c r="E27" s="45">
        <f t="shared" si="0"/>
        <v>0</v>
      </c>
      <c r="F27" s="97"/>
      <c r="G27" s="97"/>
      <c r="H27" s="97"/>
      <c r="I27" s="97"/>
      <c r="J27" s="97"/>
      <c r="K27" s="97"/>
      <c r="L27" s="108"/>
      <c r="M27" s="108"/>
      <c r="N27" s="108"/>
      <c r="O27" s="108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0</v>
      </c>
      <c r="C28" s="50">
        <f>C29+C30+C31+C33+C32</f>
        <v>356123.31000000006</v>
      </c>
      <c r="D28" s="50">
        <f>D29+D30+D31+D33+D32</f>
        <v>265798.11</v>
      </c>
      <c r="E28" s="51">
        <f>C28-D28+B28</f>
        <v>90325.20000000007</v>
      </c>
      <c r="F28" s="97"/>
      <c r="G28" s="97"/>
      <c r="H28" s="97"/>
      <c r="I28" s="97"/>
      <c r="J28" s="97"/>
      <c r="K28" s="97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204" t="s">
        <v>22</v>
      </c>
      <c r="B29" s="40"/>
      <c r="C29" s="40">
        <f>189039.07+33184.47</f>
        <v>222223.54</v>
      </c>
      <c r="D29" s="40">
        <f>151714.72+15831.09</f>
        <v>167545.81</v>
      </c>
      <c r="E29" s="42">
        <f t="shared" si="0"/>
        <v>54677.73000000001</v>
      </c>
      <c r="F29" s="97"/>
      <c r="G29" s="97"/>
      <c r="H29" s="97"/>
      <c r="I29" s="97"/>
      <c r="J29" s="97"/>
      <c r="K29" s="97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205" t="s">
        <v>23</v>
      </c>
      <c r="B30" s="43"/>
      <c r="C30" s="43">
        <f>2312.19+67358.51+13058.48+952.32</f>
        <v>83681.5</v>
      </c>
      <c r="D30" s="43">
        <f>2260.8+0.02+51188.29+5390.95+3123.49+77.21</f>
        <v>62040.759999999995</v>
      </c>
      <c r="E30" s="45">
        <f t="shared" si="0"/>
        <v>21640.740000000005</v>
      </c>
      <c r="F30" s="97"/>
      <c r="G30" s="97"/>
      <c r="H30" s="97"/>
      <c r="I30" s="97"/>
      <c r="J30" s="97"/>
      <c r="K30" s="97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205" t="s">
        <v>24</v>
      </c>
      <c r="B31" s="43"/>
      <c r="C31" s="43">
        <f>15408.98+2946.9+134.94</f>
        <v>18490.82</v>
      </c>
      <c r="D31" s="43">
        <f>11830.43+1206.24+457.25+10.94</f>
        <v>13504.86</v>
      </c>
      <c r="E31" s="45">
        <f t="shared" si="0"/>
        <v>4985.9599999999991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205" t="s">
        <v>90</v>
      </c>
      <c r="B32" s="43"/>
      <c r="C32" s="43"/>
      <c r="D32" s="43"/>
      <c r="E32" s="45">
        <f t="shared" si="0"/>
        <v>0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205" t="s">
        <v>25</v>
      </c>
      <c r="B33" s="43"/>
      <c r="C33" s="43">
        <f t="shared" ref="C33:C34" si="1">26420.68+5306.77</f>
        <v>31727.45</v>
      </c>
      <c r="D33" s="43">
        <f t="shared" ref="D33:D34" si="2">20600.23+2106.45</f>
        <v>22706.68</v>
      </c>
      <c r="E33" s="45">
        <f t="shared" si="0"/>
        <v>9020.77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205"/>
      <c r="B34" s="43"/>
      <c r="C34" s="43">
        <f t="shared" si="1"/>
        <v>31727.45</v>
      </c>
      <c r="D34" s="43">
        <f t="shared" si="2"/>
        <v>22706.68</v>
      </c>
      <c r="E34" s="45">
        <f t="shared" si="0"/>
        <v>9020.77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74</v>
      </c>
      <c r="B35" s="186"/>
      <c r="C35" s="55"/>
      <c r="D35" s="55"/>
      <c r="E35" s="45">
        <f t="shared" si="0"/>
        <v>0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155</v>
      </c>
      <c r="B37" s="44"/>
      <c r="C37" s="44"/>
      <c r="D37" s="44"/>
      <c r="E37" s="45">
        <f t="shared" si="0"/>
        <v>0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/>
      <c r="C38" s="46"/>
      <c r="D38" s="46"/>
      <c r="E38" s="47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0</v>
      </c>
      <c r="C39" s="58">
        <f>C20+C21+C22+C23+C24+C25+C26+C28+C35+C36+C37+C38</f>
        <v>461527.68000000005</v>
      </c>
      <c r="D39" s="58">
        <f>D20+D21+D22+D23+D24+D25+D26+D28+D35+D36+D37+D38+D27</f>
        <v>345581.20999999996</v>
      </c>
      <c r="E39" s="58">
        <f>E20+E21+E22+E23+E24+E25+E26+E28+E35+E36+E37+E38+E27</f>
        <v>115946.47000000006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59"/>
      <c r="B40" s="60"/>
      <c r="C40" s="56"/>
      <c r="D40" s="122"/>
      <c r="E40" s="122"/>
      <c r="F40" s="123"/>
      <c r="G40" s="124"/>
      <c r="H40" s="124"/>
      <c r="I40" s="124"/>
      <c r="J40" s="137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59"/>
      <c r="B41" s="60"/>
      <c r="C41" s="56"/>
      <c r="D41" s="119"/>
      <c r="E41" s="119"/>
      <c r="F41" s="138"/>
      <c r="G41" s="115"/>
      <c r="H41" s="115"/>
      <c r="I41" s="97"/>
      <c r="J41" s="137"/>
    </row>
    <row r="42" spans="1:22" ht="15.75" thickBot="1" x14ac:dyDescent="0.3">
      <c r="A42" s="61" t="s">
        <v>30</v>
      </c>
      <c r="B42" s="62">
        <f>B44+B60+B61+B58+B63+B59+B62</f>
        <v>379702.3683242629</v>
      </c>
      <c r="C42" s="63" t="s">
        <v>31</v>
      </c>
      <c r="D42" s="119">
        <f>C39-B42-B63</f>
        <v>80824.965457249753</v>
      </c>
      <c r="E42" s="272" t="s">
        <v>32</v>
      </c>
      <c r="F42" s="273">
        <v>5512727.4500000002</v>
      </c>
      <c r="G42" s="274">
        <f>F42/F48*B8</f>
        <v>30636.866989773109</v>
      </c>
      <c r="H42" s="115"/>
      <c r="I42" s="97"/>
      <c r="J42" s="137"/>
    </row>
    <row r="43" spans="1:22" x14ac:dyDescent="0.25">
      <c r="A43" s="64"/>
      <c r="B43" s="183"/>
      <c r="C43" s="69" t="s">
        <v>31</v>
      </c>
      <c r="D43" s="119"/>
      <c r="E43" s="272" t="s">
        <v>33</v>
      </c>
      <c r="F43" s="273">
        <v>1264951.0900000001</v>
      </c>
      <c r="G43" s="274">
        <f>F43/F48*B8</f>
        <v>7029.9391080722698</v>
      </c>
      <c r="H43" s="115"/>
      <c r="I43" s="97"/>
      <c r="J43" s="137"/>
    </row>
    <row r="44" spans="1:22" x14ac:dyDescent="0.25">
      <c r="A44" s="67" t="s">
        <v>34</v>
      </c>
      <c r="B44" s="160">
        <f>B45+B46+B48+B49+B50+B51+B52+B53+B54+B55+B56+B47+B57</f>
        <v>102377.06210577546</v>
      </c>
      <c r="C44" s="69" t="s">
        <v>31</v>
      </c>
      <c r="D44" s="119"/>
      <c r="E44" s="272" t="s">
        <v>35</v>
      </c>
      <c r="F44" s="273">
        <v>180000</v>
      </c>
      <c r="G44" s="274">
        <f>F44/F48*B8</f>
        <v>1000.3462184873949</v>
      </c>
      <c r="H44" s="115"/>
      <c r="I44" s="97"/>
      <c r="J44" s="137"/>
    </row>
    <row r="45" spans="1:22" x14ac:dyDescent="0.25">
      <c r="A45" s="70" t="s">
        <v>76</v>
      </c>
      <c r="B45" s="184">
        <v>7135.68</v>
      </c>
      <c r="C45" s="71" t="s">
        <v>31</v>
      </c>
      <c r="D45" s="119"/>
      <c r="E45" s="272" t="s">
        <v>18</v>
      </c>
      <c r="F45" s="273">
        <f>299837.27</f>
        <v>299837.27</v>
      </c>
      <c r="G45" s="274">
        <f>F45/F48*B8</f>
        <v>1666.3393289226894</v>
      </c>
      <c r="H45" s="115"/>
      <c r="I45" s="97"/>
      <c r="J45" s="137"/>
    </row>
    <row r="46" spans="1:22" x14ac:dyDescent="0.25">
      <c r="A46" s="72" t="s">
        <v>37</v>
      </c>
      <c r="B46" s="184">
        <f>(G42+G43)</f>
        <v>37666.80609784538</v>
      </c>
      <c r="C46" s="71" t="s">
        <v>31</v>
      </c>
      <c r="D46" s="119"/>
      <c r="E46" s="275" t="s">
        <v>38</v>
      </c>
      <c r="F46" s="273">
        <f>7000+1260+30890+4200</f>
        <v>43350</v>
      </c>
      <c r="G46" s="274">
        <f>F46/F48*B8</f>
        <v>240.91671428571428</v>
      </c>
      <c r="H46" s="115"/>
      <c r="I46" s="97"/>
      <c r="J46" s="137"/>
    </row>
    <row r="47" spans="1:22" x14ac:dyDescent="0.25">
      <c r="A47" s="72" t="s">
        <v>39</v>
      </c>
      <c r="B47" s="184"/>
      <c r="C47" s="71" t="s">
        <v>31</v>
      </c>
      <c r="D47" s="119"/>
      <c r="E47" s="274" t="s">
        <v>12</v>
      </c>
      <c r="F47" s="273">
        <f>8022857.59-F46</f>
        <v>7979507.5899999999</v>
      </c>
      <c r="G47" s="274">
        <f>F47/F48*B8</f>
        <v>44345.945794710926</v>
      </c>
      <c r="H47" s="115"/>
      <c r="I47" s="97"/>
      <c r="J47" s="137"/>
    </row>
    <row r="48" spans="1:22" x14ac:dyDescent="0.25">
      <c r="A48" s="70" t="s">
        <v>40</v>
      </c>
      <c r="B48" s="184">
        <f>G46+746.78</f>
        <v>987.69671428571428</v>
      </c>
      <c r="C48" s="71" t="s">
        <v>31</v>
      </c>
      <c r="D48" s="119"/>
      <c r="E48" s="276" t="s">
        <v>41</v>
      </c>
      <c r="F48" s="277">
        <f>119000</f>
        <v>119000</v>
      </c>
      <c r="G48" s="274"/>
      <c r="H48" s="115"/>
      <c r="I48" s="97"/>
      <c r="J48" s="137"/>
    </row>
    <row r="49" spans="1:10" x14ac:dyDescent="0.25">
      <c r="A49" s="70" t="s">
        <v>42</v>
      </c>
      <c r="B49" s="184">
        <f>G45</f>
        <v>1666.3393289226894</v>
      </c>
      <c r="C49" s="71" t="s">
        <v>31</v>
      </c>
      <c r="D49" s="119"/>
      <c r="E49" s="278"/>
      <c r="F49" s="274"/>
      <c r="G49" s="274"/>
      <c r="H49" s="115"/>
      <c r="I49" s="97"/>
      <c r="J49" s="137"/>
    </row>
    <row r="50" spans="1:10" x14ac:dyDescent="0.25">
      <c r="A50" s="70" t="s">
        <v>141</v>
      </c>
      <c r="B50" s="184">
        <f>G47</f>
        <v>44345.945794710926</v>
      </c>
      <c r="C50" s="71" t="s">
        <v>31</v>
      </c>
      <c r="D50" s="119"/>
      <c r="E50" s="279" t="s">
        <v>70</v>
      </c>
      <c r="F50" s="277">
        <f>1910.32</f>
        <v>1910.32</v>
      </c>
      <c r="G50" s="279">
        <f>F50/F48*B8</f>
        <v>10.616563267226891</v>
      </c>
      <c r="H50" s="115"/>
      <c r="I50" s="97"/>
      <c r="J50" s="137"/>
    </row>
    <row r="51" spans="1:10" x14ac:dyDescent="0.25">
      <c r="A51" s="70" t="s">
        <v>44</v>
      </c>
      <c r="B51" s="184">
        <f>G52</f>
        <v>91.30715684033612</v>
      </c>
      <c r="C51" s="71" t="s">
        <v>31</v>
      </c>
      <c r="D51" s="119"/>
      <c r="E51" s="119"/>
      <c r="F51" s="120"/>
      <c r="G51" s="121"/>
      <c r="H51" s="115"/>
      <c r="I51" s="97"/>
      <c r="J51" s="137"/>
    </row>
    <row r="52" spans="1:10" x14ac:dyDescent="0.25">
      <c r="A52" s="70" t="s">
        <v>45</v>
      </c>
      <c r="B52" s="184">
        <f>G50</f>
        <v>10.616563267226891</v>
      </c>
      <c r="C52" s="71" t="s">
        <v>31</v>
      </c>
      <c r="D52" s="119"/>
      <c r="E52" s="119" t="s">
        <v>125</v>
      </c>
      <c r="F52" s="280">
        <f>16429.6</f>
        <v>16429.599999999999</v>
      </c>
      <c r="G52" s="279">
        <f>F52/F48*B8</f>
        <v>91.30715684033612</v>
      </c>
      <c r="H52" s="115"/>
      <c r="I52" s="97"/>
      <c r="J52" s="137"/>
    </row>
    <row r="53" spans="1:10" x14ac:dyDescent="0.25">
      <c r="A53" s="70" t="s">
        <v>46</v>
      </c>
      <c r="B53" s="184"/>
      <c r="C53" s="71" t="s">
        <v>31</v>
      </c>
      <c r="D53" s="119"/>
      <c r="E53" s="119"/>
      <c r="F53" s="120"/>
      <c r="G53" s="121"/>
      <c r="H53" s="115"/>
      <c r="I53" s="97"/>
      <c r="J53" s="137"/>
    </row>
    <row r="54" spans="1:10" x14ac:dyDescent="0.25">
      <c r="A54" s="70" t="s">
        <v>47</v>
      </c>
      <c r="B54" s="184"/>
      <c r="C54" s="71" t="s">
        <v>31</v>
      </c>
      <c r="D54" s="101"/>
      <c r="E54" s="101"/>
      <c r="F54" s="131"/>
      <c r="G54" s="132"/>
      <c r="H54" s="97"/>
      <c r="I54" s="97"/>
      <c r="J54" s="137"/>
    </row>
    <row r="55" spans="1:10" x14ac:dyDescent="0.25">
      <c r="A55" s="70" t="s">
        <v>48</v>
      </c>
      <c r="B55" s="184">
        <v>2004.93</v>
      </c>
      <c r="C55" s="71" t="s">
        <v>31</v>
      </c>
      <c r="D55" s="101"/>
      <c r="E55" s="101"/>
      <c r="F55" s="125"/>
      <c r="G55" s="97"/>
      <c r="H55" s="97"/>
      <c r="I55" s="97"/>
      <c r="J55" s="137"/>
    </row>
    <row r="56" spans="1:10" x14ac:dyDescent="0.25">
      <c r="A56" s="70" t="s">
        <v>49</v>
      </c>
      <c r="B56" s="184">
        <f>(B46+B47+B48+B49+B50+B52+B53+B54)*0.1</f>
        <v>8467.7404499031927</v>
      </c>
      <c r="C56" s="71" t="s">
        <v>31</v>
      </c>
      <c r="D56" s="101"/>
      <c r="E56" s="101"/>
      <c r="F56" s="125"/>
      <c r="G56" s="97"/>
      <c r="H56" s="97"/>
      <c r="I56" s="97"/>
      <c r="J56" s="137"/>
    </row>
    <row r="57" spans="1:10" x14ac:dyDescent="0.25">
      <c r="A57" s="70" t="s">
        <v>103</v>
      </c>
      <c r="B57" s="184"/>
      <c r="C57" s="71" t="s">
        <v>31</v>
      </c>
      <c r="D57" s="119"/>
      <c r="E57" s="119"/>
      <c r="F57" s="138"/>
      <c r="G57" s="115"/>
      <c r="H57" s="137"/>
      <c r="I57" s="137"/>
      <c r="J57" s="137"/>
    </row>
    <row r="58" spans="1:10" x14ac:dyDescent="0.25">
      <c r="A58" s="67" t="s">
        <v>50</v>
      </c>
      <c r="B58" s="160">
        <f>C78</f>
        <v>0</v>
      </c>
      <c r="C58" s="69" t="s">
        <v>31</v>
      </c>
      <c r="D58" s="122"/>
      <c r="E58" s="122"/>
      <c r="F58" s="123"/>
      <c r="G58" s="124"/>
      <c r="H58" s="124"/>
      <c r="I58" s="137"/>
      <c r="J58" s="137"/>
    </row>
    <row r="59" spans="1:10" x14ac:dyDescent="0.25">
      <c r="A59" s="67" t="s">
        <v>51</v>
      </c>
      <c r="B59" s="160"/>
      <c r="C59" s="69" t="s">
        <v>31</v>
      </c>
      <c r="D59" s="122"/>
      <c r="E59" s="122"/>
      <c r="F59" s="123"/>
      <c r="G59" s="124"/>
      <c r="H59" s="124"/>
      <c r="I59" s="137"/>
      <c r="J59" s="137"/>
    </row>
    <row r="60" spans="1:10" x14ac:dyDescent="0.25">
      <c r="A60" s="67" t="s">
        <v>52</v>
      </c>
      <c r="B60" s="160">
        <f>15872.4+1497.66+257460.83+1494.07</f>
        <v>276324.96000000002</v>
      </c>
      <c r="C60" s="69" t="s">
        <v>31</v>
      </c>
      <c r="D60" s="56"/>
      <c r="E60" s="56"/>
      <c r="F60" s="3"/>
      <c r="I60" s="137"/>
      <c r="J60" s="137"/>
    </row>
    <row r="61" spans="1:10" x14ac:dyDescent="0.25">
      <c r="A61" s="67" t="s">
        <v>53</v>
      </c>
      <c r="B61" s="160"/>
      <c r="C61" s="69" t="s">
        <v>54</v>
      </c>
      <c r="D61" s="56"/>
      <c r="E61" s="56"/>
      <c r="F61" s="3"/>
      <c r="I61" s="137"/>
      <c r="J61" s="137"/>
    </row>
    <row r="62" spans="1:10" x14ac:dyDescent="0.25">
      <c r="A62" s="133" t="s">
        <v>154</v>
      </c>
      <c r="B62" s="134">
        <f>C37/1.02</f>
        <v>0</v>
      </c>
      <c r="C62" s="135"/>
      <c r="D62" s="56"/>
      <c r="E62" s="56"/>
      <c r="F62" s="3"/>
      <c r="I62" s="137"/>
      <c r="J62" s="137"/>
    </row>
    <row r="63" spans="1:10" ht="15.75" thickBot="1" x14ac:dyDescent="0.3">
      <c r="A63" s="73" t="s">
        <v>78</v>
      </c>
      <c r="B63" s="74">
        <f>G44</f>
        <v>1000.3462184873949</v>
      </c>
      <c r="C63" s="75" t="s">
        <v>31</v>
      </c>
      <c r="D63" s="56"/>
      <c r="E63" s="56"/>
      <c r="F63" s="3"/>
      <c r="I63" s="137"/>
      <c r="J63" s="137"/>
    </row>
    <row r="64" spans="1:10" x14ac:dyDescent="0.25">
      <c r="A64" s="59"/>
      <c r="B64" s="60"/>
      <c r="C64" s="56"/>
      <c r="D64" s="56"/>
      <c r="E64" s="56"/>
      <c r="F64" s="3"/>
      <c r="I64" s="137"/>
      <c r="J64" s="137"/>
    </row>
    <row r="65" spans="1:10" x14ac:dyDescent="0.25">
      <c r="A65" s="59" t="s">
        <v>202</v>
      </c>
      <c r="B65" s="143">
        <f>C39-C24+B43-B42</f>
        <v>81825.311675737146</v>
      </c>
      <c r="C65" s="56" t="s">
        <v>31</v>
      </c>
      <c r="D65" s="56"/>
      <c r="E65" s="56"/>
      <c r="F65" s="3"/>
      <c r="I65" s="137"/>
      <c r="J65" s="137"/>
    </row>
    <row r="66" spans="1:10" x14ac:dyDescent="0.25">
      <c r="A66" s="59"/>
      <c r="B66" s="2">
        <f>B67+B68+B69+B70+B71+B72</f>
        <v>81825.311675737175</v>
      </c>
      <c r="C66" s="56" t="s">
        <v>31</v>
      </c>
      <c r="D66" s="56"/>
      <c r="E66" s="56"/>
      <c r="F66" s="3"/>
      <c r="I66" s="137"/>
      <c r="J66" s="137"/>
    </row>
    <row r="67" spans="1:10" x14ac:dyDescent="0.25">
      <c r="A67" s="77" t="s">
        <v>56</v>
      </c>
      <c r="B67" s="78">
        <f>C20-B44-B63</f>
        <v>2026.9616757371389</v>
      </c>
      <c r="C67" s="56" t="s">
        <v>31</v>
      </c>
      <c r="D67" s="56"/>
      <c r="E67" s="56"/>
      <c r="F67" s="3"/>
      <c r="I67" s="137"/>
      <c r="J67" s="137"/>
    </row>
    <row r="68" spans="1:10" x14ac:dyDescent="0.25">
      <c r="A68" s="77" t="s">
        <v>57</v>
      </c>
      <c r="B68" s="78">
        <f>C22-B58</f>
        <v>0</v>
      </c>
      <c r="C68" s="56" t="s">
        <v>31</v>
      </c>
      <c r="D68" s="56"/>
      <c r="E68" s="56"/>
      <c r="F68" s="3"/>
      <c r="I68" s="137"/>
      <c r="J68" s="137"/>
    </row>
    <row r="69" spans="1:10" x14ac:dyDescent="0.25">
      <c r="A69" s="77" t="s">
        <v>58</v>
      </c>
      <c r="B69" s="78">
        <f>C26-B59</f>
        <v>0</v>
      </c>
      <c r="C69" s="56" t="s">
        <v>31</v>
      </c>
      <c r="D69" s="56"/>
      <c r="E69" s="56"/>
      <c r="F69" s="3"/>
      <c r="I69" s="137"/>
      <c r="J69" s="137"/>
    </row>
    <row r="70" spans="1:10" x14ac:dyDescent="0.25">
      <c r="A70" s="77" t="s">
        <v>59</v>
      </c>
      <c r="B70" s="78">
        <f>C28-B60</f>
        <v>79798.350000000035</v>
      </c>
      <c r="C70" s="56" t="s">
        <v>31</v>
      </c>
      <c r="D70" s="56"/>
      <c r="E70" s="56"/>
      <c r="F70" s="3"/>
      <c r="I70" s="137"/>
      <c r="J70" s="137"/>
    </row>
    <row r="71" spans="1:10" x14ac:dyDescent="0.25">
      <c r="A71" s="77" t="s">
        <v>60</v>
      </c>
      <c r="B71" s="78">
        <f>C35-B61</f>
        <v>0</v>
      </c>
      <c r="C71" s="56" t="s">
        <v>31</v>
      </c>
      <c r="D71" s="56"/>
      <c r="E71" s="56"/>
      <c r="F71" s="3"/>
      <c r="I71" s="137"/>
      <c r="J71" s="137"/>
    </row>
    <row r="72" spans="1:10" x14ac:dyDescent="0.25">
      <c r="A72" s="77" t="s">
        <v>157</v>
      </c>
      <c r="B72" s="78">
        <f>C37-B62</f>
        <v>0</v>
      </c>
      <c r="C72" s="56" t="s">
        <v>31</v>
      </c>
      <c r="I72" s="137"/>
      <c r="J72" s="137"/>
    </row>
    <row r="73" spans="1:10" ht="15.75" thickBot="1" x14ac:dyDescent="0.3">
      <c r="A73" s="77"/>
      <c r="B73" s="78"/>
      <c r="C73" s="56"/>
      <c r="D73" s="98"/>
      <c r="E73" s="99"/>
      <c r="F73" s="100"/>
      <c r="G73" s="97"/>
      <c r="I73" s="137"/>
      <c r="J73" s="137"/>
    </row>
    <row r="74" spans="1:10" ht="15.75" thickBot="1" x14ac:dyDescent="0.3">
      <c r="A74" s="128" t="s">
        <v>146</v>
      </c>
      <c r="B74" s="129"/>
      <c r="C74" s="130"/>
      <c r="D74" s="101"/>
      <c r="E74" s="101"/>
      <c r="F74" s="101"/>
      <c r="G74" s="97"/>
      <c r="I74" s="137"/>
      <c r="J74" s="137"/>
    </row>
    <row r="75" spans="1:10" ht="51.75" thickBot="1" x14ac:dyDescent="0.3">
      <c r="A75" s="79" t="s">
        <v>80</v>
      </c>
      <c r="B75" s="80" t="s">
        <v>61</v>
      </c>
      <c r="C75" s="81" t="s">
        <v>67</v>
      </c>
      <c r="D75" s="102"/>
      <c r="E75" s="103"/>
      <c r="F75" s="104"/>
      <c r="G75" s="97"/>
      <c r="I75" s="137"/>
      <c r="J75" s="137"/>
    </row>
    <row r="76" spans="1:10" x14ac:dyDescent="0.25">
      <c r="A76" s="82" t="s">
        <v>62</v>
      </c>
      <c r="B76" s="113" t="s">
        <v>31</v>
      </c>
      <c r="C76" s="114" t="s">
        <v>31</v>
      </c>
      <c r="D76" s="102"/>
      <c r="E76" s="103"/>
      <c r="F76" s="104"/>
      <c r="G76" s="97"/>
      <c r="I76" s="137"/>
      <c r="J76" s="137"/>
    </row>
    <row r="77" spans="1:10" x14ac:dyDescent="0.25">
      <c r="A77" s="148"/>
      <c r="B77" s="43"/>
      <c r="C77" s="107"/>
      <c r="D77" s="102"/>
      <c r="E77" s="103"/>
      <c r="F77" s="104"/>
      <c r="G77" s="97"/>
      <c r="I77" s="137"/>
      <c r="J77" s="137"/>
    </row>
    <row r="78" spans="1:10" ht="15.75" thickBot="1" x14ac:dyDescent="0.3">
      <c r="A78" s="145" t="s">
        <v>5</v>
      </c>
      <c r="B78" s="146">
        <f>B77</f>
        <v>0</v>
      </c>
      <c r="C78" s="147">
        <f>0</f>
        <v>0</v>
      </c>
      <c r="D78" s="105"/>
      <c r="E78" s="103"/>
      <c r="F78" s="104"/>
      <c r="G78" s="97"/>
    </row>
    <row r="79" spans="1:10" x14ac:dyDescent="0.25">
      <c r="A79" s="31"/>
      <c r="B79" s="33"/>
      <c r="C79" s="87"/>
      <c r="D79" s="105"/>
      <c r="E79" s="103"/>
      <c r="F79" s="104"/>
      <c r="G79" s="97"/>
    </row>
    <row r="80" spans="1:10" x14ac:dyDescent="0.25">
      <c r="A80" s="164" t="s">
        <v>132</v>
      </c>
      <c r="B80" s="149"/>
      <c r="C80" s="215"/>
      <c r="D80" s="216"/>
      <c r="E80" s="89"/>
    </row>
    <row r="81" spans="1:6" x14ac:dyDescent="0.25">
      <c r="A81" s="217"/>
      <c r="B81" s="149"/>
      <c r="C81" s="215"/>
      <c r="D81" s="218"/>
      <c r="E81" s="89"/>
    </row>
    <row r="82" spans="1:6" x14ac:dyDescent="0.25">
      <c r="A82" s="165" t="s">
        <v>133</v>
      </c>
      <c r="B82" s="149" t="s">
        <v>134</v>
      </c>
      <c r="C82" s="219"/>
      <c r="D82" s="216"/>
      <c r="E82" s="89"/>
      <c r="F82" s="94"/>
    </row>
    <row r="83" spans="1:6" x14ac:dyDescent="0.25">
      <c r="A83" s="165"/>
      <c r="B83" s="149"/>
      <c r="C83" s="219"/>
      <c r="D83" s="216"/>
      <c r="E83" s="89"/>
    </row>
    <row r="84" spans="1:6" x14ac:dyDescent="0.25">
      <c r="A84" s="220"/>
      <c r="B84" s="221"/>
      <c r="C84" s="219"/>
      <c r="D84" s="150"/>
      <c r="E84" s="89"/>
    </row>
    <row r="85" spans="1:6" ht="15.75" x14ac:dyDescent="0.25">
      <c r="A85" s="223" t="s">
        <v>63</v>
      </c>
      <c r="B85" s="224" t="s">
        <v>134</v>
      </c>
      <c r="C85" s="225"/>
      <c r="D85" s="226" t="s">
        <v>66</v>
      </c>
      <c r="E85" s="89"/>
    </row>
    <row r="86" spans="1:6" x14ac:dyDescent="0.25">
      <c r="A86" s="95"/>
      <c r="B86" s="96"/>
      <c r="C86" s="89"/>
      <c r="D86" s="93"/>
      <c r="E86" s="56"/>
      <c r="F86" s="3"/>
    </row>
    <row r="87" spans="1:6" x14ac:dyDescent="0.25">
      <c r="A87" s="31"/>
      <c r="B87" s="33"/>
      <c r="C87" s="33"/>
      <c r="D87" s="56"/>
      <c r="E87" s="89"/>
    </row>
    <row r="88" spans="1:6" x14ac:dyDescent="0.25">
      <c r="A88" s="31"/>
      <c r="B88" s="33"/>
      <c r="C88" s="33"/>
      <c r="D88" s="56"/>
      <c r="E88" s="56"/>
    </row>
    <row r="89" spans="1:6" x14ac:dyDescent="0.25">
      <c r="A89" s="31"/>
      <c r="B89" s="33"/>
      <c r="C89" s="33"/>
      <c r="D89" s="89"/>
      <c r="E89" s="89"/>
    </row>
    <row r="90" spans="1:6" x14ac:dyDescent="0.25">
      <c r="A90" s="31"/>
      <c r="B90" s="33"/>
      <c r="D90" s="89"/>
      <c r="E90" s="89"/>
    </row>
    <row r="91" spans="1:6" x14ac:dyDescent="0.25">
      <c r="D91" s="89"/>
      <c r="E91" s="89"/>
    </row>
    <row r="92" spans="1:6" x14ac:dyDescent="0.25">
      <c r="D92" s="89"/>
      <c r="E92" s="89"/>
    </row>
    <row r="93" spans="1:6" x14ac:dyDescent="0.25">
      <c r="D93" s="89"/>
      <c r="E93" s="89"/>
    </row>
    <row r="94" spans="1:6" x14ac:dyDescent="0.25">
      <c r="D94" s="89"/>
      <c r="E94" s="89"/>
    </row>
    <row r="95" spans="1:6" x14ac:dyDescent="0.25">
      <c r="B95"/>
      <c r="C95"/>
      <c r="D95" s="56"/>
      <c r="E95" s="56"/>
      <c r="F95" s="3"/>
    </row>
    <row r="96" spans="1:6" x14ac:dyDescent="0.25">
      <c r="B96"/>
      <c r="C96"/>
      <c r="D96" s="89"/>
      <c r="E96" s="89"/>
      <c r="F96" s="3"/>
    </row>
    <row r="97" spans="2:5" x14ac:dyDescent="0.25">
      <c r="B97"/>
      <c r="C97"/>
      <c r="D97" s="89"/>
      <c r="E97" s="89"/>
    </row>
    <row r="98" spans="2:5" x14ac:dyDescent="0.25">
      <c r="B98"/>
      <c r="C98"/>
      <c r="D98" s="33"/>
      <c r="E98" s="33"/>
    </row>
    <row r="99" spans="2:5" x14ac:dyDescent="0.25">
      <c r="B99"/>
      <c r="C99"/>
      <c r="D99" s="33"/>
      <c r="E99" s="33"/>
    </row>
    <row r="100" spans="2:5" x14ac:dyDescent="0.25">
      <c r="D100" s="33"/>
      <c r="E100" s="33"/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V101"/>
  <sheetViews>
    <sheetView view="pageBreakPreview" topLeftCell="A47" zoomScale="60" zoomScaleNormal="100" workbookViewId="0">
      <selection activeCell="C80" sqref="C80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4.85546875" style="3" customWidth="1"/>
    <col min="5" max="5" width="17.570312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215</v>
      </c>
      <c r="B2" s="2"/>
      <c r="C2" s="2"/>
      <c r="D2" s="20"/>
    </row>
    <row r="3" spans="1:22" ht="15.75" thickBot="1" x14ac:dyDescent="0.3">
      <c r="A3" s="1" t="s">
        <v>216</v>
      </c>
      <c r="B3" s="2"/>
      <c r="C3" s="2"/>
      <c r="D3" s="20"/>
      <c r="L3" s="108"/>
      <c r="M3" s="108"/>
      <c r="N3" s="108"/>
      <c r="O3" s="108"/>
    </row>
    <row r="4" spans="1:22" ht="15.75" thickBot="1" x14ac:dyDescent="0.3">
      <c r="A4" s="22" t="s">
        <v>0</v>
      </c>
      <c r="B4" s="202"/>
      <c r="C4" s="203"/>
      <c r="D4" s="190"/>
      <c r="E4" s="136"/>
      <c r="L4" s="108"/>
      <c r="M4" s="108"/>
      <c r="N4" s="108"/>
      <c r="O4" s="108"/>
    </row>
    <row r="5" spans="1:22" ht="40.5" customHeight="1" thickBot="1" x14ac:dyDescent="0.3">
      <c r="A5" s="6" t="s">
        <v>1</v>
      </c>
      <c r="B5" s="8" t="s">
        <v>2</v>
      </c>
      <c r="C5" s="9" t="s">
        <v>3</v>
      </c>
      <c r="D5" s="156"/>
      <c r="E5" s="137"/>
      <c r="K5" s="108"/>
      <c r="L5" s="108"/>
      <c r="M5" s="108"/>
      <c r="N5" s="108"/>
    </row>
    <row r="6" spans="1:22" ht="15.75" thickBot="1" x14ac:dyDescent="0.3">
      <c r="A6" s="151" t="s">
        <v>217</v>
      </c>
      <c r="B6" s="153">
        <v>1015.7</v>
      </c>
      <c r="C6" s="154"/>
      <c r="D6" s="136"/>
      <c r="E6" s="137"/>
      <c r="K6" s="108"/>
      <c r="L6" s="108"/>
      <c r="M6" s="108"/>
      <c r="N6" s="108"/>
    </row>
    <row r="7" spans="1:22" x14ac:dyDescent="0.25">
      <c r="A7" s="10"/>
      <c r="B7" s="86"/>
      <c r="C7" s="152"/>
      <c r="D7" s="136"/>
      <c r="E7" s="137"/>
      <c r="K7" s="108"/>
      <c r="L7" s="108"/>
      <c r="M7" s="108"/>
      <c r="N7" s="108"/>
    </row>
    <row r="8" spans="1:22" ht="15.75" thickBot="1" x14ac:dyDescent="0.3">
      <c r="A8" s="16" t="s">
        <v>5</v>
      </c>
      <c r="B8" s="17">
        <f>B6+B7</f>
        <v>1015.7</v>
      </c>
      <c r="C8" s="18">
        <v>26</v>
      </c>
      <c r="D8" s="136"/>
      <c r="E8" s="137"/>
      <c r="K8" s="108"/>
      <c r="L8" s="108"/>
      <c r="M8" s="108"/>
      <c r="N8" s="108"/>
    </row>
    <row r="9" spans="1:22" ht="15.75" thickBot="1" x14ac:dyDescent="0.3">
      <c r="A9" s="19"/>
      <c r="B9" s="20"/>
      <c r="C9" s="20"/>
      <c r="D9" s="21"/>
      <c r="E9" s="136"/>
      <c r="L9" s="108"/>
      <c r="M9" s="108"/>
      <c r="N9" s="108"/>
      <c r="O9" s="108"/>
    </row>
    <row r="10" spans="1:22" ht="15.75" thickBot="1" x14ac:dyDescent="0.3">
      <c r="A10" s="22" t="s">
        <v>112</v>
      </c>
      <c r="B10" s="23"/>
      <c r="C10" s="23"/>
      <c r="D10" s="24" t="s">
        <v>6</v>
      </c>
      <c r="E10" s="136"/>
      <c r="F10" s="97"/>
      <c r="G10" s="97"/>
      <c r="H10" s="97"/>
      <c r="I10" s="97"/>
      <c r="J10" s="97"/>
      <c r="K10" s="97"/>
      <c r="L10" s="108"/>
      <c r="M10" s="108"/>
      <c r="N10" s="108"/>
      <c r="O10" s="108"/>
    </row>
    <row r="11" spans="1:22" x14ac:dyDescent="0.25">
      <c r="A11" s="25" t="s">
        <v>7</v>
      </c>
      <c r="B11" s="20"/>
      <c r="C11" s="20"/>
      <c r="D11" s="27">
        <v>11.73</v>
      </c>
      <c r="E11" s="136"/>
      <c r="F11" s="97"/>
      <c r="G11" s="97"/>
      <c r="H11" s="97"/>
      <c r="I11" s="97"/>
      <c r="J11" s="97"/>
      <c r="K11" s="97"/>
      <c r="L11" s="108"/>
      <c r="M11" s="108"/>
      <c r="N11" s="108"/>
      <c r="O11" s="108"/>
    </row>
    <row r="12" spans="1:22" x14ac:dyDescent="0.25">
      <c r="A12" s="25" t="s">
        <v>8</v>
      </c>
      <c r="B12" s="20"/>
      <c r="C12" s="20"/>
      <c r="D12" s="27"/>
      <c r="E12" s="136"/>
      <c r="F12" s="97"/>
      <c r="G12" s="97"/>
      <c r="H12" s="97"/>
      <c r="I12" s="97"/>
      <c r="J12" s="97"/>
      <c r="K12" s="97"/>
      <c r="L12" s="108"/>
      <c r="M12" s="108"/>
      <c r="N12" s="108"/>
      <c r="O12" s="108"/>
    </row>
    <row r="13" spans="1:22" x14ac:dyDescent="0.25">
      <c r="A13" s="25" t="s">
        <v>9</v>
      </c>
      <c r="B13" s="20"/>
      <c r="C13" s="20"/>
      <c r="D13" s="26">
        <v>0.23</v>
      </c>
      <c r="E13" s="136"/>
      <c r="F13" s="97"/>
      <c r="G13" s="97"/>
      <c r="H13" s="97"/>
      <c r="I13" s="97"/>
      <c r="J13" s="97"/>
      <c r="K13" s="97"/>
      <c r="L13" s="108"/>
      <c r="M13" s="108"/>
      <c r="N13" s="108"/>
      <c r="O13" s="108"/>
    </row>
    <row r="14" spans="1:22" ht="15.75" thickBot="1" x14ac:dyDescent="0.3">
      <c r="A14" s="28" t="s">
        <v>10</v>
      </c>
      <c r="B14" s="193"/>
      <c r="C14" s="193"/>
      <c r="D14" s="30">
        <v>0</v>
      </c>
      <c r="E14" s="136"/>
      <c r="F14" s="97"/>
      <c r="G14" s="97"/>
      <c r="H14" s="97"/>
      <c r="I14" s="97"/>
      <c r="J14" s="97"/>
      <c r="K14" s="97"/>
      <c r="L14" s="108"/>
      <c r="M14" s="108"/>
      <c r="N14" s="108"/>
      <c r="O14" s="108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268"/>
      <c r="B15" s="156"/>
      <c r="C15" s="156"/>
      <c r="D15" s="156"/>
      <c r="E15" s="136"/>
      <c r="F15" s="97"/>
      <c r="G15" s="97"/>
      <c r="H15" s="97"/>
      <c r="I15" s="97"/>
      <c r="J15" s="97"/>
      <c r="K15" s="97"/>
      <c r="L15" s="108"/>
      <c r="M15" s="108"/>
      <c r="N15" s="108"/>
      <c r="O15" s="108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113</v>
      </c>
      <c r="B16" s="202"/>
      <c r="C16" s="202"/>
      <c r="D16" s="202"/>
      <c r="E16" s="203"/>
      <c r="F16" s="97"/>
      <c r="G16" s="97"/>
      <c r="H16" s="97"/>
      <c r="I16" s="97"/>
      <c r="J16" s="97"/>
      <c r="K16" s="97"/>
      <c r="L16" s="108"/>
      <c r="M16" s="109"/>
      <c r="N16" s="109"/>
      <c r="O16" s="108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156"/>
      <c r="C17" s="156"/>
      <c r="D17" s="156"/>
      <c r="E17" s="271"/>
      <c r="F17" s="97"/>
      <c r="G17" s="97"/>
      <c r="H17" s="97"/>
      <c r="I17" s="97"/>
      <c r="J17" s="97"/>
      <c r="K17" s="97"/>
      <c r="L17" s="109"/>
      <c r="M17" s="110"/>
      <c r="N17" s="109"/>
      <c r="O17" s="108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156"/>
      <c r="C18" s="156"/>
      <c r="D18" s="156"/>
      <c r="E18" s="271"/>
      <c r="F18" s="97"/>
      <c r="G18" s="97"/>
      <c r="H18" s="97"/>
      <c r="I18" s="97"/>
      <c r="J18" s="97"/>
      <c r="K18" s="97"/>
      <c r="L18" s="108"/>
      <c r="M18" s="108"/>
      <c r="N18" s="108"/>
      <c r="O18" s="108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114</v>
      </c>
      <c r="C19" s="38" t="s">
        <v>115</v>
      </c>
      <c r="D19" s="38" t="s">
        <v>116</v>
      </c>
      <c r="E19" s="39" t="s">
        <v>117</v>
      </c>
      <c r="F19" s="97"/>
      <c r="G19" s="97"/>
      <c r="H19" s="97"/>
      <c r="I19" s="97"/>
      <c r="J19" s="97"/>
      <c r="K19" s="97"/>
      <c r="L19" s="108"/>
      <c r="M19" s="111"/>
      <c r="N19" s="111"/>
      <c r="O19" s="108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>
        <v>34364.65</v>
      </c>
      <c r="C20" s="41">
        <f>172282.93-10725.61</f>
        <v>161557.32</v>
      </c>
      <c r="D20" s="40">
        <f>166959.34+5301.79</f>
        <v>172261.13</v>
      </c>
      <c r="E20" s="42">
        <f t="shared" ref="E20:E38" si="0">C20-D20+B20</f>
        <v>23660.840000000004</v>
      </c>
      <c r="F20" s="116">
        <f>C20+F22</f>
        <v>188757.78</v>
      </c>
      <c r="G20" s="117">
        <f>100</f>
        <v>100</v>
      </c>
      <c r="H20" s="115" t="s">
        <v>64</v>
      </c>
      <c r="I20" s="97"/>
      <c r="J20" s="97"/>
      <c r="K20" s="97"/>
      <c r="L20" s="108"/>
      <c r="M20" s="108"/>
      <c r="N20" s="108"/>
      <c r="O20" s="108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16"/>
      <c r="G21" s="117"/>
      <c r="H21" s="115"/>
      <c r="I21" s="97"/>
      <c r="J21" s="97"/>
      <c r="K21" s="97"/>
      <c r="L21" s="108"/>
      <c r="M21" s="108"/>
      <c r="N21" s="108"/>
      <c r="O21" s="108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>
        <v>7020.52</v>
      </c>
      <c r="C22" s="44">
        <f>31882.83-4682.37</f>
        <v>27200.460000000003</v>
      </c>
      <c r="D22" s="43">
        <f>38746.83+696.12</f>
        <v>39442.950000000004</v>
      </c>
      <c r="E22" s="45">
        <f t="shared" si="0"/>
        <v>-5221.9700000000012</v>
      </c>
      <c r="F22" s="116">
        <f>C22</f>
        <v>27200.460000000003</v>
      </c>
      <c r="G22" s="118">
        <f>F22*G20/F20</f>
        <v>14.410245765763936</v>
      </c>
      <c r="H22" s="115" t="s">
        <v>64</v>
      </c>
      <c r="I22" s="97"/>
      <c r="J22" s="97"/>
      <c r="K22" s="97"/>
      <c r="L22" s="108"/>
      <c r="M22" s="108"/>
      <c r="N22" s="111"/>
      <c r="O22" s="108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97"/>
      <c r="G23" s="97"/>
      <c r="H23" s="97"/>
      <c r="I23" s="97"/>
      <c r="J23" s="97"/>
      <c r="K23" s="97"/>
      <c r="L23" s="108"/>
      <c r="M23" s="108"/>
      <c r="N23" s="108"/>
      <c r="O23" s="108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44"/>
      <c r="D24" s="44"/>
      <c r="E24" s="45">
        <f t="shared" si="0"/>
        <v>0</v>
      </c>
      <c r="F24" s="97"/>
      <c r="G24" s="97"/>
      <c r="H24" s="97"/>
      <c r="I24" s="97"/>
      <c r="J24" s="97"/>
      <c r="K24" s="97"/>
      <c r="L24" s="108"/>
      <c r="M24" s="108"/>
      <c r="N24" s="108"/>
      <c r="O24" s="108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97"/>
      <c r="G25" s="97"/>
      <c r="H25" s="97"/>
      <c r="I25" s="97"/>
      <c r="J25" s="97"/>
      <c r="K25" s="97"/>
      <c r="L25" s="108"/>
      <c r="M25" s="108"/>
      <c r="N25" s="108"/>
      <c r="O25" s="108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>
        <v>370.9</v>
      </c>
      <c r="C26" s="44">
        <f>5464.58+3067.32</f>
        <v>8531.9</v>
      </c>
      <c r="D26" s="44">
        <f>7742.8+139.85</f>
        <v>7882.6500000000005</v>
      </c>
      <c r="E26" s="45">
        <f t="shared" si="0"/>
        <v>1020.1499999999991</v>
      </c>
      <c r="F26" s="97"/>
      <c r="G26" s="97"/>
      <c r="H26" s="97"/>
      <c r="I26" s="97"/>
      <c r="J26" s="97"/>
      <c r="K26" s="97"/>
      <c r="L26" s="108"/>
      <c r="M26" s="108"/>
      <c r="N26" s="108"/>
      <c r="O26" s="108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83</v>
      </c>
      <c r="B27" s="44"/>
      <c r="C27" s="44"/>
      <c r="D27" s="44"/>
      <c r="E27" s="45">
        <f t="shared" si="0"/>
        <v>0</v>
      </c>
      <c r="F27" s="97"/>
      <c r="G27" s="97"/>
      <c r="H27" s="97"/>
      <c r="I27" s="97"/>
      <c r="J27" s="97"/>
      <c r="K27" s="97"/>
      <c r="L27" s="108"/>
      <c r="M27" s="108"/>
      <c r="N27" s="108"/>
      <c r="O27" s="108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76659.539999999994</v>
      </c>
      <c r="C28" s="50">
        <f>C29+C30+C31+C33+C32</f>
        <v>320194.02999999997</v>
      </c>
      <c r="D28" s="50">
        <f>D29+D30+D31+D33+D32</f>
        <v>334077.33</v>
      </c>
      <c r="E28" s="51">
        <f>C28-D28+B28</f>
        <v>62776.239999999947</v>
      </c>
      <c r="F28" s="97"/>
      <c r="G28" s="97"/>
      <c r="H28" s="97"/>
      <c r="I28" s="97"/>
      <c r="J28" s="97"/>
      <c r="K28" s="97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204" t="s">
        <v>22</v>
      </c>
      <c r="B29" s="40">
        <v>59986.66</v>
      </c>
      <c r="C29" s="40">
        <v>198792.09</v>
      </c>
      <c r="D29" s="40">
        <f>205653.76+4943.26</f>
        <v>210597.02000000002</v>
      </c>
      <c r="E29" s="42">
        <f t="shared" si="0"/>
        <v>48181.729999999981</v>
      </c>
      <c r="F29" s="97"/>
      <c r="G29" s="97"/>
      <c r="H29" s="97"/>
      <c r="I29" s="97"/>
      <c r="J29" s="97"/>
      <c r="K29" s="97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205" t="s">
        <v>23</v>
      </c>
      <c r="B30" s="43">
        <f>9662.38+2802.55</f>
        <v>12464.93</v>
      </c>
      <c r="C30" s="43">
        <f>68865.46+15838.29+125.45+34.42</f>
        <v>84863.62</v>
      </c>
      <c r="D30" s="43">
        <f>66931.2+15616.95+2764.54+538.53</f>
        <v>85851.219999999987</v>
      </c>
      <c r="E30" s="45">
        <f t="shared" si="0"/>
        <v>11477.330000000009</v>
      </c>
      <c r="F30" s="97"/>
      <c r="G30" s="97"/>
      <c r="H30" s="97"/>
      <c r="I30" s="97"/>
      <c r="J30" s="97"/>
      <c r="K30" s="97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205" t="s">
        <v>24</v>
      </c>
      <c r="B31" s="43">
        <v>1846.71</v>
      </c>
      <c r="C31" s="43">
        <f>12686.82+31.8</f>
        <v>12718.619999999999</v>
      </c>
      <c r="D31" s="43">
        <f>12487.92+518.23</f>
        <v>13006.15</v>
      </c>
      <c r="E31" s="45">
        <f t="shared" si="0"/>
        <v>1559.1799999999994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205" t="s">
        <v>90</v>
      </c>
      <c r="B32" s="43">
        <f>-1530.46</f>
        <v>-1530.46</v>
      </c>
      <c r="C32" s="43"/>
      <c r="D32" s="43">
        <v>0.01</v>
      </c>
      <c r="E32" s="45">
        <f t="shared" si="0"/>
        <v>-1530.47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205" t="s">
        <v>25</v>
      </c>
      <c r="B33" s="43">
        <f>3891.7</f>
        <v>3891.7</v>
      </c>
      <c r="C33" s="43">
        <f>23759.75+59.95</f>
        <v>23819.7</v>
      </c>
      <c r="D33" s="43">
        <f>23771.78+851.15</f>
        <v>24622.93</v>
      </c>
      <c r="E33" s="45">
        <f t="shared" si="0"/>
        <v>3088.4700000000003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205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74</v>
      </c>
      <c r="B35" s="186"/>
      <c r="C35" s="55"/>
      <c r="D35" s="55"/>
      <c r="E35" s="45">
        <f t="shared" si="0"/>
        <v>0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155</v>
      </c>
      <c r="B37" s="44"/>
      <c r="C37" s="44"/>
      <c r="D37" s="44"/>
      <c r="E37" s="45">
        <f t="shared" si="0"/>
        <v>0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/>
      <c r="C38" s="46"/>
      <c r="D38" s="46"/>
      <c r="E38" s="47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118415.60999999999</v>
      </c>
      <c r="C39" s="58">
        <f>C20+C21+C22+C23+C24+C25+C26+C28+C35+C36+C37+C38</f>
        <v>517483.70999999996</v>
      </c>
      <c r="D39" s="58">
        <f>D20+D21+D22+D23+D24+D25+D26+D28+D35+D36+D37+D38+D27</f>
        <v>553664.06000000006</v>
      </c>
      <c r="E39" s="58">
        <f>E20+E21+E22+E23+E24+E25+E26+E28+E35+E36+E37+E38+E27</f>
        <v>82235.259999999951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59"/>
      <c r="B40" s="60"/>
      <c r="C40" s="56"/>
      <c r="D40" s="122"/>
      <c r="E40" s="122"/>
      <c r="F40" s="123"/>
      <c r="G40" s="124"/>
      <c r="H40" s="124"/>
      <c r="I40" s="124"/>
      <c r="J40" s="137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59"/>
      <c r="B41" s="60"/>
      <c r="C41" s="56"/>
      <c r="D41" s="119"/>
      <c r="E41" s="119"/>
      <c r="F41" s="138"/>
      <c r="G41" s="115"/>
      <c r="H41" s="115"/>
      <c r="I41" s="97"/>
      <c r="J41" s="137"/>
    </row>
    <row r="42" spans="1:22" ht="15.75" thickBot="1" x14ac:dyDescent="0.3">
      <c r="A42" s="61" t="s">
        <v>30</v>
      </c>
      <c r="B42" s="62">
        <f>B44+B60+B61+B58+B63+B59+B62</f>
        <v>223393.13332379999</v>
      </c>
      <c r="C42" s="63" t="s">
        <v>31</v>
      </c>
      <c r="D42" s="119">
        <f>C39-B42-B63</f>
        <v>293322.40020561172</v>
      </c>
      <c r="E42" s="272" t="s">
        <v>32</v>
      </c>
      <c r="F42" s="273">
        <v>5512727.4500000002</v>
      </c>
      <c r="G42" s="274">
        <f>F42/F48*B8</f>
        <v>47052.750176176472</v>
      </c>
      <c r="H42" s="115"/>
      <c r="I42" s="97"/>
      <c r="J42" s="137"/>
    </row>
    <row r="43" spans="1:22" x14ac:dyDescent="0.25">
      <c r="A43" s="64"/>
      <c r="B43" s="183"/>
      <c r="C43" s="69" t="s">
        <v>31</v>
      </c>
      <c r="D43" s="119"/>
      <c r="E43" s="272" t="s">
        <v>33</v>
      </c>
      <c r="F43" s="273">
        <v>1264951.0900000001</v>
      </c>
      <c r="G43" s="274">
        <f>F43/F48*B8</f>
        <v>10796.729597588237</v>
      </c>
      <c r="H43" s="115"/>
      <c r="I43" s="97"/>
      <c r="J43" s="137"/>
    </row>
    <row r="44" spans="1:22" x14ac:dyDescent="0.25">
      <c r="A44" s="67" t="s">
        <v>34</v>
      </c>
      <c r="B44" s="160">
        <f>B45+B46+B48+B49+B50+B51+B52+B53+B54+B55+B56+B47+B57</f>
        <v>81675.08685321176</v>
      </c>
      <c r="C44" s="69" t="s">
        <v>31</v>
      </c>
      <c r="D44" s="119"/>
      <c r="E44" s="272" t="s">
        <v>35</v>
      </c>
      <c r="F44" s="273">
        <v>180000</v>
      </c>
      <c r="G44" s="274">
        <f>F44/F48*B8</f>
        <v>1536.3529411764707</v>
      </c>
      <c r="H44" s="115"/>
      <c r="I44" s="97"/>
      <c r="J44" s="137"/>
    </row>
    <row r="45" spans="1:22" x14ac:dyDescent="0.25">
      <c r="A45" s="70" t="s">
        <v>76</v>
      </c>
      <c r="B45" s="184">
        <v>7277.73</v>
      </c>
      <c r="C45" s="71" t="s">
        <v>31</v>
      </c>
      <c r="D45" s="119"/>
      <c r="E45" s="272" t="s">
        <v>18</v>
      </c>
      <c r="F45" s="273">
        <f>299837.27</f>
        <v>299837.27</v>
      </c>
      <c r="G45" s="274">
        <f>F45/F48*B8</f>
        <v>2559.1992868823531</v>
      </c>
      <c r="H45" s="115"/>
      <c r="I45" s="97"/>
      <c r="J45" s="137"/>
    </row>
    <row r="46" spans="1:22" x14ac:dyDescent="0.25">
      <c r="A46" s="72" t="s">
        <v>37</v>
      </c>
      <c r="B46" s="184">
        <f>(G42+G43)/12*6</f>
        <v>28924.739886882351</v>
      </c>
      <c r="C46" s="71" t="s">
        <v>31</v>
      </c>
      <c r="D46" s="119"/>
      <c r="E46" s="275" t="s">
        <v>38</v>
      </c>
      <c r="F46" s="273">
        <f>7000+1260+30890+4200</f>
        <v>43350</v>
      </c>
      <c r="G46" s="274">
        <f>F46/F48*B8</f>
        <v>370.005</v>
      </c>
      <c r="H46" s="115"/>
      <c r="I46" s="97"/>
      <c r="J46" s="137"/>
    </row>
    <row r="47" spans="1:22" x14ac:dyDescent="0.25">
      <c r="A47" s="72" t="s">
        <v>39</v>
      </c>
      <c r="B47" s="184"/>
      <c r="C47" s="71" t="s">
        <v>31</v>
      </c>
      <c r="D47" s="119"/>
      <c r="E47" s="274" t="s">
        <v>12</v>
      </c>
      <c r="F47" s="273">
        <f>8022857.59-F46</f>
        <v>7979507.5899999999</v>
      </c>
      <c r="G47" s="274">
        <f>F47/F48*B8</f>
        <v>68107.444194647062</v>
      </c>
      <c r="H47" s="115"/>
      <c r="I47" s="97"/>
      <c r="J47" s="137"/>
    </row>
    <row r="48" spans="1:22" x14ac:dyDescent="0.25">
      <c r="A48" s="70" t="s">
        <v>40</v>
      </c>
      <c r="B48" s="184">
        <f>G46+484</f>
        <v>854.005</v>
      </c>
      <c r="C48" s="71" t="s">
        <v>31</v>
      </c>
      <c r="D48" s="119"/>
      <c r="E48" s="276" t="s">
        <v>41</v>
      </c>
      <c r="F48" s="277">
        <f>119000</f>
        <v>119000</v>
      </c>
      <c r="G48" s="274"/>
      <c r="H48" s="115"/>
      <c r="I48" s="97"/>
      <c r="J48" s="137"/>
    </row>
    <row r="49" spans="1:10" x14ac:dyDescent="0.25">
      <c r="A49" s="70" t="s">
        <v>42</v>
      </c>
      <c r="B49" s="184">
        <f>G45/12*6</f>
        <v>1279.5996434411766</v>
      </c>
      <c r="C49" s="71" t="s">
        <v>31</v>
      </c>
      <c r="D49" s="119"/>
      <c r="E49" s="278"/>
      <c r="F49" s="274"/>
      <c r="G49" s="274"/>
      <c r="H49" s="115"/>
      <c r="I49" s="97"/>
      <c r="J49" s="137"/>
    </row>
    <row r="50" spans="1:10" x14ac:dyDescent="0.25">
      <c r="A50" s="70" t="s">
        <v>141</v>
      </c>
      <c r="B50" s="184">
        <f>G47/12*6</f>
        <v>34053.722097323531</v>
      </c>
      <c r="C50" s="71" t="s">
        <v>31</v>
      </c>
      <c r="D50" s="119"/>
      <c r="E50" s="279" t="s">
        <v>70</v>
      </c>
      <c r="F50" s="277">
        <f>1910.32</f>
        <v>1910.32</v>
      </c>
      <c r="G50" s="279">
        <f>F50/F48*B8</f>
        <v>16.305143058823528</v>
      </c>
      <c r="H50" s="115"/>
      <c r="I50" s="97"/>
      <c r="J50" s="137"/>
    </row>
    <row r="51" spans="1:10" x14ac:dyDescent="0.25">
      <c r="A51" s="70" t="s">
        <v>44</v>
      </c>
      <c r="B51" s="184">
        <f>G52/12*6</f>
        <v>70.115734117647051</v>
      </c>
      <c r="C51" s="71" t="s">
        <v>31</v>
      </c>
      <c r="D51" s="119"/>
      <c r="E51" s="119"/>
      <c r="F51" s="120"/>
      <c r="G51" s="121"/>
      <c r="H51" s="115"/>
      <c r="I51" s="97"/>
      <c r="J51" s="137"/>
    </row>
    <row r="52" spans="1:10" x14ac:dyDescent="0.25">
      <c r="A52" s="70" t="s">
        <v>45</v>
      </c>
      <c r="B52" s="184">
        <f>G50/12*6</f>
        <v>8.1525715294117642</v>
      </c>
      <c r="C52" s="71" t="s">
        <v>31</v>
      </c>
      <c r="D52" s="119"/>
      <c r="E52" s="119" t="s">
        <v>125</v>
      </c>
      <c r="F52" s="280">
        <f>16429.6</f>
        <v>16429.599999999999</v>
      </c>
      <c r="G52" s="279">
        <f>F52/F48*B8</f>
        <v>140.2314682352941</v>
      </c>
      <c r="H52" s="115"/>
      <c r="I52" s="97"/>
      <c r="J52" s="137"/>
    </row>
    <row r="53" spans="1:10" x14ac:dyDescent="0.25">
      <c r="A53" s="70" t="s">
        <v>46</v>
      </c>
      <c r="B53" s="184"/>
      <c r="C53" s="71" t="s">
        <v>31</v>
      </c>
      <c r="D53" s="119"/>
      <c r="E53" s="119"/>
      <c r="F53" s="120"/>
      <c r="G53" s="121"/>
      <c r="H53" s="115"/>
      <c r="I53" s="97"/>
      <c r="J53" s="137"/>
    </row>
    <row r="54" spans="1:10" x14ac:dyDescent="0.25">
      <c r="A54" s="191" t="s">
        <v>209</v>
      </c>
      <c r="B54" s="184">
        <v>2450</v>
      </c>
      <c r="C54" s="71" t="s">
        <v>31</v>
      </c>
      <c r="D54" s="119"/>
      <c r="E54" s="119"/>
      <c r="F54" s="120"/>
      <c r="G54" s="121"/>
      <c r="H54" s="115"/>
      <c r="I54" s="97"/>
      <c r="J54" s="137"/>
    </row>
    <row r="55" spans="1:10" x14ac:dyDescent="0.25">
      <c r="A55" s="70" t="s">
        <v>48</v>
      </c>
      <c r="B55" s="184"/>
      <c r="C55" s="71" t="s">
        <v>31</v>
      </c>
      <c r="D55" s="119"/>
      <c r="E55" s="119"/>
      <c r="F55" s="138"/>
      <c r="G55" s="115"/>
      <c r="H55" s="115"/>
      <c r="I55" s="97"/>
      <c r="J55" s="137"/>
    </row>
    <row r="56" spans="1:10" x14ac:dyDescent="0.25">
      <c r="A56" s="70" t="s">
        <v>49</v>
      </c>
      <c r="B56" s="184">
        <f>(B46+B47+B48+B49+B50+B52+B53+B54)*0.1</f>
        <v>6757.0219199176472</v>
      </c>
      <c r="C56" s="71" t="s">
        <v>31</v>
      </c>
      <c r="D56" s="119"/>
      <c r="E56" s="119"/>
      <c r="F56" s="138"/>
      <c r="G56" s="115"/>
      <c r="H56" s="115"/>
      <c r="I56" s="97"/>
      <c r="J56" s="137"/>
    </row>
    <row r="57" spans="1:10" x14ac:dyDescent="0.25">
      <c r="A57" s="70" t="s">
        <v>103</v>
      </c>
      <c r="B57" s="184"/>
      <c r="C57" s="71" t="s">
        <v>31</v>
      </c>
      <c r="D57" s="119"/>
      <c r="E57" s="119"/>
      <c r="F57" s="138"/>
      <c r="G57" s="115"/>
      <c r="H57" s="115"/>
      <c r="I57" s="97"/>
      <c r="J57" s="137"/>
    </row>
    <row r="58" spans="1:10" x14ac:dyDescent="0.25">
      <c r="A58" s="67" t="s">
        <v>50</v>
      </c>
      <c r="B58" s="160">
        <f>C79</f>
        <v>15704.66</v>
      </c>
      <c r="C58" s="69" t="s">
        <v>31</v>
      </c>
      <c r="D58" s="119"/>
      <c r="E58" s="119"/>
      <c r="F58" s="138"/>
      <c r="G58" s="115"/>
      <c r="H58" s="115"/>
      <c r="I58" s="97"/>
      <c r="J58" s="137"/>
    </row>
    <row r="59" spans="1:10" x14ac:dyDescent="0.25">
      <c r="A59" s="67" t="s">
        <v>51</v>
      </c>
      <c r="B59" s="160">
        <v>1800</v>
      </c>
      <c r="C59" s="69" t="s">
        <v>31</v>
      </c>
      <c r="D59" s="122"/>
      <c r="E59" s="122"/>
      <c r="F59" s="123"/>
      <c r="G59" s="124"/>
      <c r="H59" s="124"/>
      <c r="I59" s="97"/>
      <c r="J59" s="137"/>
    </row>
    <row r="60" spans="1:10" x14ac:dyDescent="0.25">
      <c r="A60" s="67" t="s">
        <v>52</v>
      </c>
      <c r="B60" s="160">
        <f>8096.03+1960.75+112267.89+1120.54</f>
        <v>123445.20999999999</v>
      </c>
      <c r="C60" s="69" t="s">
        <v>31</v>
      </c>
      <c r="D60" s="56"/>
      <c r="E60" s="56"/>
      <c r="F60" s="3"/>
      <c r="I60" s="97"/>
      <c r="J60" s="137"/>
    </row>
    <row r="61" spans="1:10" x14ac:dyDescent="0.25">
      <c r="A61" s="67" t="s">
        <v>53</v>
      </c>
      <c r="B61" s="160"/>
      <c r="C61" s="69" t="s">
        <v>54</v>
      </c>
      <c r="D61" s="56"/>
      <c r="E61" s="56"/>
      <c r="F61" s="3"/>
      <c r="I61" s="97"/>
      <c r="J61" s="137"/>
    </row>
    <row r="62" spans="1:10" x14ac:dyDescent="0.25">
      <c r="A62" s="133" t="s">
        <v>154</v>
      </c>
      <c r="B62" s="258">
        <f>C37/1.02</f>
        <v>0</v>
      </c>
      <c r="C62" s="135"/>
      <c r="D62" s="56"/>
      <c r="E62" s="56"/>
      <c r="F62" s="3"/>
      <c r="I62" s="97"/>
      <c r="J62" s="137"/>
    </row>
    <row r="63" spans="1:10" ht="15.75" thickBot="1" x14ac:dyDescent="0.3">
      <c r="A63" s="73" t="s">
        <v>78</v>
      </c>
      <c r="B63" s="162">
        <f>G44/12*6</f>
        <v>768.17647058823536</v>
      </c>
      <c r="C63" s="75" t="s">
        <v>31</v>
      </c>
      <c r="D63" s="56"/>
      <c r="E63" s="56"/>
      <c r="F63" s="3"/>
      <c r="I63" s="97"/>
      <c r="J63" s="137"/>
    </row>
    <row r="64" spans="1:10" x14ac:dyDescent="0.25">
      <c r="A64" s="59"/>
      <c r="B64" s="60"/>
      <c r="C64" s="56"/>
      <c r="D64" s="56"/>
      <c r="E64" s="56"/>
      <c r="F64" s="3"/>
      <c r="I64" s="97"/>
      <c r="J64" s="137"/>
    </row>
    <row r="65" spans="1:10" x14ac:dyDescent="0.25">
      <c r="A65" s="59" t="s">
        <v>202</v>
      </c>
      <c r="B65" s="143">
        <f>C39-C24+B43-B42</f>
        <v>294090.57667619997</v>
      </c>
      <c r="C65" s="56" t="s">
        <v>31</v>
      </c>
      <c r="D65" s="56"/>
      <c r="E65" s="56"/>
      <c r="F65" s="3"/>
      <c r="I65" s="97"/>
      <c r="J65" s="137"/>
    </row>
    <row r="66" spans="1:10" x14ac:dyDescent="0.25">
      <c r="A66" s="59"/>
      <c r="B66" s="2">
        <f>B67+B68+B69+B70+B71+B72</f>
        <v>294090.57667619997</v>
      </c>
      <c r="C66" s="56" t="s">
        <v>31</v>
      </c>
      <c r="D66" s="56"/>
      <c r="E66" s="56"/>
      <c r="F66" s="3"/>
      <c r="I66" s="97"/>
      <c r="J66" s="137"/>
    </row>
    <row r="67" spans="1:10" x14ac:dyDescent="0.25">
      <c r="A67" s="77" t="s">
        <v>56</v>
      </c>
      <c r="B67" s="78">
        <f>C20-B44-B63</f>
        <v>79114.056676200009</v>
      </c>
      <c r="C67" s="56" t="s">
        <v>31</v>
      </c>
      <c r="D67" s="56"/>
      <c r="E67" s="56"/>
      <c r="F67" s="3"/>
      <c r="I67" s="97"/>
      <c r="J67" s="137"/>
    </row>
    <row r="68" spans="1:10" x14ac:dyDescent="0.25">
      <c r="A68" s="77" t="s">
        <v>57</v>
      </c>
      <c r="B68" s="78">
        <f>C22-B58</f>
        <v>11495.800000000003</v>
      </c>
      <c r="C68" s="56" t="s">
        <v>31</v>
      </c>
      <c r="D68" s="56"/>
      <c r="E68" s="56"/>
      <c r="F68" s="3"/>
      <c r="I68" s="97"/>
      <c r="J68" s="137"/>
    </row>
    <row r="69" spans="1:10" x14ac:dyDescent="0.25">
      <c r="A69" s="77" t="s">
        <v>58</v>
      </c>
      <c r="B69" s="78">
        <f>C26-B59</f>
        <v>6731.9</v>
      </c>
      <c r="C69" s="56" t="s">
        <v>31</v>
      </c>
      <c r="D69" s="56"/>
      <c r="E69" s="56"/>
      <c r="F69" s="3"/>
      <c r="I69" s="97"/>
      <c r="J69" s="137"/>
    </row>
    <row r="70" spans="1:10" x14ac:dyDescent="0.25">
      <c r="A70" s="77" t="s">
        <v>59</v>
      </c>
      <c r="B70" s="78">
        <f>C28-B60</f>
        <v>196748.81999999998</v>
      </c>
      <c r="C70" s="56" t="s">
        <v>31</v>
      </c>
      <c r="D70" s="56"/>
      <c r="E70" s="56"/>
      <c r="F70" s="3"/>
      <c r="I70" s="97"/>
      <c r="J70" s="137"/>
    </row>
    <row r="71" spans="1:10" x14ac:dyDescent="0.25">
      <c r="A71" s="77" t="s">
        <v>60</v>
      </c>
      <c r="B71" s="78">
        <f>C35-B61</f>
        <v>0</v>
      </c>
      <c r="C71" s="56" t="s">
        <v>31</v>
      </c>
      <c r="D71" s="56"/>
      <c r="E71" s="56"/>
      <c r="F71" s="3"/>
      <c r="I71" s="97"/>
      <c r="J71" s="137"/>
    </row>
    <row r="72" spans="1:10" x14ac:dyDescent="0.25">
      <c r="A72" s="77" t="s">
        <v>157</v>
      </c>
      <c r="B72" s="78">
        <f>C37-B62</f>
        <v>0</v>
      </c>
      <c r="C72" s="56" t="s">
        <v>31</v>
      </c>
      <c r="I72" s="97"/>
      <c r="J72" s="137"/>
    </row>
    <row r="73" spans="1:10" ht="15.75" thickBot="1" x14ac:dyDescent="0.3">
      <c r="A73" s="77"/>
      <c r="B73" s="78"/>
      <c r="C73" s="56"/>
      <c r="D73" s="98"/>
      <c r="E73" s="99"/>
      <c r="F73" s="100"/>
      <c r="G73" s="97"/>
      <c r="I73" s="97"/>
      <c r="J73" s="137"/>
    </row>
    <row r="74" spans="1:10" ht="15.75" thickBot="1" x14ac:dyDescent="0.3">
      <c r="A74" s="227" t="s">
        <v>146</v>
      </c>
      <c r="B74" s="228"/>
      <c r="C74" s="229"/>
      <c r="D74" s="101"/>
      <c r="E74" s="101"/>
      <c r="F74" s="101"/>
      <c r="G74" s="97"/>
      <c r="I74" s="97"/>
      <c r="J74" s="137"/>
    </row>
    <row r="75" spans="1:10" ht="39" thickBot="1" x14ac:dyDescent="0.3">
      <c r="A75" s="230" t="s">
        <v>80</v>
      </c>
      <c r="B75" s="231" t="s">
        <v>61</v>
      </c>
      <c r="C75" s="232" t="s">
        <v>67</v>
      </c>
      <c r="D75" s="102"/>
      <c r="E75" s="103"/>
      <c r="F75" s="104"/>
      <c r="G75" s="97"/>
      <c r="I75" s="97"/>
      <c r="J75" s="137"/>
    </row>
    <row r="76" spans="1:10" x14ac:dyDescent="0.25">
      <c r="A76" s="233" t="s">
        <v>62</v>
      </c>
      <c r="B76" s="234" t="s">
        <v>31</v>
      </c>
      <c r="C76" s="235" t="s">
        <v>31</v>
      </c>
      <c r="D76" s="102"/>
      <c r="E76" s="103"/>
      <c r="F76" s="104"/>
      <c r="G76" s="97"/>
      <c r="I76" s="97"/>
      <c r="J76" s="137"/>
    </row>
    <row r="77" spans="1:10" x14ac:dyDescent="0.25">
      <c r="A77" s="148" t="s">
        <v>218</v>
      </c>
      <c r="B77" s="236"/>
      <c r="C77" s="237">
        <v>6500</v>
      </c>
      <c r="D77" s="102"/>
      <c r="E77" s="103"/>
      <c r="F77" s="104"/>
      <c r="G77" s="97"/>
      <c r="I77" s="97"/>
      <c r="J77" s="137"/>
    </row>
    <row r="78" spans="1:10" x14ac:dyDescent="0.25">
      <c r="A78" s="238" t="s">
        <v>150</v>
      </c>
      <c r="B78" s="236"/>
      <c r="C78" s="237">
        <f>7565+250+1389.66</f>
        <v>9204.66</v>
      </c>
      <c r="D78" s="102"/>
      <c r="E78" s="103"/>
      <c r="F78" s="104"/>
      <c r="G78" s="97"/>
      <c r="I78" s="97"/>
      <c r="J78" s="137"/>
    </row>
    <row r="79" spans="1:10" ht="15.75" thickBot="1" x14ac:dyDescent="0.3">
      <c r="A79" s="239" t="s">
        <v>5</v>
      </c>
      <c r="B79" s="240">
        <f>B77</f>
        <v>0</v>
      </c>
      <c r="C79" s="260">
        <f>C77+C78</f>
        <v>15704.66</v>
      </c>
      <c r="D79" s="105"/>
      <c r="E79" s="103"/>
      <c r="F79" s="104"/>
      <c r="G79" s="97"/>
    </row>
    <row r="80" spans="1:10" x14ac:dyDescent="0.25">
      <c r="A80" s="31"/>
      <c r="B80" s="33"/>
      <c r="C80" s="87"/>
      <c r="D80" s="105"/>
      <c r="E80" s="103"/>
      <c r="F80" s="104"/>
      <c r="G80" s="97"/>
    </row>
    <row r="81" spans="1:6" x14ac:dyDescent="0.25">
      <c r="A81" s="164" t="s">
        <v>132</v>
      </c>
      <c r="B81" s="149"/>
      <c r="C81" s="215"/>
      <c r="D81" s="216"/>
      <c r="E81" s="89"/>
    </row>
    <row r="82" spans="1:6" x14ac:dyDescent="0.25">
      <c r="A82" s="217"/>
      <c r="B82" s="149"/>
      <c r="C82" s="215"/>
      <c r="D82" s="218"/>
      <c r="E82" s="89"/>
    </row>
    <row r="83" spans="1:6" x14ac:dyDescent="0.25">
      <c r="A83" s="165" t="s">
        <v>133</v>
      </c>
      <c r="B83" s="149" t="s">
        <v>134</v>
      </c>
      <c r="C83" s="219"/>
      <c r="D83" s="216"/>
      <c r="E83" s="89"/>
      <c r="F83" s="94"/>
    </row>
    <row r="84" spans="1:6" x14ac:dyDescent="0.25">
      <c r="A84" s="165"/>
      <c r="B84" s="149"/>
      <c r="C84" s="219"/>
      <c r="D84" s="216"/>
      <c r="E84" s="89"/>
    </row>
    <row r="85" spans="1:6" x14ac:dyDescent="0.25">
      <c r="A85" s="220"/>
      <c r="B85" s="221"/>
      <c r="C85" s="219"/>
      <c r="D85" s="150"/>
      <c r="E85" s="89"/>
    </row>
    <row r="86" spans="1:6" ht="15.75" x14ac:dyDescent="0.25">
      <c r="A86" s="223" t="s">
        <v>63</v>
      </c>
      <c r="B86" s="224" t="s">
        <v>134</v>
      </c>
      <c r="C86" s="225"/>
      <c r="D86" s="226" t="s">
        <v>66</v>
      </c>
      <c r="E86" s="89"/>
    </row>
    <row r="87" spans="1:6" x14ac:dyDescent="0.25">
      <c r="A87" s="95"/>
      <c r="B87" s="96"/>
      <c r="C87" s="89"/>
      <c r="D87" s="93"/>
      <c r="E87" s="56"/>
      <c r="F87" s="3"/>
    </row>
    <row r="88" spans="1:6" x14ac:dyDescent="0.25">
      <c r="A88" s="31"/>
      <c r="B88" s="33"/>
      <c r="C88" s="33"/>
      <c r="D88" s="56"/>
      <c r="E88" s="89"/>
    </row>
    <row r="89" spans="1:6" x14ac:dyDescent="0.25">
      <c r="A89" s="31"/>
      <c r="B89" s="33"/>
      <c r="C89" s="33"/>
      <c r="D89" s="56"/>
      <c r="E89" s="56"/>
    </row>
    <row r="90" spans="1:6" x14ac:dyDescent="0.25">
      <c r="A90" s="31"/>
      <c r="B90" s="33"/>
      <c r="C90" s="33"/>
      <c r="D90" s="89"/>
      <c r="E90" s="89"/>
    </row>
    <row r="91" spans="1:6" x14ac:dyDescent="0.25">
      <c r="A91" s="31"/>
      <c r="B91" s="33"/>
      <c r="D91" s="89"/>
      <c r="E91" s="89"/>
    </row>
    <row r="92" spans="1:6" x14ac:dyDescent="0.25">
      <c r="D92" s="89"/>
      <c r="E92" s="89"/>
    </row>
    <row r="93" spans="1:6" x14ac:dyDescent="0.25">
      <c r="D93" s="89"/>
      <c r="E93" s="89"/>
    </row>
    <row r="94" spans="1:6" x14ac:dyDescent="0.25">
      <c r="D94" s="89"/>
      <c r="E94" s="89"/>
    </row>
    <row r="95" spans="1:6" x14ac:dyDescent="0.25">
      <c r="D95" s="89"/>
      <c r="E95" s="89"/>
    </row>
    <row r="96" spans="1:6" x14ac:dyDescent="0.25">
      <c r="B96"/>
      <c r="C96"/>
      <c r="D96" s="56"/>
      <c r="E96" s="56"/>
      <c r="F96" s="3"/>
    </row>
    <row r="97" spans="2:6" x14ac:dyDescent="0.25">
      <c r="B97"/>
      <c r="C97"/>
      <c r="D97" s="89"/>
      <c r="E97" s="89"/>
      <c r="F97" s="3"/>
    </row>
    <row r="98" spans="2:6" x14ac:dyDescent="0.25">
      <c r="B98"/>
      <c r="C98"/>
      <c r="D98" s="89"/>
      <c r="E98" s="89"/>
    </row>
    <row r="99" spans="2:6" x14ac:dyDescent="0.25">
      <c r="B99"/>
      <c r="C99"/>
      <c r="D99" s="33"/>
      <c r="E99" s="33"/>
    </row>
    <row r="100" spans="2:6" x14ac:dyDescent="0.25">
      <c r="B100"/>
      <c r="C100"/>
      <c r="D100" s="33"/>
      <c r="E100" s="33"/>
    </row>
    <row r="101" spans="2:6" x14ac:dyDescent="0.25">
      <c r="D101" s="33"/>
      <c r="E101" s="33"/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V100"/>
  <sheetViews>
    <sheetView view="pageBreakPreview" zoomScale="60" zoomScaleNormal="100" workbookViewId="0">
      <selection activeCell="D41" sqref="D41:G53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4.85546875" style="3" customWidth="1"/>
    <col min="5" max="5" width="17.570312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223</v>
      </c>
      <c r="B2" s="2"/>
      <c r="C2" s="2"/>
      <c r="D2" s="20"/>
    </row>
    <row r="3" spans="1:22" ht="15.75" thickBot="1" x14ac:dyDescent="0.3">
      <c r="A3" s="1" t="s">
        <v>220</v>
      </c>
      <c r="B3" s="2"/>
      <c r="C3" s="2"/>
      <c r="D3" s="20"/>
      <c r="L3" s="108"/>
      <c r="M3" s="108"/>
      <c r="N3" s="108"/>
      <c r="O3" s="108"/>
    </row>
    <row r="4" spans="1:22" ht="15.75" thickBot="1" x14ac:dyDescent="0.3">
      <c r="A4" s="22" t="s">
        <v>0</v>
      </c>
      <c r="B4" s="202"/>
      <c r="C4" s="203"/>
      <c r="D4" s="208"/>
      <c r="E4" s="125"/>
      <c r="L4" s="108"/>
      <c r="M4" s="108"/>
      <c r="N4" s="108"/>
      <c r="O4" s="108"/>
    </row>
    <row r="5" spans="1:22" ht="40.5" customHeight="1" thickBot="1" x14ac:dyDescent="0.3">
      <c r="A5" s="6" t="s">
        <v>1</v>
      </c>
      <c r="B5" s="8" t="s">
        <v>2</v>
      </c>
      <c r="C5" s="9" t="s">
        <v>3</v>
      </c>
      <c r="D5" s="131"/>
      <c r="E5" s="97"/>
      <c r="K5" s="108"/>
      <c r="L5" s="108"/>
      <c r="M5" s="108"/>
      <c r="N5" s="108"/>
    </row>
    <row r="6" spans="1:22" ht="15.75" thickBot="1" x14ac:dyDescent="0.3">
      <c r="A6" s="151" t="s">
        <v>224</v>
      </c>
      <c r="B6" s="153">
        <v>412.9</v>
      </c>
      <c r="C6" s="154">
        <f>28</f>
        <v>28</v>
      </c>
      <c r="D6" s="125"/>
      <c r="E6" s="97"/>
      <c r="K6" s="108"/>
      <c r="L6" s="108"/>
      <c r="M6" s="108"/>
      <c r="N6" s="108"/>
    </row>
    <row r="7" spans="1:22" x14ac:dyDescent="0.25">
      <c r="A7" s="10"/>
      <c r="B7" s="86"/>
      <c r="C7" s="152"/>
      <c r="D7" s="125"/>
      <c r="E7" s="97"/>
      <c r="K7" s="108"/>
      <c r="L7" s="108"/>
      <c r="M7" s="108"/>
      <c r="N7" s="108"/>
    </row>
    <row r="8" spans="1:22" ht="15.75" thickBot="1" x14ac:dyDescent="0.3">
      <c r="A8" s="16" t="s">
        <v>5</v>
      </c>
      <c r="B8" s="17">
        <f>B6+B7</f>
        <v>412.9</v>
      </c>
      <c r="C8" s="18">
        <f>C6</f>
        <v>28</v>
      </c>
      <c r="D8" s="125"/>
      <c r="E8" s="97"/>
      <c r="K8" s="108"/>
      <c r="L8" s="108"/>
      <c r="M8" s="108"/>
      <c r="N8" s="108"/>
    </row>
    <row r="9" spans="1:22" ht="15.75" thickBot="1" x14ac:dyDescent="0.3">
      <c r="A9" s="194"/>
      <c r="B9" s="106"/>
      <c r="C9" s="106"/>
      <c r="D9" s="195"/>
      <c r="E9" s="125"/>
      <c r="L9" s="108"/>
      <c r="M9" s="108"/>
      <c r="N9" s="108"/>
      <c r="O9" s="108"/>
    </row>
    <row r="10" spans="1:22" ht="15.75" thickBot="1" x14ac:dyDescent="0.3">
      <c r="A10" s="22" t="s">
        <v>112</v>
      </c>
      <c r="B10" s="23"/>
      <c r="C10" s="23"/>
      <c r="D10" s="24" t="s">
        <v>6</v>
      </c>
      <c r="E10" s="125"/>
      <c r="F10" s="97"/>
      <c r="G10" s="97"/>
      <c r="H10" s="97"/>
      <c r="I10" s="97"/>
      <c r="J10" s="97"/>
      <c r="K10" s="97"/>
      <c r="L10" s="108"/>
      <c r="M10" s="108"/>
      <c r="N10" s="108"/>
      <c r="O10" s="108"/>
    </row>
    <row r="11" spans="1:22" x14ac:dyDescent="0.25">
      <c r="A11" s="25" t="s">
        <v>7</v>
      </c>
      <c r="B11" s="20"/>
      <c r="C11" s="20"/>
      <c r="D11" s="27">
        <v>9</v>
      </c>
      <c r="E11" s="125"/>
      <c r="F11" s="97"/>
      <c r="G11" s="97"/>
      <c r="H11" s="97"/>
      <c r="I11" s="97"/>
      <c r="J11" s="97"/>
      <c r="K11" s="97"/>
      <c r="L11" s="108"/>
      <c r="M11" s="108"/>
      <c r="N11" s="108"/>
      <c r="O11" s="108"/>
    </row>
    <row r="12" spans="1:22" x14ac:dyDescent="0.25">
      <c r="A12" s="25" t="s">
        <v>8</v>
      </c>
      <c r="B12" s="20"/>
      <c r="C12" s="20"/>
      <c r="D12" s="27">
        <v>7</v>
      </c>
      <c r="E12" s="125"/>
      <c r="F12" s="97"/>
      <c r="G12" s="97"/>
      <c r="H12" s="97"/>
      <c r="I12" s="97"/>
      <c r="J12" s="97"/>
      <c r="K12" s="97"/>
      <c r="L12" s="108"/>
      <c r="M12" s="108"/>
      <c r="N12" s="108"/>
      <c r="O12" s="108"/>
    </row>
    <row r="13" spans="1:22" x14ac:dyDescent="0.25">
      <c r="A13" s="25" t="s">
        <v>9</v>
      </c>
      <c r="B13" s="20"/>
      <c r="C13" s="20"/>
      <c r="D13" s="26">
        <v>0</v>
      </c>
      <c r="E13" s="125"/>
      <c r="F13" s="97"/>
      <c r="G13" s="97"/>
      <c r="H13" s="97"/>
      <c r="I13" s="97"/>
      <c r="J13" s="97"/>
      <c r="K13" s="97"/>
      <c r="L13" s="108"/>
      <c r="M13" s="108"/>
      <c r="N13" s="108"/>
      <c r="O13" s="108"/>
    </row>
    <row r="14" spans="1:22" ht="15.75" thickBot="1" x14ac:dyDescent="0.3">
      <c r="A14" s="28" t="s">
        <v>10</v>
      </c>
      <c r="B14" s="193"/>
      <c r="C14" s="193"/>
      <c r="D14" s="30">
        <v>0</v>
      </c>
      <c r="E14" s="125"/>
      <c r="F14" s="97"/>
      <c r="G14" s="97"/>
      <c r="H14" s="97"/>
      <c r="I14" s="97"/>
      <c r="J14" s="97"/>
      <c r="K14" s="97"/>
      <c r="L14" s="108"/>
      <c r="M14" s="108"/>
      <c r="N14" s="108"/>
      <c r="O14" s="108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209"/>
      <c r="B15" s="131"/>
      <c r="C15" s="131"/>
      <c r="D15" s="131"/>
      <c r="E15" s="125"/>
      <c r="F15" s="97"/>
      <c r="G15" s="97"/>
      <c r="H15" s="97"/>
      <c r="I15" s="97"/>
      <c r="J15" s="97"/>
      <c r="K15" s="97"/>
      <c r="L15" s="108"/>
      <c r="M15" s="108"/>
      <c r="N15" s="108"/>
      <c r="O15" s="108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113</v>
      </c>
      <c r="B16" s="206"/>
      <c r="C16" s="206"/>
      <c r="D16" s="206"/>
      <c r="E16" s="207"/>
      <c r="F16" s="97"/>
      <c r="G16" s="97"/>
      <c r="H16" s="97"/>
      <c r="I16" s="97"/>
      <c r="J16" s="97"/>
      <c r="K16" s="97"/>
      <c r="L16" s="108"/>
      <c r="M16" s="109"/>
      <c r="N16" s="109"/>
      <c r="O16" s="108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196"/>
      <c r="B17" s="131"/>
      <c r="C17" s="131"/>
      <c r="D17" s="131"/>
      <c r="E17" s="210"/>
      <c r="F17" s="97"/>
      <c r="G17" s="97"/>
      <c r="H17" s="97"/>
      <c r="I17" s="97"/>
      <c r="J17" s="97"/>
      <c r="K17" s="97"/>
      <c r="L17" s="109"/>
      <c r="M17" s="110"/>
      <c r="N17" s="109"/>
      <c r="O17" s="108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196"/>
      <c r="B18" s="131"/>
      <c r="C18" s="131"/>
      <c r="D18" s="131"/>
      <c r="E18" s="210"/>
      <c r="F18" s="97"/>
      <c r="G18" s="97"/>
      <c r="H18" s="97"/>
      <c r="I18" s="97"/>
      <c r="J18" s="97"/>
      <c r="K18" s="97"/>
      <c r="L18" s="108"/>
      <c r="M18" s="108"/>
      <c r="N18" s="108"/>
      <c r="O18" s="108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114</v>
      </c>
      <c r="C19" s="38" t="s">
        <v>115</v>
      </c>
      <c r="D19" s="38" t="s">
        <v>116</v>
      </c>
      <c r="E19" s="39" t="s">
        <v>117</v>
      </c>
      <c r="F19" s="97"/>
      <c r="G19" s="97"/>
      <c r="H19" s="97"/>
      <c r="I19" s="97"/>
      <c r="J19" s="97"/>
      <c r="K19" s="97"/>
      <c r="L19" s="108"/>
      <c r="M19" s="111"/>
      <c r="N19" s="111"/>
      <c r="O19" s="108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/>
      <c r="C20" s="41">
        <v>14864.4</v>
      </c>
      <c r="D20" s="40">
        <v>8070.19</v>
      </c>
      <c r="E20" s="42">
        <f t="shared" ref="E20:E38" si="0">C20-D20+B20</f>
        <v>6794.21</v>
      </c>
      <c r="F20" s="116">
        <f>C20+F22</f>
        <v>26425.599999999999</v>
      </c>
      <c r="G20" s="117">
        <f>100</f>
        <v>100</v>
      </c>
      <c r="H20" s="115" t="s">
        <v>64</v>
      </c>
      <c r="I20" s="97"/>
      <c r="J20" s="97"/>
      <c r="K20" s="97"/>
      <c r="L20" s="108"/>
      <c r="M20" s="108"/>
      <c r="N20" s="108"/>
      <c r="O20" s="108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16"/>
      <c r="G21" s="117"/>
      <c r="H21" s="115"/>
      <c r="I21" s="97"/>
      <c r="J21" s="97"/>
      <c r="K21" s="97"/>
      <c r="L21" s="108"/>
      <c r="M21" s="108"/>
      <c r="N21" s="108"/>
      <c r="O21" s="108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/>
      <c r="C22" s="44">
        <v>11561.2</v>
      </c>
      <c r="D22" s="43">
        <v>6278.23</v>
      </c>
      <c r="E22" s="45">
        <f t="shared" si="0"/>
        <v>5282.9700000000012</v>
      </c>
      <c r="F22" s="116">
        <f>C22</f>
        <v>11561.2</v>
      </c>
      <c r="G22" s="118">
        <f>F22*G20/F20</f>
        <v>43.75</v>
      </c>
      <c r="H22" s="115" t="s">
        <v>64</v>
      </c>
      <c r="I22" s="97"/>
      <c r="J22" s="97"/>
      <c r="K22" s="97"/>
      <c r="L22" s="108"/>
      <c r="M22" s="108"/>
      <c r="N22" s="111"/>
      <c r="O22" s="108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97"/>
      <c r="G23" s="97"/>
      <c r="H23" s="97"/>
      <c r="I23" s="97"/>
      <c r="J23" s="97"/>
      <c r="K23" s="97"/>
      <c r="L23" s="108"/>
      <c r="M23" s="108"/>
      <c r="N23" s="108"/>
      <c r="O23" s="108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44"/>
      <c r="D24" s="44"/>
      <c r="E24" s="45">
        <f t="shared" si="0"/>
        <v>0</v>
      </c>
      <c r="F24" s="97"/>
      <c r="G24" s="97"/>
      <c r="H24" s="97"/>
      <c r="I24" s="97"/>
      <c r="J24" s="97"/>
      <c r="K24" s="97"/>
      <c r="L24" s="108"/>
      <c r="M24" s="108"/>
      <c r="N24" s="108"/>
      <c r="O24" s="108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97"/>
      <c r="G25" s="97"/>
      <c r="H25" s="97"/>
      <c r="I25" s="97"/>
      <c r="J25" s="97"/>
      <c r="K25" s="97"/>
      <c r="L25" s="108"/>
      <c r="M25" s="108"/>
      <c r="N25" s="108"/>
      <c r="O25" s="108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/>
      <c r="C26" s="44"/>
      <c r="D26" s="44"/>
      <c r="E26" s="45">
        <f t="shared" si="0"/>
        <v>0</v>
      </c>
      <c r="F26" s="97"/>
      <c r="G26" s="97"/>
      <c r="H26" s="97"/>
      <c r="I26" s="97"/>
      <c r="J26" s="97"/>
      <c r="K26" s="97"/>
      <c r="L26" s="108"/>
      <c r="M26" s="108"/>
      <c r="N26" s="108"/>
      <c r="O26" s="108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83</v>
      </c>
      <c r="B27" s="44"/>
      <c r="C27" s="44"/>
      <c r="D27" s="44"/>
      <c r="E27" s="45">
        <f t="shared" si="0"/>
        <v>0</v>
      </c>
      <c r="F27" s="97"/>
      <c r="G27" s="97"/>
      <c r="H27" s="97"/>
      <c r="I27" s="97"/>
      <c r="J27" s="97"/>
      <c r="K27" s="97"/>
      <c r="L27" s="108"/>
      <c r="M27" s="108"/>
      <c r="N27" s="108"/>
      <c r="O27" s="108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0</v>
      </c>
      <c r="C28" s="50">
        <f>C29+C30+C31+C33+C32</f>
        <v>53457.39</v>
      </c>
      <c r="D28" s="50">
        <f>D29+D30+D31+D33+D32</f>
        <v>39802.129999999997</v>
      </c>
      <c r="E28" s="51">
        <f>C28-D28+B28</f>
        <v>13655.260000000002</v>
      </c>
      <c r="F28" s="97"/>
      <c r="G28" s="97"/>
      <c r="H28" s="97"/>
      <c r="I28" s="97"/>
      <c r="J28" s="97"/>
      <c r="K28" s="97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204" t="s">
        <v>22</v>
      </c>
      <c r="B29" s="40"/>
      <c r="C29" s="40">
        <f>44134.7</f>
        <v>44134.7</v>
      </c>
      <c r="D29" s="40">
        <v>23947.439999999999</v>
      </c>
      <c r="E29" s="42">
        <f t="shared" si="0"/>
        <v>20187.259999999998</v>
      </c>
      <c r="F29" s="97"/>
      <c r="G29" s="97"/>
      <c r="H29" s="97"/>
      <c r="I29" s="97"/>
      <c r="J29" s="97"/>
      <c r="K29" s="97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205" t="s">
        <v>23</v>
      </c>
      <c r="B30" s="43"/>
      <c r="C30" s="43"/>
      <c r="D30" s="43">
        <f>4486.61+4409.19</f>
        <v>8895.7999999999993</v>
      </c>
      <c r="E30" s="45">
        <f t="shared" si="0"/>
        <v>-8895.7999999999993</v>
      </c>
      <c r="F30" s="97"/>
      <c r="G30" s="97"/>
      <c r="H30" s="97"/>
      <c r="I30" s="97"/>
      <c r="J30" s="97"/>
      <c r="K30" s="97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205" t="s">
        <v>24</v>
      </c>
      <c r="B31" s="43"/>
      <c r="C31" s="43">
        <f>4656.61</f>
        <v>4656.6099999999997</v>
      </c>
      <c r="D31" s="43">
        <v>3069.75</v>
      </c>
      <c r="E31" s="45">
        <f t="shared" si="0"/>
        <v>1586.8599999999997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205" t="s">
        <v>90</v>
      </c>
      <c r="B32" s="43"/>
      <c r="C32" s="43"/>
      <c r="D32" s="43"/>
      <c r="E32" s="45">
        <f t="shared" si="0"/>
        <v>0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205" t="s">
        <v>25</v>
      </c>
      <c r="B33" s="43"/>
      <c r="C33" s="43">
        <f>4666.08</f>
        <v>4666.08</v>
      </c>
      <c r="D33" s="43">
        <f>3889.14</f>
        <v>3889.14</v>
      </c>
      <c r="E33" s="45">
        <f t="shared" si="0"/>
        <v>776.94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205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74</v>
      </c>
      <c r="B35" s="186"/>
      <c r="C35" s="55"/>
      <c r="D35" s="55"/>
      <c r="E35" s="45">
        <f t="shared" si="0"/>
        <v>0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155</v>
      </c>
      <c r="B37" s="44"/>
      <c r="C37" s="44"/>
      <c r="D37" s="44"/>
      <c r="E37" s="45">
        <f t="shared" si="0"/>
        <v>0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/>
      <c r="C38" s="46"/>
      <c r="D38" s="46"/>
      <c r="E38" s="47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0</v>
      </c>
      <c r="C39" s="58">
        <f>C20+C21+C22+C23+C24+C25+C26+C28+C35+C36+C37+C38</f>
        <v>79882.989999999991</v>
      </c>
      <c r="D39" s="58">
        <f>D20+D21+D22+D23+D24+D25+D26+D28+D35+D36+D37+D38+D27</f>
        <v>54150.549999999996</v>
      </c>
      <c r="E39" s="58">
        <f>E20+E21+E22+E23+E24+E25+E26+E28+E35+E36+E37+E38+E27</f>
        <v>25732.440000000002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59"/>
      <c r="B40" s="60"/>
      <c r="C40" s="56"/>
      <c r="D40" s="122"/>
      <c r="E40" s="122"/>
      <c r="F40" s="123"/>
      <c r="G40" s="124"/>
      <c r="H40" s="124"/>
      <c r="I40" s="124"/>
      <c r="J40" s="137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59"/>
      <c r="B41" s="60"/>
      <c r="C41" s="56"/>
      <c r="D41" s="119"/>
      <c r="E41" s="119"/>
      <c r="F41" s="138"/>
      <c r="G41" s="115"/>
      <c r="H41" s="97"/>
      <c r="I41" s="97"/>
      <c r="J41" s="137"/>
    </row>
    <row r="42" spans="1:22" ht="15.75" thickBot="1" x14ac:dyDescent="0.3">
      <c r="A42" s="61" t="s">
        <v>30</v>
      </c>
      <c r="B42" s="62">
        <f>B44+B60+B61+B58+B63+B59+B62</f>
        <v>101090.43004097142</v>
      </c>
      <c r="C42" s="63" t="s">
        <v>31</v>
      </c>
      <c r="D42" s="119">
        <f>C39-B42-B63</f>
        <v>-21415.624914921009</v>
      </c>
      <c r="E42" s="272" t="s">
        <v>32</v>
      </c>
      <c r="F42" s="273">
        <v>5512727.4500000002</v>
      </c>
      <c r="G42" s="274">
        <f>F42/F48*B8</f>
        <v>19127.774488277308</v>
      </c>
      <c r="H42" s="97"/>
      <c r="I42" s="97"/>
      <c r="J42" s="137"/>
    </row>
    <row r="43" spans="1:22" x14ac:dyDescent="0.25">
      <c r="A43" s="64"/>
      <c r="B43" s="183"/>
      <c r="C43" s="69" t="s">
        <v>31</v>
      </c>
      <c r="D43" s="119"/>
      <c r="E43" s="272" t="s">
        <v>33</v>
      </c>
      <c r="F43" s="273">
        <v>1264951.0900000001</v>
      </c>
      <c r="G43" s="274">
        <f>F43/F48*B8</f>
        <v>4389.0613870672269</v>
      </c>
      <c r="H43" s="97"/>
      <c r="I43" s="97"/>
      <c r="J43" s="137"/>
    </row>
    <row r="44" spans="1:22" x14ac:dyDescent="0.25">
      <c r="A44" s="67" t="s">
        <v>34</v>
      </c>
      <c r="B44" s="160">
        <f>B45+B46+B48+B49+B50+B51+B52+B53+B54+B55+B56+B47+B57</f>
        <v>24085.105167021848</v>
      </c>
      <c r="C44" s="69" t="s">
        <v>31</v>
      </c>
      <c r="D44" s="119"/>
      <c r="E44" s="272" t="s">
        <v>35</v>
      </c>
      <c r="F44" s="273">
        <v>180000</v>
      </c>
      <c r="G44" s="274">
        <f>F44/F48*B8</f>
        <v>624.55462184873943</v>
      </c>
      <c r="H44" s="97"/>
      <c r="I44" s="97"/>
      <c r="J44" s="137"/>
    </row>
    <row r="45" spans="1:22" x14ac:dyDescent="0.25">
      <c r="A45" s="70" t="s">
        <v>76</v>
      </c>
      <c r="B45" s="184">
        <v>3824.48</v>
      </c>
      <c r="C45" s="71" t="s">
        <v>31</v>
      </c>
      <c r="D45" s="119"/>
      <c r="E45" s="272" t="s">
        <v>18</v>
      </c>
      <c r="F45" s="273">
        <f>299837.27</f>
        <v>299837.27</v>
      </c>
      <c r="G45" s="274">
        <f>F45/F48*B8</f>
        <v>1040.3597376722689</v>
      </c>
      <c r="H45" s="97"/>
      <c r="I45" s="97"/>
      <c r="J45" s="137"/>
    </row>
    <row r="46" spans="1:22" x14ac:dyDescent="0.25">
      <c r="A46" s="72" t="s">
        <v>37</v>
      </c>
      <c r="B46" s="184">
        <f>(G42+G43)/12*4</f>
        <v>7838.9452917815115</v>
      </c>
      <c r="C46" s="71" t="s">
        <v>31</v>
      </c>
      <c r="D46" s="119"/>
      <c r="E46" s="275" t="s">
        <v>38</v>
      </c>
      <c r="F46" s="273">
        <f>7000+1260+30890+4200</f>
        <v>43350</v>
      </c>
      <c r="G46" s="274">
        <f>F46/F48*B8</f>
        <v>150.4135714285714</v>
      </c>
      <c r="H46" s="97"/>
      <c r="I46" s="97"/>
      <c r="J46" s="137"/>
    </row>
    <row r="47" spans="1:22" x14ac:dyDescent="0.25">
      <c r="A47" s="72" t="s">
        <v>39</v>
      </c>
      <c r="B47" s="184"/>
      <c r="C47" s="71" t="s">
        <v>31</v>
      </c>
      <c r="D47" s="119"/>
      <c r="E47" s="274" t="s">
        <v>12</v>
      </c>
      <c r="F47" s="273">
        <f>8022857.59-F46</f>
        <v>7979507.5899999999</v>
      </c>
      <c r="G47" s="274">
        <f>F47/F48*B8</f>
        <v>27686.879696731088</v>
      </c>
      <c r="H47" s="97"/>
      <c r="I47" s="97"/>
      <c r="J47" s="137"/>
    </row>
    <row r="48" spans="1:22" x14ac:dyDescent="0.25">
      <c r="A48" s="70" t="s">
        <v>40</v>
      </c>
      <c r="B48" s="184">
        <f>G46/12*4+484</f>
        <v>534.13785714285711</v>
      </c>
      <c r="C48" s="71" t="s">
        <v>31</v>
      </c>
      <c r="D48" s="119"/>
      <c r="E48" s="276" t="s">
        <v>41</v>
      </c>
      <c r="F48" s="277">
        <f>119000</f>
        <v>119000</v>
      </c>
      <c r="G48" s="274"/>
      <c r="H48" s="97"/>
      <c r="I48" s="97"/>
      <c r="J48" s="137"/>
    </row>
    <row r="49" spans="1:10" x14ac:dyDescent="0.25">
      <c r="A49" s="70" t="s">
        <v>42</v>
      </c>
      <c r="B49" s="184">
        <f>G45/12*4</f>
        <v>346.78657922408962</v>
      </c>
      <c r="C49" s="71" t="s">
        <v>31</v>
      </c>
      <c r="D49" s="119"/>
      <c r="E49" s="278"/>
      <c r="F49" s="274"/>
      <c r="G49" s="274"/>
      <c r="H49" s="97"/>
      <c r="I49" s="97"/>
      <c r="J49" s="137"/>
    </row>
    <row r="50" spans="1:10" x14ac:dyDescent="0.25">
      <c r="A50" s="70" t="s">
        <v>141</v>
      </c>
      <c r="B50" s="184">
        <f>G47/12*4</f>
        <v>9228.9598989103633</v>
      </c>
      <c r="C50" s="71" t="s">
        <v>31</v>
      </c>
      <c r="D50" s="119"/>
      <c r="E50" s="279" t="s">
        <v>70</v>
      </c>
      <c r="F50" s="277">
        <f>1910.32</f>
        <v>1910.32</v>
      </c>
      <c r="G50" s="279">
        <f>F50/F48*B8</f>
        <v>6.6283288067226884</v>
      </c>
      <c r="H50" s="97"/>
      <c r="I50" s="97"/>
      <c r="J50" s="137"/>
    </row>
    <row r="51" spans="1:10" x14ac:dyDescent="0.25">
      <c r="A51" s="70" t="s">
        <v>44</v>
      </c>
      <c r="B51" s="184">
        <f>G52/12*4</f>
        <v>19.002190028011203</v>
      </c>
      <c r="C51" s="71" t="s">
        <v>31</v>
      </c>
      <c r="D51" s="119"/>
      <c r="E51" s="119"/>
      <c r="F51" s="120"/>
      <c r="G51" s="121"/>
      <c r="H51" s="97"/>
      <c r="I51" s="97"/>
      <c r="J51" s="137"/>
    </row>
    <row r="52" spans="1:10" x14ac:dyDescent="0.25">
      <c r="A52" s="70" t="s">
        <v>45</v>
      </c>
      <c r="B52" s="184">
        <f>G50/12*4</f>
        <v>2.2094429355742293</v>
      </c>
      <c r="C52" s="71" t="s">
        <v>31</v>
      </c>
      <c r="D52" s="119"/>
      <c r="E52" s="119" t="s">
        <v>125</v>
      </c>
      <c r="F52" s="280">
        <f>16429.6</f>
        <v>16429.599999999999</v>
      </c>
      <c r="G52" s="279">
        <f>F52/F48*B8</f>
        <v>57.006570084033605</v>
      </c>
      <c r="H52" s="97"/>
      <c r="I52" s="97"/>
      <c r="J52" s="137"/>
    </row>
    <row r="53" spans="1:10" x14ac:dyDescent="0.25">
      <c r="A53" s="70" t="s">
        <v>46</v>
      </c>
      <c r="B53" s="184"/>
      <c r="C53" s="71" t="s">
        <v>31</v>
      </c>
      <c r="D53" s="119"/>
      <c r="E53" s="119"/>
      <c r="F53" s="120"/>
      <c r="G53" s="121"/>
      <c r="H53" s="97"/>
      <c r="I53" s="97"/>
      <c r="J53" s="137"/>
    </row>
    <row r="54" spans="1:10" x14ac:dyDescent="0.25">
      <c r="A54" s="191" t="s">
        <v>225</v>
      </c>
      <c r="B54" s="184"/>
      <c r="C54" s="71" t="s">
        <v>31</v>
      </c>
      <c r="D54" s="101"/>
      <c r="E54" s="101"/>
      <c r="F54" s="131"/>
      <c r="G54" s="132"/>
      <c r="H54" s="97"/>
      <c r="I54" s="97"/>
      <c r="J54" s="137"/>
    </row>
    <row r="55" spans="1:10" x14ac:dyDescent="0.25">
      <c r="A55" s="70" t="s">
        <v>48</v>
      </c>
      <c r="B55" s="184">
        <v>495.48</v>
      </c>
      <c r="C55" s="71" t="s">
        <v>31</v>
      </c>
      <c r="D55" s="101"/>
      <c r="E55" s="101"/>
      <c r="F55" s="125"/>
      <c r="G55" s="97"/>
      <c r="H55" s="97"/>
      <c r="I55" s="97"/>
      <c r="J55" s="137"/>
    </row>
    <row r="56" spans="1:10" x14ac:dyDescent="0.25">
      <c r="A56" s="70" t="s">
        <v>49</v>
      </c>
      <c r="B56" s="184">
        <f>(B46+B47+B48+B49+B50+B52+B53+B54)*0.1</f>
        <v>1795.1039069994397</v>
      </c>
      <c r="C56" s="71" t="s">
        <v>31</v>
      </c>
      <c r="D56" s="101"/>
      <c r="E56" s="101"/>
      <c r="F56" s="125"/>
      <c r="G56" s="97"/>
      <c r="H56" s="97"/>
      <c r="I56" s="97"/>
      <c r="J56" s="137"/>
    </row>
    <row r="57" spans="1:10" x14ac:dyDescent="0.25">
      <c r="A57" s="70" t="s">
        <v>103</v>
      </c>
      <c r="B57" s="184"/>
      <c r="C57" s="71" t="s">
        <v>31</v>
      </c>
      <c r="D57" s="119"/>
      <c r="E57" s="119"/>
      <c r="F57" s="138"/>
      <c r="G57" s="115"/>
      <c r="H57" s="137"/>
      <c r="I57" s="97"/>
      <c r="J57" s="137"/>
    </row>
    <row r="58" spans="1:10" x14ac:dyDescent="0.25">
      <c r="A58" s="67" t="s">
        <v>50</v>
      </c>
      <c r="B58" s="160"/>
      <c r="C58" s="69" t="s">
        <v>31</v>
      </c>
      <c r="D58" s="122"/>
      <c r="E58" s="122"/>
      <c r="F58" s="123"/>
      <c r="G58" s="124"/>
      <c r="H58" s="124"/>
      <c r="I58" s="97"/>
      <c r="J58" s="137"/>
    </row>
    <row r="59" spans="1:10" x14ac:dyDescent="0.25">
      <c r="A59" s="67" t="s">
        <v>51</v>
      </c>
      <c r="B59" s="160"/>
      <c r="C59" s="69" t="s">
        <v>31</v>
      </c>
      <c r="D59" s="122"/>
      <c r="E59" s="122"/>
      <c r="F59" s="123"/>
      <c r="G59" s="124"/>
      <c r="H59" s="124"/>
      <c r="I59" s="97"/>
      <c r="J59" s="137"/>
    </row>
    <row r="60" spans="1:10" x14ac:dyDescent="0.25">
      <c r="A60" s="67" t="s">
        <v>52</v>
      </c>
      <c r="B60" s="160">
        <f>6170.33+70626.81</f>
        <v>76797.14</v>
      </c>
      <c r="C60" s="69" t="s">
        <v>31</v>
      </c>
      <c r="D60" s="56"/>
      <c r="E60" s="56"/>
      <c r="F60" s="3"/>
      <c r="I60" s="97"/>
      <c r="J60" s="137"/>
    </row>
    <row r="61" spans="1:10" x14ac:dyDescent="0.25">
      <c r="A61" s="67" t="s">
        <v>53</v>
      </c>
      <c r="B61" s="160"/>
      <c r="C61" s="69" t="s">
        <v>54</v>
      </c>
      <c r="D61" s="56"/>
      <c r="E61" s="56"/>
      <c r="F61" s="3"/>
      <c r="I61" s="97"/>
      <c r="J61" s="137"/>
    </row>
    <row r="62" spans="1:10" x14ac:dyDescent="0.25">
      <c r="A62" s="133" t="s">
        <v>154</v>
      </c>
      <c r="B62" s="258">
        <f>C37/1.02</f>
        <v>0</v>
      </c>
      <c r="C62" s="135"/>
      <c r="D62" s="56"/>
      <c r="E62" s="56"/>
      <c r="F62" s="3"/>
      <c r="I62" s="97"/>
      <c r="J62" s="137"/>
    </row>
    <row r="63" spans="1:10" ht="15.75" thickBot="1" x14ac:dyDescent="0.3">
      <c r="A63" s="73" t="s">
        <v>78</v>
      </c>
      <c r="B63" s="162">
        <f>G44/12*4</f>
        <v>208.18487394957981</v>
      </c>
      <c r="C63" s="75" t="s">
        <v>31</v>
      </c>
      <c r="D63" s="56"/>
      <c r="E63" s="56"/>
      <c r="F63" s="3"/>
      <c r="I63" s="97"/>
      <c r="J63" s="137"/>
    </row>
    <row r="64" spans="1:10" x14ac:dyDescent="0.25">
      <c r="A64" s="59"/>
      <c r="B64" s="60"/>
      <c r="C64" s="56"/>
      <c r="D64" s="56"/>
      <c r="E64" s="56"/>
      <c r="F64" s="3"/>
      <c r="I64" s="97"/>
      <c r="J64" s="137"/>
    </row>
    <row r="65" spans="1:10" x14ac:dyDescent="0.25">
      <c r="A65" s="59" t="s">
        <v>202</v>
      </c>
      <c r="B65" s="143">
        <f>C39-C24+B43-B42</f>
        <v>-21207.440040971429</v>
      </c>
      <c r="C65" s="56" t="s">
        <v>31</v>
      </c>
      <c r="D65" s="56"/>
      <c r="E65" s="56"/>
      <c r="F65" s="3"/>
      <c r="I65" s="97"/>
      <c r="J65" s="137"/>
    </row>
    <row r="66" spans="1:10" x14ac:dyDescent="0.25">
      <c r="A66" s="59"/>
      <c r="B66" s="2">
        <f>B67+B68+B69+B70+B71+B72</f>
        <v>-21207.440040971429</v>
      </c>
      <c r="C66" s="56" t="s">
        <v>31</v>
      </c>
      <c r="D66" s="56"/>
      <c r="E66" s="56"/>
      <c r="F66" s="3"/>
      <c r="I66" s="97"/>
      <c r="J66" s="137"/>
    </row>
    <row r="67" spans="1:10" x14ac:dyDescent="0.25">
      <c r="A67" s="77" t="s">
        <v>56</v>
      </c>
      <c r="B67" s="78">
        <f>C20-B44-B63</f>
        <v>-9428.8900409714279</v>
      </c>
      <c r="C67" s="56" t="s">
        <v>31</v>
      </c>
      <c r="D67" s="56"/>
      <c r="E67" s="56"/>
      <c r="F67" s="3"/>
      <c r="I67" s="97"/>
      <c r="J67" s="137"/>
    </row>
    <row r="68" spans="1:10" x14ac:dyDescent="0.25">
      <c r="A68" s="77" t="s">
        <v>57</v>
      </c>
      <c r="B68" s="78">
        <f>C22-B58</f>
        <v>11561.2</v>
      </c>
      <c r="C68" s="56" t="s">
        <v>31</v>
      </c>
      <c r="D68" s="56"/>
      <c r="E68" s="56"/>
      <c r="F68" s="3"/>
      <c r="I68" s="97"/>
      <c r="J68" s="137"/>
    </row>
    <row r="69" spans="1:10" x14ac:dyDescent="0.25">
      <c r="A69" s="77" t="s">
        <v>58</v>
      </c>
      <c r="B69" s="78">
        <f>C26-B59</f>
        <v>0</v>
      </c>
      <c r="C69" s="56" t="s">
        <v>31</v>
      </c>
      <c r="D69" s="56"/>
      <c r="E69" s="56"/>
      <c r="F69" s="3"/>
      <c r="I69" s="97"/>
      <c r="J69" s="137"/>
    </row>
    <row r="70" spans="1:10" x14ac:dyDescent="0.25">
      <c r="A70" s="77" t="s">
        <v>59</v>
      </c>
      <c r="B70" s="78">
        <f>C28-B60</f>
        <v>-23339.75</v>
      </c>
      <c r="C70" s="56" t="s">
        <v>31</v>
      </c>
      <c r="D70" s="56"/>
      <c r="E70" s="56"/>
      <c r="F70" s="3"/>
      <c r="I70" s="97"/>
      <c r="J70" s="137"/>
    </row>
    <row r="71" spans="1:10" x14ac:dyDescent="0.25">
      <c r="A71" s="77" t="s">
        <v>60</v>
      </c>
      <c r="B71" s="78">
        <f>C35-B61</f>
        <v>0</v>
      </c>
      <c r="C71" s="56" t="s">
        <v>31</v>
      </c>
      <c r="D71" s="56"/>
      <c r="E71" s="56"/>
      <c r="F71" s="3"/>
      <c r="I71" s="97"/>
      <c r="J71" s="137"/>
    </row>
    <row r="72" spans="1:10" x14ac:dyDescent="0.25">
      <c r="A72" s="77" t="s">
        <v>157</v>
      </c>
      <c r="B72" s="78">
        <f>C37-B62</f>
        <v>0</v>
      </c>
      <c r="C72" s="56" t="s">
        <v>31</v>
      </c>
      <c r="I72" s="97"/>
      <c r="J72" s="137"/>
    </row>
    <row r="73" spans="1:10" ht="15.75" thickBot="1" x14ac:dyDescent="0.3">
      <c r="A73" s="77"/>
      <c r="B73" s="78"/>
      <c r="C73" s="56"/>
      <c r="D73" s="98"/>
      <c r="E73" s="99"/>
      <c r="F73" s="100"/>
      <c r="G73" s="97"/>
      <c r="I73" s="97"/>
      <c r="J73" s="137"/>
    </row>
    <row r="74" spans="1:10" ht="15.75" thickBot="1" x14ac:dyDescent="0.3">
      <c r="A74" s="227" t="s">
        <v>146</v>
      </c>
      <c r="B74" s="228"/>
      <c r="C74" s="229"/>
      <c r="D74" s="101"/>
      <c r="E74" s="101"/>
      <c r="F74" s="101"/>
      <c r="G74" s="97"/>
      <c r="I74" s="97"/>
      <c r="J74" s="137"/>
    </row>
    <row r="75" spans="1:10" ht="39" thickBot="1" x14ac:dyDescent="0.3">
      <c r="A75" s="230" t="s">
        <v>80</v>
      </c>
      <c r="B75" s="231" t="s">
        <v>61</v>
      </c>
      <c r="C75" s="232" t="s">
        <v>67</v>
      </c>
      <c r="D75" s="102"/>
      <c r="E75" s="103"/>
      <c r="F75" s="104"/>
      <c r="G75" s="97"/>
      <c r="I75" s="97"/>
      <c r="J75" s="137"/>
    </row>
    <row r="76" spans="1:10" x14ac:dyDescent="0.25">
      <c r="A76" s="233" t="s">
        <v>62</v>
      </c>
      <c r="B76" s="234" t="s">
        <v>31</v>
      </c>
      <c r="C76" s="235" t="s">
        <v>31</v>
      </c>
      <c r="D76" s="102"/>
      <c r="E76" s="103"/>
      <c r="F76" s="104"/>
      <c r="G76" s="97"/>
      <c r="I76" s="97"/>
      <c r="J76" s="137"/>
    </row>
    <row r="77" spans="1:10" x14ac:dyDescent="0.25">
      <c r="A77" s="148"/>
      <c r="B77" s="236"/>
      <c r="C77" s="259"/>
      <c r="D77" s="102"/>
      <c r="E77" s="103"/>
      <c r="F77" s="104"/>
      <c r="G77" s="97"/>
      <c r="I77" s="97"/>
      <c r="J77" s="137"/>
    </row>
    <row r="78" spans="1:10" ht="15.75" thickBot="1" x14ac:dyDescent="0.3">
      <c r="A78" s="239" t="s">
        <v>5</v>
      </c>
      <c r="B78" s="240">
        <f>B77</f>
        <v>0</v>
      </c>
      <c r="C78" s="260">
        <v>0</v>
      </c>
      <c r="D78" s="105"/>
      <c r="E78" s="103"/>
      <c r="F78" s="104"/>
      <c r="G78" s="97"/>
      <c r="I78" s="97"/>
      <c r="J78" s="137"/>
    </row>
    <row r="79" spans="1:10" x14ac:dyDescent="0.25">
      <c r="A79" s="31"/>
      <c r="B79" s="33"/>
      <c r="C79" s="87"/>
      <c r="D79" s="105"/>
      <c r="E79" s="103"/>
      <c r="F79" s="104"/>
      <c r="G79" s="97"/>
      <c r="I79" s="97"/>
      <c r="J79" s="137"/>
    </row>
    <row r="80" spans="1:10" x14ac:dyDescent="0.25">
      <c r="A80" s="164" t="s">
        <v>132</v>
      </c>
      <c r="B80" s="149"/>
      <c r="C80" s="215"/>
      <c r="D80" s="216"/>
      <c r="E80" s="89"/>
      <c r="I80" s="97"/>
      <c r="J80" s="137"/>
    </row>
    <row r="81" spans="1:10" x14ac:dyDescent="0.25">
      <c r="A81" s="217"/>
      <c r="B81" s="149"/>
      <c r="C81" s="215"/>
      <c r="D81" s="218"/>
      <c r="E81" s="89"/>
      <c r="I81" s="97"/>
      <c r="J81" s="137"/>
    </row>
    <row r="82" spans="1:10" x14ac:dyDescent="0.25">
      <c r="A82" s="165" t="s">
        <v>133</v>
      </c>
      <c r="B82" s="149" t="s">
        <v>134</v>
      </c>
      <c r="C82" s="219"/>
      <c r="D82" s="216"/>
      <c r="E82" s="89"/>
      <c r="F82" s="94"/>
      <c r="I82" s="97"/>
      <c r="J82" s="137"/>
    </row>
    <row r="83" spans="1:10" x14ac:dyDescent="0.25">
      <c r="A83" s="165"/>
      <c r="B83" s="149"/>
      <c r="C83" s="219"/>
      <c r="D83" s="216"/>
      <c r="E83" s="89"/>
    </row>
    <row r="84" spans="1:10" x14ac:dyDescent="0.25">
      <c r="A84" s="220"/>
      <c r="B84" s="221"/>
      <c r="C84" s="219"/>
      <c r="D84" s="150"/>
      <c r="E84" s="89"/>
    </row>
    <row r="85" spans="1:10" ht="15.75" x14ac:dyDescent="0.25">
      <c r="A85" s="223" t="s">
        <v>63</v>
      </c>
      <c r="B85" s="224" t="s">
        <v>134</v>
      </c>
      <c r="C85" s="225"/>
      <c r="D85" s="226" t="s">
        <v>66</v>
      </c>
      <c r="E85" s="89"/>
    </row>
    <row r="86" spans="1:10" x14ac:dyDescent="0.25">
      <c r="A86" s="95"/>
      <c r="B86" s="96"/>
      <c r="C86" s="89"/>
      <c r="D86" s="93"/>
      <c r="E86" s="56"/>
      <c r="F86" s="3"/>
    </row>
    <row r="87" spans="1:10" x14ac:dyDescent="0.25">
      <c r="A87" s="31"/>
      <c r="B87" s="33"/>
      <c r="C87" s="33"/>
      <c r="D87" s="56"/>
      <c r="E87" s="89"/>
    </row>
    <row r="88" spans="1:10" x14ac:dyDescent="0.25">
      <c r="A88" s="31"/>
      <c r="B88" s="33"/>
      <c r="C88" s="33"/>
      <c r="D88" s="56"/>
      <c r="E88" s="56"/>
    </row>
    <row r="89" spans="1:10" x14ac:dyDescent="0.25">
      <c r="A89" s="31"/>
      <c r="B89" s="33"/>
      <c r="C89" s="33"/>
      <c r="D89" s="89"/>
      <c r="E89" s="89"/>
    </row>
    <row r="90" spans="1:10" x14ac:dyDescent="0.25">
      <c r="A90" s="31"/>
      <c r="B90" s="33"/>
      <c r="D90" s="89"/>
      <c r="E90" s="89"/>
    </row>
    <row r="91" spans="1:10" x14ac:dyDescent="0.25">
      <c r="D91" s="89"/>
      <c r="E91" s="89"/>
    </row>
    <row r="92" spans="1:10" x14ac:dyDescent="0.25">
      <c r="D92" s="89"/>
      <c r="E92" s="89"/>
    </row>
    <row r="93" spans="1:10" x14ac:dyDescent="0.25">
      <c r="D93" s="89"/>
      <c r="E93" s="89"/>
    </row>
    <row r="94" spans="1:10" x14ac:dyDescent="0.25">
      <c r="D94" s="89"/>
      <c r="E94" s="89"/>
    </row>
    <row r="95" spans="1:10" x14ac:dyDescent="0.25">
      <c r="B95"/>
      <c r="C95"/>
      <c r="D95" s="56"/>
      <c r="E95" s="56"/>
      <c r="F95" s="3"/>
    </row>
    <row r="96" spans="1:10" x14ac:dyDescent="0.25">
      <c r="B96"/>
      <c r="C96"/>
      <c r="D96" s="89"/>
      <c r="E96" s="89"/>
      <c r="F96" s="3"/>
    </row>
    <row r="97" spans="2:5" x14ac:dyDescent="0.25">
      <c r="B97"/>
      <c r="C97"/>
      <c r="D97" s="89"/>
      <c r="E97" s="89"/>
    </row>
    <row r="98" spans="2:5" x14ac:dyDescent="0.25">
      <c r="B98"/>
      <c r="C98"/>
      <c r="D98" s="33"/>
      <c r="E98" s="33"/>
    </row>
    <row r="99" spans="2:5" x14ac:dyDescent="0.25">
      <c r="B99"/>
      <c r="C99"/>
      <c r="D99" s="33"/>
      <c r="E99" s="33"/>
    </row>
    <row r="100" spans="2:5" x14ac:dyDescent="0.25">
      <c r="D100" s="33"/>
      <c r="E100" s="33"/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V100"/>
  <sheetViews>
    <sheetView view="pageBreakPreview" topLeftCell="A53" zoomScale="60" zoomScaleNormal="100" workbookViewId="0">
      <selection activeCell="D41" sqref="D41:G53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4.85546875" style="3" customWidth="1"/>
    <col min="5" max="5" width="17.570312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226</v>
      </c>
      <c r="B2" s="2"/>
      <c r="C2" s="2"/>
      <c r="D2" s="20"/>
    </row>
    <row r="3" spans="1:22" ht="15.75" thickBot="1" x14ac:dyDescent="0.3">
      <c r="A3" s="1" t="s">
        <v>220</v>
      </c>
      <c r="B3" s="2"/>
      <c r="C3" s="2"/>
      <c r="D3" s="20"/>
      <c r="L3" s="108"/>
      <c r="M3" s="108"/>
      <c r="N3" s="108"/>
      <c r="O3" s="108"/>
    </row>
    <row r="4" spans="1:22" ht="15.75" thickBot="1" x14ac:dyDescent="0.3">
      <c r="A4" s="22" t="s">
        <v>0</v>
      </c>
      <c r="B4" s="202"/>
      <c r="C4" s="203"/>
      <c r="D4" s="208"/>
      <c r="E4" s="125"/>
      <c r="L4" s="108"/>
      <c r="M4" s="108"/>
      <c r="N4" s="108"/>
      <c r="O4" s="108"/>
    </row>
    <row r="5" spans="1:22" ht="40.5" customHeight="1" thickBot="1" x14ac:dyDescent="0.3">
      <c r="A5" s="6" t="s">
        <v>1</v>
      </c>
      <c r="B5" s="8" t="s">
        <v>2</v>
      </c>
      <c r="C5" s="9" t="s">
        <v>3</v>
      </c>
      <c r="D5" s="131"/>
      <c r="E5" s="97"/>
      <c r="K5" s="108"/>
      <c r="L5" s="108"/>
      <c r="M5" s="108"/>
      <c r="N5" s="108"/>
    </row>
    <row r="6" spans="1:22" ht="15.75" thickBot="1" x14ac:dyDescent="0.3">
      <c r="A6" s="151" t="s">
        <v>227</v>
      </c>
      <c r="B6" s="153">
        <v>413.2</v>
      </c>
      <c r="C6" s="154">
        <v>21</v>
      </c>
      <c r="D6" s="125"/>
      <c r="E6" s="97"/>
      <c r="K6" s="108"/>
      <c r="L6" s="108"/>
      <c r="M6" s="108"/>
      <c r="N6" s="108"/>
    </row>
    <row r="7" spans="1:22" x14ac:dyDescent="0.25">
      <c r="A7" s="10"/>
      <c r="B7" s="86"/>
      <c r="C7" s="152"/>
      <c r="D7" s="125"/>
      <c r="E7" s="97"/>
      <c r="K7" s="108"/>
      <c r="L7" s="108"/>
      <c r="M7" s="108"/>
      <c r="N7" s="108"/>
    </row>
    <row r="8" spans="1:22" ht="15.75" thickBot="1" x14ac:dyDescent="0.3">
      <c r="A8" s="16" t="s">
        <v>5</v>
      </c>
      <c r="B8" s="17">
        <f>B6+B7</f>
        <v>413.2</v>
      </c>
      <c r="C8" s="18">
        <f>C6</f>
        <v>21</v>
      </c>
      <c r="D8" s="125"/>
      <c r="E8" s="97"/>
      <c r="K8" s="108"/>
      <c r="L8" s="108"/>
      <c r="M8" s="108"/>
      <c r="N8" s="108"/>
    </row>
    <row r="9" spans="1:22" ht="15.75" thickBot="1" x14ac:dyDescent="0.3">
      <c r="A9" s="194"/>
      <c r="B9" s="106"/>
      <c r="C9" s="106"/>
      <c r="D9" s="195"/>
      <c r="E9" s="125"/>
      <c r="L9" s="108"/>
      <c r="M9" s="108"/>
      <c r="N9" s="108"/>
      <c r="O9" s="108"/>
    </row>
    <row r="10" spans="1:22" ht="15.75" thickBot="1" x14ac:dyDescent="0.3">
      <c r="A10" s="22" t="s">
        <v>112</v>
      </c>
      <c r="B10" s="23"/>
      <c r="C10" s="23"/>
      <c r="D10" s="24" t="s">
        <v>6</v>
      </c>
      <c r="E10" s="125"/>
      <c r="F10" s="97"/>
      <c r="G10" s="97"/>
      <c r="H10" s="97"/>
      <c r="I10" s="97"/>
      <c r="J10" s="97"/>
      <c r="K10" s="97"/>
      <c r="L10" s="108"/>
      <c r="M10" s="108"/>
      <c r="N10" s="108"/>
      <c r="O10" s="108"/>
    </row>
    <row r="11" spans="1:22" x14ac:dyDescent="0.25">
      <c r="A11" s="25" t="s">
        <v>7</v>
      </c>
      <c r="B11" s="20"/>
      <c r="C11" s="20"/>
      <c r="D11" s="27">
        <v>9</v>
      </c>
      <c r="E11" s="125"/>
      <c r="F11" s="97"/>
      <c r="G11" s="97"/>
      <c r="H11" s="97"/>
      <c r="I11" s="97"/>
      <c r="J11" s="97"/>
      <c r="K11" s="97"/>
      <c r="L11" s="108"/>
      <c r="M11" s="108"/>
      <c r="N11" s="108"/>
      <c r="O11" s="108"/>
    </row>
    <row r="12" spans="1:22" x14ac:dyDescent="0.25">
      <c r="A12" s="25" t="s">
        <v>8</v>
      </c>
      <c r="B12" s="20"/>
      <c r="C12" s="20"/>
      <c r="D12" s="27">
        <v>7</v>
      </c>
      <c r="E12" s="125"/>
      <c r="F12" s="97"/>
      <c r="G12" s="97"/>
      <c r="H12" s="97"/>
      <c r="I12" s="97"/>
      <c r="J12" s="97"/>
      <c r="K12" s="97"/>
      <c r="L12" s="108"/>
      <c r="M12" s="108"/>
      <c r="N12" s="108"/>
      <c r="O12" s="108"/>
    </row>
    <row r="13" spans="1:22" x14ac:dyDescent="0.25">
      <c r="A13" s="25" t="s">
        <v>9</v>
      </c>
      <c r="B13" s="20"/>
      <c r="C13" s="20"/>
      <c r="D13" s="26">
        <v>0</v>
      </c>
      <c r="E13" s="125"/>
      <c r="F13" s="97"/>
      <c r="G13" s="97"/>
      <c r="H13" s="97"/>
      <c r="I13" s="97"/>
      <c r="J13" s="97"/>
      <c r="K13" s="97"/>
      <c r="L13" s="108"/>
      <c r="M13" s="108"/>
      <c r="N13" s="108"/>
      <c r="O13" s="108"/>
    </row>
    <row r="14" spans="1:22" ht="15.75" thickBot="1" x14ac:dyDescent="0.3">
      <c r="A14" s="28" t="s">
        <v>10</v>
      </c>
      <c r="B14" s="193"/>
      <c r="C14" s="193"/>
      <c r="D14" s="30">
        <v>0</v>
      </c>
      <c r="E14" s="125"/>
      <c r="F14" s="97"/>
      <c r="G14" s="97"/>
      <c r="H14" s="97"/>
      <c r="I14" s="97"/>
      <c r="J14" s="97"/>
      <c r="K14" s="97"/>
      <c r="L14" s="108"/>
      <c r="M14" s="108"/>
      <c r="N14" s="108"/>
      <c r="O14" s="108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209"/>
      <c r="B15" s="131"/>
      <c r="C15" s="131"/>
      <c r="D15" s="131"/>
      <c r="E15" s="125"/>
      <c r="F15" s="97"/>
      <c r="G15" s="97"/>
      <c r="H15" s="97"/>
      <c r="I15" s="97"/>
      <c r="J15" s="97"/>
      <c r="K15" s="97"/>
      <c r="L15" s="108"/>
      <c r="M15" s="108"/>
      <c r="N15" s="108"/>
      <c r="O15" s="108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113</v>
      </c>
      <c r="B16" s="206"/>
      <c r="C16" s="206"/>
      <c r="D16" s="206"/>
      <c r="E16" s="207"/>
      <c r="F16" s="97"/>
      <c r="G16" s="97"/>
      <c r="H16" s="97"/>
      <c r="I16" s="97"/>
      <c r="J16" s="97"/>
      <c r="K16" s="97"/>
      <c r="L16" s="108"/>
      <c r="M16" s="109"/>
      <c r="N16" s="109"/>
      <c r="O16" s="108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196"/>
      <c r="B17" s="131"/>
      <c r="C17" s="131"/>
      <c r="D17" s="131"/>
      <c r="E17" s="210"/>
      <c r="F17" s="97"/>
      <c r="G17" s="97"/>
      <c r="H17" s="97"/>
      <c r="I17" s="97"/>
      <c r="J17" s="97"/>
      <c r="K17" s="97"/>
      <c r="L17" s="109"/>
      <c r="M17" s="110"/>
      <c r="N17" s="109"/>
      <c r="O17" s="108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196"/>
      <c r="B18" s="131"/>
      <c r="C18" s="131"/>
      <c r="D18" s="131"/>
      <c r="E18" s="210"/>
      <c r="F18" s="97"/>
      <c r="G18" s="97"/>
      <c r="H18" s="97"/>
      <c r="I18" s="97"/>
      <c r="J18" s="97"/>
      <c r="K18" s="97"/>
      <c r="L18" s="108"/>
      <c r="M18" s="108"/>
      <c r="N18" s="108"/>
      <c r="O18" s="108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114</v>
      </c>
      <c r="C19" s="38" t="s">
        <v>115</v>
      </c>
      <c r="D19" s="38" t="s">
        <v>116</v>
      </c>
      <c r="E19" s="39" t="s">
        <v>117</v>
      </c>
      <c r="F19" s="97"/>
      <c r="G19" s="97"/>
      <c r="H19" s="97"/>
      <c r="I19" s="97"/>
      <c r="J19" s="97"/>
      <c r="K19" s="97"/>
      <c r="L19" s="108"/>
      <c r="M19" s="111"/>
      <c r="N19" s="111"/>
      <c r="O19" s="108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/>
      <c r="C20" s="41">
        <v>14875.2</v>
      </c>
      <c r="D20" s="40">
        <v>5786.64</v>
      </c>
      <c r="E20" s="42">
        <f t="shared" ref="E20:E38" si="0">C20-D20+B20</f>
        <v>9088.5600000000013</v>
      </c>
      <c r="F20" s="116">
        <f>C20+F22</f>
        <v>26444.800000000003</v>
      </c>
      <c r="G20" s="117">
        <f>100</f>
        <v>100</v>
      </c>
      <c r="H20" s="115" t="s">
        <v>64</v>
      </c>
      <c r="I20" s="97"/>
      <c r="J20" s="97"/>
      <c r="K20" s="97"/>
      <c r="L20" s="108"/>
      <c r="M20" s="108"/>
      <c r="N20" s="108"/>
      <c r="O20" s="108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16"/>
      <c r="G21" s="117"/>
      <c r="H21" s="115"/>
      <c r="I21" s="97"/>
      <c r="J21" s="97"/>
      <c r="K21" s="97"/>
      <c r="L21" s="108"/>
      <c r="M21" s="108"/>
      <c r="N21" s="108"/>
      <c r="O21" s="108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/>
      <c r="C22" s="44">
        <v>11569.6</v>
      </c>
      <c r="D22" s="43">
        <v>4747.91</v>
      </c>
      <c r="E22" s="45">
        <f t="shared" si="0"/>
        <v>6821.6900000000005</v>
      </c>
      <c r="F22" s="116">
        <f>C22</f>
        <v>11569.6</v>
      </c>
      <c r="G22" s="118">
        <f>F22*G20/F20</f>
        <v>43.749999999999993</v>
      </c>
      <c r="H22" s="115" t="s">
        <v>64</v>
      </c>
      <c r="I22" s="97"/>
      <c r="J22" s="97"/>
      <c r="K22" s="97"/>
      <c r="L22" s="108"/>
      <c r="M22" s="108"/>
      <c r="N22" s="111"/>
      <c r="O22" s="108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97"/>
      <c r="G23" s="97"/>
      <c r="H23" s="97"/>
      <c r="I23" s="97"/>
      <c r="J23" s="97"/>
      <c r="K23" s="97"/>
      <c r="L23" s="108"/>
      <c r="M23" s="108"/>
      <c r="N23" s="108"/>
      <c r="O23" s="108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44"/>
      <c r="D24" s="44"/>
      <c r="E24" s="45">
        <f t="shared" si="0"/>
        <v>0</v>
      </c>
      <c r="F24" s="97"/>
      <c r="G24" s="97"/>
      <c r="H24" s="97"/>
      <c r="I24" s="97"/>
      <c r="J24" s="97"/>
      <c r="K24" s="97"/>
      <c r="L24" s="108"/>
      <c r="M24" s="108"/>
      <c r="N24" s="108"/>
      <c r="O24" s="108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97"/>
      <c r="G25" s="97"/>
      <c r="H25" s="97"/>
      <c r="I25" s="97"/>
      <c r="J25" s="97"/>
      <c r="K25" s="97"/>
      <c r="L25" s="108"/>
      <c r="M25" s="108"/>
      <c r="N25" s="108"/>
      <c r="O25" s="108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/>
      <c r="C26" s="44"/>
      <c r="D26" s="44"/>
      <c r="E26" s="45">
        <f t="shared" si="0"/>
        <v>0</v>
      </c>
      <c r="F26" s="97"/>
      <c r="G26" s="97"/>
      <c r="H26" s="97"/>
      <c r="I26" s="97"/>
      <c r="J26" s="97"/>
      <c r="K26" s="97"/>
      <c r="L26" s="108"/>
      <c r="M26" s="108"/>
      <c r="N26" s="108"/>
      <c r="O26" s="108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83</v>
      </c>
      <c r="B27" s="44"/>
      <c r="C27" s="44"/>
      <c r="D27" s="44"/>
      <c r="E27" s="45">
        <f t="shared" si="0"/>
        <v>0</v>
      </c>
      <c r="F27" s="97"/>
      <c r="G27" s="97"/>
      <c r="H27" s="97"/>
      <c r="I27" s="97"/>
      <c r="J27" s="97"/>
      <c r="K27" s="97"/>
      <c r="L27" s="108"/>
      <c r="M27" s="108"/>
      <c r="N27" s="108"/>
      <c r="O27" s="108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0</v>
      </c>
      <c r="C28" s="50">
        <f>C29+C30+C31+C33+C32</f>
        <v>77731.03</v>
      </c>
      <c r="D28" s="50">
        <f>D29+D30+D31+D33+D32</f>
        <v>28749.790000000005</v>
      </c>
      <c r="E28" s="51">
        <f>C28-D28+B28</f>
        <v>48981.239999999991</v>
      </c>
      <c r="F28" s="97"/>
      <c r="G28" s="97"/>
      <c r="H28" s="97"/>
      <c r="I28" s="97"/>
      <c r="J28" s="97"/>
      <c r="K28" s="97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204" t="s">
        <v>22</v>
      </c>
      <c r="B29" s="40"/>
      <c r="C29" s="40">
        <v>44168.46</v>
      </c>
      <c r="D29" s="40">
        <v>15939.21</v>
      </c>
      <c r="E29" s="42">
        <f t="shared" si="0"/>
        <v>28229.25</v>
      </c>
      <c r="F29" s="97"/>
      <c r="G29" s="97"/>
      <c r="H29" s="97"/>
      <c r="I29" s="97"/>
      <c r="J29" s="97"/>
      <c r="K29" s="97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205" t="s">
        <v>23</v>
      </c>
      <c r="B30" s="43"/>
      <c r="C30" s="43">
        <f>15680+4703.64</f>
        <v>20383.64</v>
      </c>
      <c r="D30" s="43">
        <f>4401.85+2838.27</f>
        <v>7240.1200000000008</v>
      </c>
      <c r="E30" s="45">
        <f t="shared" si="0"/>
        <v>13143.519999999999</v>
      </c>
      <c r="F30" s="97"/>
      <c r="G30" s="97"/>
      <c r="H30" s="97"/>
      <c r="I30" s="97"/>
      <c r="J30" s="97"/>
      <c r="K30" s="97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205" t="s">
        <v>24</v>
      </c>
      <c r="B31" s="43"/>
      <c r="C31" s="43">
        <f>5165.61</f>
        <v>5165.6099999999997</v>
      </c>
      <c r="D31" s="43">
        <f>2387.81</f>
        <v>2387.81</v>
      </c>
      <c r="E31" s="45">
        <f t="shared" si="0"/>
        <v>2777.7999999999997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205" t="s">
        <v>90</v>
      </c>
      <c r="B32" s="43"/>
      <c r="C32" s="43"/>
      <c r="D32" s="43"/>
      <c r="E32" s="45">
        <f t="shared" si="0"/>
        <v>0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205" t="s">
        <v>25</v>
      </c>
      <c r="B33" s="43"/>
      <c r="C33" s="43">
        <v>8013.32</v>
      </c>
      <c r="D33" s="43">
        <v>3182.65</v>
      </c>
      <c r="E33" s="45">
        <f t="shared" si="0"/>
        <v>4830.67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205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74</v>
      </c>
      <c r="B35" s="186"/>
      <c r="C35" s="55"/>
      <c r="D35" s="55"/>
      <c r="E35" s="45">
        <f t="shared" si="0"/>
        <v>0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155</v>
      </c>
      <c r="B37" s="44"/>
      <c r="C37" s="44"/>
      <c r="D37" s="44"/>
      <c r="E37" s="45">
        <f t="shared" si="0"/>
        <v>0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/>
      <c r="C38" s="46"/>
      <c r="D38" s="46"/>
      <c r="E38" s="47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0</v>
      </c>
      <c r="C39" s="58">
        <f>C20+C21+C22+C23+C24+C25+C26+C28+C35+C36+C37+C38</f>
        <v>104175.83</v>
      </c>
      <c r="D39" s="58">
        <f>D20+D21+D22+D23+D24+D25+D26+D28+D35+D36+D37+D38+D27</f>
        <v>39284.340000000004</v>
      </c>
      <c r="E39" s="58">
        <f>E20+E21+E22+E23+E24+E25+E26+E28+E35+E36+E37+E38+E27</f>
        <v>64891.489999999991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59"/>
      <c r="B40" s="60"/>
      <c r="C40" s="56"/>
      <c r="D40" s="122"/>
      <c r="E40" s="122"/>
      <c r="F40" s="123"/>
      <c r="G40" s="124"/>
      <c r="H40" s="124"/>
      <c r="I40" s="124"/>
      <c r="J40" s="137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59"/>
      <c r="B41" s="60"/>
      <c r="C41" s="56"/>
      <c r="D41" s="119"/>
      <c r="E41" s="119"/>
      <c r="F41" s="138"/>
      <c r="G41" s="115"/>
      <c r="H41" s="97"/>
      <c r="I41" s="97"/>
      <c r="J41" s="137"/>
    </row>
    <row r="42" spans="1:22" ht="15.75" thickBot="1" x14ac:dyDescent="0.3">
      <c r="A42" s="61" t="s">
        <v>30</v>
      </c>
      <c r="B42" s="62">
        <f>B44+B60+B61+B58+B63+B59+B62</f>
        <v>97517.70320205715</v>
      </c>
      <c r="C42" s="63" t="s">
        <v>31</v>
      </c>
      <c r="D42" s="119">
        <f>C39-B42-B63</f>
        <v>6449.7906634890705</v>
      </c>
      <c r="E42" s="272" t="s">
        <v>32</v>
      </c>
      <c r="F42" s="273">
        <v>5512727.4500000002</v>
      </c>
      <c r="G42" s="274">
        <f>F42/F48*B8</f>
        <v>19141.672120504201</v>
      </c>
      <c r="H42" s="97"/>
      <c r="I42" s="97"/>
      <c r="J42" s="137"/>
    </row>
    <row r="43" spans="1:22" x14ac:dyDescent="0.25">
      <c r="A43" s="250"/>
      <c r="B43" s="183"/>
      <c r="C43" s="251" t="s">
        <v>31</v>
      </c>
      <c r="D43" s="119"/>
      <c r="E43" s="272" t="s">
        <v>33</v>
      </c>
      <c r="F43" s="273">
        <v>1264951.0900000001</v>
      </c>
      <c r="G43" s="274">
        <f>F43/F48*B8</f>
        <v>4392.2503393949582</v>
      </c>
      <c r="H43" s="97"/>
      <c r="I43" s="97"/>
      <c r="J43" s="137"/>
    </row>
    <row r="44" spans="1:22" x14ac:dyDescent="0.25">
      <c r="A44" s="246" t="s">
        <v>34</v>
      </c>
      <c r="B44" s="160">
        <f>B45+B46+B48+B49+B50+B51+B52+B53+B54+B55+B56+B47+B57</f>
        <v>27006.677067603363</v>
      </c>
      <c r="C44" s="251" t="s">
        <v>31</v>
      </c>
      <c r="D44" s="119"/>
      <c r="E44" s="272" t="s">
        <v>35</v>
      </c>
      <c r="F44" s="273">
        <v>180000</v>
      </c>
      <c r="G44" s="274">
        <f>F44/F48*B8</f>
        <v>625.00840336134445</v>
      </c>
      <c r="H44" s="97"/>
      <c r="I44" s="97"/>
      <c r="J44" s="137"/>
    </row>
    <row r="45" spans="1:22" x14ac:dyDescent="0.25">
      <c r="A45" s="252" t="s">
        <v>76</v>
      </c>
      <c r="B45" s="184">
        <v>6691.67</v>
      </c>
      <c r="C45" s="185" t="s">
        <v>31</v>
      </c>
      <c r="D45" s="119"/>
      <c r="E45" s="272" t="s">
        <v>18</v>
      </c>
      <c r="F45" s="273">
        <f>299837.27</f>
        <v>299837.27</v>
      </c>
      <c r="G45" s="274">
        <f>F45/F48*B8</f>
        <v>1041.1156299495799</v>
      </c>
      <c r="H45" s="97"/>
      <c r="I45" s="97"/>
      <c r="J45" s="137"/>
    </row>
    <row r="46" spans="1:22" x14ac:dyDescent="0.25">
      <c r="A46" s="253" t="s">
        <v>37</v>
      </c>
      <c r="B46" s="184">
        <f>(G42+G43)/12*4</f>
        <v>7844.6408199663865</v>
      </c>
      <c r="C46" s="185" t="s">
        <v>31</v>
      </c>
      <c r="D46" s="119"/>
      <c r="E46" s="275" t="s">
        <v>38</v>
      </c>
      <c r="F46" s="273">
        <f>7000+1260+30890+4200</f>
        <v>43350</v>
      </c>
      <c r="G46" s="274">
        <f>F46/F48*B8</f>
        <v>150.52285714285713</v>
      </c>
      <c r="H46" s="97"/>
      <c r="I46" s="97"/>
      <c r="J46" s="137"/>
    </row>
    <row r="47" spans="1:22" x14ac:dyDescent="0.25">
      <c r="A47" s="253" t="s">
        <v>39</v>
      </c>
      <c r="B47" s="184"/>
      <c r="C47" s="185" t="s">
        <v>31</v>
      </c>
      <c r="D47" s="119"/>
      <c r="E47" s="274" t="s">
        <v>12</v>
      </c>
      <c r="F47" s="273">
        <f>8022857.59-F46</f>
        <v>7979507.5899999999</v>
      </c>
      <c r="G47" s="274">
        <f>F47/F48*B8</f>
        <v>27706.996102420166</v>
      </c>
      <c r="H47" s="97"/>
      <c r="I47" s="97"/>
      <c r="J47" s="137"/>
    </row>
    <row r="48" spans="1:22" x14ac:dyDescent="0.25">
      <c r="A48" s="252" t="s">
        <v>40</v>
      </c>
      <c r="B48" s="184">
        <f>G46/12*4+521.28</f>
        <v>571.45428571428567</v>
      </c>
      <c r="C48" s="185" t="s">
        <v>31</v>
      </c>
      <c r="D48" s="119"/>
      <c r="E48" s="276" t="s">
        <v>41</v>
      </c>
      <c r="F48" s="277">
        <f>119000</f>
        <v>119000</v>
      </c>
      <c r="G48" s="274"/>
      <c r="H48" s="97"/>
      <c r="I48" s="97"/>
      <c r="J48" s="137"/>
    </row>
    <row r="49" spans="1:10" x14ac:dyDescent="0.25">
      <c r="A49" s="252" t="s">
        <v>42</v>
      </c>
      <c r="B49" s="184">
        <f>G45/12*4</f>
        <v>347.03854331652661</v>
      </c>
      <c r="C49" s="185" t="s">
        <v>31</v>
      </c>
      <c r="D49" s="119"/>
      <c r="E49" s="278"/>
      <c r="F49" s="274"/>
      <c r="G49" s="274"/>
      <c r="H49" s="97"/>
      <c r="I49" s="97"/>
      <c r="J49" s="137"/>
    </row>
    <row r="50" spans="1:10" x14ac:dyDescent="0.25">
      <c r="A50" s="252" t="s">
        <v>141</v>
      </c>
      <c r="B50" s="184">
        <f>G47/12*4</f>
        <v>9235.665367473388</v>
      </c>
      <c r="C50" s="185" t="s">
        <v>31</v>
      </c>
      <c r="D50" s="119"/>
      <c r="E50" s="279" t="s">
        <v>70</v>
      </c>
      <c r="F50" s="277">
        <f>1910.32</f>
        <v>1910.32</v>
      </c>
      <c r="G50" s="279">
        <f>F50/F48*B8</f>
        <v>6.6331447394957976</v>
      </c>
      <c r="H50" s="97"/>
      <c r="I50" s="97"/>
      <c r="J50" s="137"/>
    </row>
    <row r="51" spans="1:10" x14ac:dyDescent="0.25">
      <c r="A51" s="252" t="s">
        <v>44</v>
      </c>
      <c r="B51" s="184">
        <f>G52/12*4</f>
        <v>19.015996414565823</v>
      </c>
      <c r="C51" s="185" t="s">
        <v>31</v>
      </c>
      <c r="D51" s="119"/>
      <c r="E51" s="119"/>
      <c r="F51" s="120"/>
      <c r="G51" s="121"/>
      <c r="H51" s="97"/>
      <c r="I51" s="97"/>
      <c r="J51" s="137"/>
    </row>
    <row r="52" spans="1:10" x14ac:dyDescent="0.25">
      <c r="A52" s="252" t="s">
        <v>45</v>
      </c>
      <c r="B52" s="184">
        <f>G50/12*4</f>
        <v>2.2110482464985992</v>
      </c>
      <c r="C52" s="185" t="s">
        <v>31</v>
      </c>
      <c r="D52" s="119"/>
      <c r="E52" s="119" t="s">
        <v>125</v>
      </c>
      <c r="F52" s="280">
        <f>16429.6</f>
        <v>16429.599999999999</v>
      </c>
      <c r="G52" s="279">
        <f>F52/F48*B8</f>
        <v>57.047989243697472</v>
      </c>
      <c r="H52" s="97"/>
      <c r="I52" s="97"/>
      <c r="J52" s="137"/>
    </row>
    <row r="53" spans="1:10" x14ac:dyDescent="0.25">
      <c r="A53" s="252" t="s">
        <v>46</v>
      </c>
      <c r="B53" s="184"/>
      <c r="C53" s="185" t="s">
        <v>31</v>
      </c>
      <c r="D53" s="119"/>
      <c r="E53" s="119"/>
      <c r="F53" s="120"/>
      <c r="G53" s="121"/>
      <c r="H53" s="97"/>
      <c r="I53" s="97"/>
      <c r="J53" s="137"/>
    </row>
    <row r="54" spans="1:10" x14ac:dyDescent="0.25">
      <c r="A54" s="254" t="s">
        <v>225</v>
      </c>
      <c r="B54" s="184"/>
      <c r="C54" s="185" t="s">
        <v>31</v>
      </c>
      <c r="D54" s="101"/>
      <c r="E54" s="101"/>
      <c r="F54" s="131"/>
      <c r="G54" s="132"/>
      <c r="H54" s="97"/>
      <c r="I54" s="97"/>
      <c r="J54" s="137"/>
    </row>
    <row r="55" spans="1:10" x14ac:dyDescent="0.25">
      <c r="A55" s="252" t="s">
        <v>48</v>
      </c>
      <c r="B55" s="184">
        <v>494.88</v>
      </c>
      <c r="C55" s="185" t="s">
        <v>31</v>
      </c>
      <c r="D55" s="101"/>
      <c r="E55" s="101"/>
      <c r="F55" s="125"/>
      <c r="G55" s="97"/>
      <c r="H55" s="97"/>
      <c r="I55" s="97"/>
      <c r="J55" s="137"/>
    </row>
    <row r="56" spans="1:10" x14ac:dyDescent="0.25">
      <c r="A56" s="252" t="s">
        <v>49</v>
      </c>
      <c r="B56" s="184">
        <f>(B46+B47+B48+B49+B50+B52+B53+B54)*0.1</f>
        <v>1800.1010064717084</v>
      </c>
      <c r="C56" s="185" t="s">
        <v>31</v>
      </c>
      <c r="D56" s="101"/>
      <c r="E56" s="101"/>
      <c r="F56" s="125"/>
      <c r="G56" s="97"/>
      <c r="H56" s="97"/>
      <c r="I56" s="97"/>
      <c r="J56" s="137"/>
    </row>
    <row r="57" spans="1:10" x14ac:dyDescent="0.25">
      <c r="A57" s="252" t="s">
        <v>103</v>
      </c>
      <c r="B57" s="184"/>
      <c r="C57" s="185" t="s">
        <v>31</v>
      </c>
      <c r="D57" s="119"/>
      <c r="E57" s="119"/>
      <c r="F57" s="138"/>
      <c r="G57" s="115"/>
      <c r="H57" s="137"/>
      <c r="I57" s="137"/>
      <c r="J57" s="137"/>
    </row>
    <row r="58" spans="1:10" x14ac:dyDescent="0.25">
      <c r="A58" s="246" t="s">
        <v>50</v>
      </c>
      <c r="B58" s="160"/>
      <c r="C58" s="251" t="s">
        <v>31</v>
      </c>
      <c r="D58" s="122"/>
      <c r="E58" s="122"/>
      <c r="F58" s="123"/>
      <c r="G58" s="124"/>
      <c r="H58" s="124"/>
      <c r="I58" s="97"/>
      <c r="J58" s="97"/>
    </row>
    <row r="59" spans="1:10" x14ac:dyDescent="0.25">
      <c r="A59" s="246" t="s">
        <v>51</v>
      </c>
      <c r="B59" s="160"/>
      <c r="C59" s="251" t="s">
        <v>31</v>
      </c>
      <c r="D59" s="122"/>
      <c r="E59" s="122"/>
      <c r="F59" s="123"/>
      <c r="G59" s="124"/>
      <c r="H59" s="124"/>
      <c r="I59" s="137"/>
      <c r="J59" s="137"/>
    </row>
    <row r="60" spans="1:10" x14ac:dyDescent="0.25">
      <c r="A60" s="246" t="s">
        <v>52</v>
      </c>
      <c r="B60" s="160">
        <f>4655.11+65647.58</f>
        <v>70302.69</v>
      </c>
      <c r="C60" s="251" t="s">
        <v>31</v>
      </c>
      <c r="D60" s="56"/>
      <c r="E60" s="56"/>
      <c r="F60" s="3"/>
      <c r="I60" s="97"/>
      <c r="J60" s="97"/>
    </row>
    <row r="61" spans="1:10" x14ac:dyDescent="0.25">
      <c r="A61" s="246" t="s">
        <v>53</v>
      </c>
      <c r="B61" s="160"/>
      <c r="C61" s="251" t="s">
        <v>54</v>
      </c>
      <c r="D61" s="56"/>
      <c r="E61" s="56"/>
      <c r="F61" s="3"/>
      <c r="I61" s="137"/>
      <c r="J61" s="137"/>
    </row>
    <row r="62" spans="1:10" x14ac:dyDescent="0.25">
      <c r="A62" s="262" t="s">
        <v>154</v>
      </c>
      <c r="B62" s="258">
        <f>C37/1.02</f>
        <v>0</v>
      </c>
      <c r="C62" s="263"/>
      <c r="D62" s="56"/>
      <c r="E62" s="56"/>
      <c r="F62" s="3"/>
      <c r="I62" s="97"/>
      <c r="J62" s="97"/>
    </row>
    <row r="63" spans="1:10" ht="15.75" thickBot="1" x14ac:dyDescent="0.3">
      <c r="A63" s="261" t="s">
        <v>78</v>
      </c>
      <c r="B63" s="162">
        <f>G44/12*4</f>
        <v>208.33613445378148</v>
      </c>
      <c r="C63" s="264" t="s">
        <v>31</v>
      </c>
      <c r="D63" s="56"/>
      <c r="E63" s="56"/>
      <c r="F63" s="3"/>
      <c r="I63" s="137"/>
      <c r="J63" s="137"/>
    </row>
    <row r="64" spans="1:10" x14ac:dyDescent="0.25">
      <c r="A64" s="59"/>
      <c r="B64" s="60"/>
      <c r="C64" s="56"/>
      <c r="D64" s="56"/>
      <c r="E64" s="56"/>
      <c r="F64" s="3"/>
      <c r="I64" s="97"/>
      <c r="J64" s="97"/>
    </row>
    <row r="65" spans="1:10" x14ac:dyDescent="0.25">
      <c r="A65" s="59" t="s">
        <v>202</v>
      </c>
      <c r="B65" s="143">
        <f>C39-C24+B43-B42</f>
        <v>6658.1267979428521</v>
      </c>
      <c r="C65" s="56" t="s">
        <v>31</v>
      </c>
      <c r="D65" s="56"/>
      <c r="E65" s="56"/>
      <c r="F65" s="3"/>
      <c r="I65" s="137"/>
      <c r="J65" s="137"/>
    </row>
    <row r="66" spans="1:10" x14ac:dyDescent="0.25">
      <c r="A66" s="59"/>
      <c r="B66" s="2">
        <f>B67+B68+B69+B70+B71+B72</f>
        <v>6658.126797942854</v>
      </c>
      <c r="C66" s="56" t="s">
        <v>31</v>
      </c>
      <c r="D66" s="56"/>
      <c r="E66" s="56"/>
      <c r="F66" s="3"/>
      <c r="I66" s="97"/>
      <c r="J66" s="97"/>
    </row>
    <row r="67" spans="1:10" x14ac:dyDescent="0.25">
      <c r="A67" s="77" t="s">
        <v>56</v>
      </c>
      <c r="B67" s="78">
        <f>C20-B44-B63</f>
        <v>-12339.813202057143</v>
      </c>
      <c r="C67" s="56" t="s">
        <v>31</v>
      </c>
      <c r="D67" s="56"/>
      <c r="E67" s="56"/>
      <c r="F67" s="3"/>
      <c r="I67" s="137"/>
      <c r="J67" s="137"/>
    </row>
    <row r="68" spans="1:10" x14ac:dyDescent="0.25">
      <c r="A68" s="77" t="s">
        <v>57</v>
      </c>
      <c r="B68" s="78">
        <f>C22-B58</f>
        <v>11569.6</v>
      </c>
      <c r="C68" s="56" t="s">
        <v>31</v>
      </c>
      <c r="D68" s="56"/>
      <c r="E68" s="56"/>
      <c r="F68" s="3"/>
      <c r="I68" s="97"/>
      <c r="J68" s="97"/>
    </row>
    <row r="69" spans="1:10" x14ac:dyDescent="0.25">
      <c r="A69" s="77" t="s">
        <v>58</v>
      </c>
      <c r="B69" s="78">
        <f>C26-B59</f>
        <v>0</v>
      </c>
      <c r="C69" s="56" t="s">
        <v>31</v>
      </c>
      <c r="D69" s="56"/>
      <c r="E69" s="56"/>
      <c r="F69" s="3"/>
      <c r="I69" s="137"/>
      <c r="J69" s="137"/>
    </row>
    <row r="70" spans="1:10" x14ac:dyDescent="0.25">
      <c r="A70" s="77" t="s">
        <v>59</v>
      </c>
      <c r="B70" s="78">
        <f>C28-B60</f>
        <v>7428.3399999999965</v>
      </c>
      <c r="C70" s="56" t="s">
        <v>31</v>
      </c>
      <c r="D70" s="56"/>
      <c r="E70" s="56"/>
      <c r="F70" s="3"/>
      <c r="I70" s="97"/>
      <c r="J70" s="97"/>
    </row>
    <row r="71" spans="1:10" x14ac:dyDescent="0.25">
      <c r="A71" s="77" t="s">
        <v>60</v>
      </c>
      <c r="B71" s="78">
        <f>C35-B61</f>
        <v>0</v>
      </c>
      <c r="C71" s="56" t="s">
        <v>31</v>
      </c>
      <c r="D71" s="56"/>
      <c r="E71" s="56"/>
      <c r="F71" s="3"/>
      <c r="I71" s="137"/>
      <c r="J71" s="137"/>
    </row>
    <row r="72" spans="1:10" x14ac:dyDescent="0.25">
      <c r="A72" s="77" t="s">
        <v>157</v>
      </c>
      <c r="B72" s="78">
        <f>C37-B62</f>
        <v>0</v>
      </c>
      <c r="C72" s="56" t="s">
        <v>31</v>
      </c>
      <c r="I72" s="97"/>
      <c r="J72" s="97"/>
    </row>
    <row r="73" spans="1:10" ht="15.75" thickBot="1" x14ac:dyDescent="0.3">
      <c r="A73" s="77"/>
      <c r="B73" s="78"/>
      <c r="C73" s="56"/>
      <c r="D73" s="98"/>
      <c r="E73" s="99"/>
      <c r="F73" s="100"/>
      <c r="G73" s="97"/>
      <c r="I73" s="137"/>
      <c r="J73" s="137"/>
    </row>
    <row r="74" spans="1:10" ht="15.75" thickBot="1" x14ac:dyDescent="0.3">
      <c r="A74" s="227" t="s">
        <v>146</v>
      </c>
      <c r="B74" s="228"/>
      <c r="C74" s="229"/>
      <c r="D74" s="101"/>
      <c r="E74" s="101"/>
      <c r="F74" s="101"/>
      <c r="G74" s="97"/>
      <c r="I74" s="97"/>
      <c r="J74" s="97"/>
    </row>
    <row r="75" spans="1:10" ht="39" thickBot="1" x14ac:dyDescent="0.3">
      <c r="A75" s="230" t="s">
        <v>80</v>
      </c>
      <c r="B75" s="231" t="s">
        <v>61</v>
      </c>
      <c r="C75" s="232" t="s">
        <v>67</v>
      </c>
      <c r="D75" s="102"/>
      <c r="E75" s="103"/>
      <c r="F75" s="104"/>
      <c r="G75" s="97"/>
      <c r="I75" s="137"/>
      <c r="J75" s="137"/>
    </row>
    <row r="76" spans="1:10" x14ac:dyDescent="0.25">
      <c r="A76" s="233" t="s">
        <v>62</v>
      </c>
      <c r="B76" s="234" t="s">
        <v>31</v>
      </c>
      <c r="C76" s="235" t="s">
        <v>31</v>
      </c>
      <c r="D76" s="102"/>
      <c r="E76" s="103"/>
      <c r="F76" s="104"/>
      <c r="G76" s="97"/>
      <c r="I76" s="97"/>
      <c r="J76" s="97"/>
    </row>
    <row r="77" spans="1:10" x14ac:dyDescent="0.25">
      <c r="A77" s="148"/>
      <c r="B77" s="236"/>
      <c r="C77" s="259"/>
      <c r="D77" s="102"/>
      <c r="E77" s="103"/>
      <c r="F77" s="104"/>
      <c r="G77" s="97"/>
      <c r="I77" s="137"/>
      <c r="J77" s="137"/>
    </row>
    <row r="78" spans="1:10" ht="15.75" thickBot="1" x14ac:dyDescent="0.3">
      <c r="A78" s="239" t="s">
        <v>5</v>
      </c>
      <c r="B78" s="240">
        <f>B77</f>
        <v>0</v>
      </c>
      <c r="C78" s="260">
        <v>0</v>
      </c>
      <c r="D78" s="105"/>
      <c r="E78" s="103"/>
      <c r="F78" s="104"/>
      <c r="G78" s="97"/>
      <c r="I78" s="97"/>
      <c r="J78" s="97"/>
    </row>
    <row r="79" spans="1:10" x14ac:dyDescent="0.25">
      <c r="A79" s="31"/>
      <c r="B79" s="33"/>
      <c r="C79" s="87"/>
      <c r="D79" s="105"/>
      <c r="E79" s="103"/>
      <c r="F79" s="104"/>
      <c r="G79" s="97"/>
      <c r="I79" s="137"/>
      <c r="J79" s="137"/>
    </row>
    <row r="80" spans="1:10" x14ac:dyDescent="0.25">
      <c r="A80" s="164" t="s">
        <v>132</v>
      </c>
      <c r="B80" s="149"/>
      <c r="C80" s="215"/>
      <c r="D80" s="216"/>
      <c r="E80" s="89"/>
      <c r="I80" s="97"/>
      <c r="J80" s="97"/>
    </row>
    <row r="81" spans="1:10" x14ac:dyDescent="0.25">
      <c r="A81" s="217"/>
      <c r="B81" s="149"/>
      <c r="C81" s="215"/>
      <c r="D81" s="218"/>
      <c r="E81" s="89"/>
      <c r="I81" s="137"/>
      <c r="J81" s="137"/>
    </row>
    <row r="82" spans="1:10" x14ac:dyDescent="0.25">
      <c r="A82" s="165" t="s">
        <v>133</v>
      </c>
      <c r="B82" s="149" t="s">
        <v>134</v>
      </c>
      <c r="C82" s="219"/>
      <c r="D82" s="216"/>
      <c r="E82" s="89"/>
      <c r="F82" s="94"/>
    </row>
    <row r="83" spans="1:10" x14ac:dyDescent="0.25">
      <c r="A83" s="165"/>
      <c r="B83" s="149"/>
      <c r="C83" s="219"/>
      <c r="D83" s="216"/>
      <c r="E83" s="89"/>
    </row>
    <row r="84" spans="1:10" x14ac:dyDescent="0.25">
      <c r="A84" s="220"/>
      <c r="B84" s="221"/>
      <c r="C84" s="219"/>
      <c r="D84" s="150"/>
      <c r="E84" s="89"/>
    </row>
    <row r="85" spans="1:10" ht="15.75" x14ac:dyDescent="0.25">
      <c r="A85" s="223" t="s">
        <v>63</v>
      </c>
      <c r="B85" s="224" t="s">
        <v>134</v>
      </c>
      <c r="C85" s="225"/>
      <c r="D85" s="226" t="s">
        <v>66</v>
      </c>
      <c r="E85" s="89"/>
    </row>
    <row r="86" spans="1:10" x14ac:dyDescent="0.25">
      <c r="A86" s="95"/>
      <c r="B86" s="96"/>
      <c r="C86" s="89"/>
      <c r="D86" s="93"/>
      <c r="E86" s="56"/>
      <c r="F86" s="3"/>
    </row>
    <row r="87" spans="1:10" x14ac:dyDescent="0.25">
      <c r="A87" s="31"/>
      <c r="B87" s="33"/>
      <c r="C87" s="33"/>
      <c r="D87" s="56"/>
      <c r="E87" s="89"/>
    </row>
    <row r="88" spans="1:10" x14ac:dyDescent="0.25">
      <c r="A88" s="31"/>
      <c r="B88" s="33"/>
      <c r="C88" s="33"/>
      <c r="D88" s="56"/>
      <c r="E88" s="56"/>
    </row>
    <row r="89" spans="1:10" x14ac:dyDescent="0.25">
      <c r="A89" s="31"/>
      <c r="B89" s="33"/>
      <c r="C89" s="33"/>
      <c r="D89" s="89"/>
      <c r="E89" s="89"/>
    </row>
    <row r="90" spans="1:10" x14ac:dyDescent="0.25">
      <c r="A90" s="31"/>
      <c r="B90" s="33"/>
      <c r="D90" s="89"/>
      <c r="E90" s="89"/>
    </row>
    <row r="91" spans="1:10" x14ac:dyDescent="0.25">
      <c r="D91" s="89"/>
      <c r="E91" s="89"/>
    </row>
    <row r="92" spans="1:10" x14ac:dyDescent="0.25">
      <c r="D92" s="89"/>
      <c r="E92" s="89"/>
    </row>
    <row r="93" spans="1:10" x14ac:dyDescent="0.25">
      <c r="D93" s="89"/>
      <c r="E93" s="89"/>
    </row>
    <row r="94" spans="1:10" x14ac:dyDescent="0.25">
      <c r="D94" s="89"/>
      <c r="E94" s="89"/>
    </row>
    <row r="95" spans="1:10" x14ac:dyDescent="0.25">
      <c r="B95"/>
      <c r="C95"/>
      <c r="D95" s="56"/>
      <c r="E95" s="56"/>
      <c r="F95" s="3"/>
    </row>
    <row r="96" spans="1:10" x14ac:dyDescent="0.25">
      <c r="B96"/>
      <c r="C96"/>
      <c r="D96" s="89"/>
      <c r="E96" s="89"/>
      <c r="F96" s="3"/>
    </row>
    <row r="97" spans="2:5" x14ac:dyDescent="0.25">
      <c r="B97"/>
      <c r="C97"/>
      <c r="D97" s="89"/>
      <c r="E97" s="89"/>
    </row>
    <row r="98" spans="2:5" x14ac:dyDescent="0.25">
      <c r="B98"/>
      <c r="C98"/>
      <c r="D98" s="33"/>
      <c r="E98" s="33"/>
    </row>
    <row r="99" spans="2:5" x14ac:dyDescent="0.25">
      <c r="B99"/>
      <c r="C99"/>
      <c r="D99" s="33"/>
      <c r="E99" s="33"/>
    </row>
    <row r="100" spans="2:5" x14ac:dyDescent="0.25">
      <c r="D100" s="33"/>
      <c r="E100" s="33"/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V100"/>
  <sheetViews>
    <sheetView view="pageBreakPreview" topLeftCell="A50" zoomScale="60" zoomScaleNormal="100" workbookViewId="0">
      <selection activeCell="F81" sqref="F81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4.85546875" style="3" customWidth="1"/>
    <col min="5" max="5" width="17.570312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228</v>
      </c>
      <c r="B2" s="2"/>
      <c r="C2" s="2"/>
      <c r="D2" s="20"/>
    </row>
    <row r="3" spans="1:22" ht="15.75" thickBot="1" x14ac:dyDescent="0.3">
      <c r="A3" s="1" t="s">
        <v>220</v>
      </c>
      <c r="B3" s="2"/>
      <c r="C3" s="2"/>
      <c r="D3" s="20"/>
      <c r="L3" s="108"/>
      <c r="M3" s="108"/>
      <c r="N3" s="108"/>
      <c r="O3" s="108"/>
    </row>
    <row r="4" spans="1:22" ht="15.75" thickBot="1" x14ac:dyDescent="0.3">
      <c r="A4" s="22" t="s">
        <v>0</v>
      </c>
      <c r="B4" s="202"/>
      <c r="C4" s="203"/>
      <c r="D4" s="208"/>
      <c r="E4" s="125"/>
      <c r="L4" s="108"/>
      <c r="M4" s="108"/>
      <c r="N4" s="108"/>
      <c r="O4" s="108"/>
    </row>
    <row r="5" spans="1:22" ht="40.5" customHeight="1" thickBot="1" x14ac:dyDescent="0.3">
      <c r="A5" s="6" t="s">
        <v>1</v>
      </c>
      <c r="B5" s="8" t="s">
        <v>2</v>
      </c>
      <c r="C5" s="9" t="s">
        <v>3</v>
      </c>
      <c r="D5" s="131"/>
      <c r="E5" s="97"/>
      <c r="K5" s="108"/>
      <c r="L5" s="108"/>
      <c r="M5" s="108"/>
      <c r="N5" s="108"/>
    </row>
    <row r="6" spans="1:22" ht="15.75" thickBot="1" x14ac:dyDescent="0.3">
      <c r="A6" s="151" t="s">
        <v>229</v>
      </c>
      <c r="B6" s="153">
        <v>398</v>
      </c>
      <c r="C6" s="154">
        <v>15</v>
      </c>
      <c r="D6" s="125"/>
      <c r="E6" s="97"/>
      <c r="K6" s="108"/>
      <c r="L6" s="108"/>
      <c r="M6" s="108"/>
      <c r="N6" s="108"/>
    </row>
    <row r="7" spans="1:22" x14ac:dyDescent="0.25">
      <c r="A7" s="10"/>
      <c r="B7" s="86"/>
      <c r="C7" s="152"/>
      <c r="D7" s="125"/>
      <c r="E7" s="97"/>
      <c r="K7" s="108"/>
      <c r="L7" s="108"/>
      <c r="M7" s="108"/>
      <c r="N7" s="108"/>
    </row>
    <row r="8" spans="1:22" ht="15.75" thickBot="1" x14ac:dyDescent="0.3">
      <c r="A8" s="16" t="s">
        <v>5</v>
      </c>
      <c r="B8" s="17">
        <f>B6+B7</f>
        <v>398</v>
      </c>
      <c r="C8" s="18">
        <f>C6</f>
        <v>15</v>
      </c>
      <c r="D8" s="125"/>
      <c r="E8" s="97"/>
      <c r="K8" s="108"/>
      <c r="L8" s="108"/>
      <c r="M8" s="108"/>
      <c r="N8" s="108"/>
    </row>
    <row r="9" spans="1:22" ht="15.75" thickBot="1" x14ac:dyDescent="0.3">
      <c r="A9" s="194"/>
      <c r="B9" s="106"/>
      <c r="C9" s="106"/>
      <c r="D9" s="195"/>
      <c r="E9" s="125"/>
      <c r="L9" s="108"/>
      <c r="M9" s="108"/>
      <c r="N9" s="108"/>
      <c r="O9" s="108"/>
    </row>
    <row r="10" spans="1:22" ht="15.75" thickBot="1" x14ac:dyDescent="0.3">
      <c r="A10" s="22" t="s">
        <v>112</v>
      </c>
      <c r="B10" s="23"/>
      <c r="C10" s="23"/>
      <c r="D10" s="24" t="s">
        <v>6</v>
      </c>
      <c r="E10" s="125"/>
      <c r="F10" s="97"/>
      <c r="G10" s="97"/>
      <c r="H10" s="97"/>
      <c r="I10" s="97"/>
      <c r="J10" s="97"/>
      <c r="K10" s="97"/>
      <c r="L10" s="108"/>
      <c r="M10" s="108"/>
      <c r="N10" s="108"/>
      <c r="O10" s="108"/>
    </row>
    <row r="11" spans="1:22" x14ac:dyDescent="0.25">
      <c r="A11" s="25" t="s">
        <v>7</v>
      </c>
      <c r="B11" s="20"/>
      <c r="C11" s="20"/>
      <c r="D11" s="27">
        <v>9</v>
      </c>
      <c r="E11" s="125"/>
      <c r="F11" s="97"/>
      <c r="G11" s="97"/>
      <c r="H11" s="97"/>
      <c r="I11" s="97"/>
      <c r="J11" s="97"/>
      <c r="K11" s="97"/>
      <c r="L11" s="108"/>
      <c r="M11" s="108"/>
      <c r="N11" s="108"/>
      <c r="O11" s="108"/>
    </row>
    <row r="12" spans="1:22" x14ac:dyDescent="0.25">
      <c r="A12" s="25" t="s">
        <v>8</v>
      </c>
      <c r="B12" s="20"/>
      <c r="C12" s="20"/>
      <c r="D12" s="27">
        <v>7</v>
      </c>
      <c r="E12" s="125"/>
      <c r="F12" s="97"/>
      <c r="G12" s="97"/>
      <c r="H12" s="97"/>
      <c r="I12" s="97"/>
      <c r="J12" s="97"/>
      <c r="K12" s="97"/>
      <c r="L12" s="108"/>
      <c r="M12" s="108"/>
      <c r="N12" s="108"/>
      <c r="O12" s="108"/>
    </row>
    <row r="13" spans="1:22" x14ac:dyDescent="0.25">
      <c r="A13" s="25" t="s">
        <v>9</v>
      </c>
      <c r="B13" s="20"/>
      <c r="C13" s="20"/>
      <c r="D13" s="26">
        <v>0</v>
      </c>
      <c r="E13" s="125"/>
      <c r="F13" s="97"/>
      <c r="G13" s="97"/>
      <c r="H13" s="97"/>
      <c r="I13" s="97"/>
      <c r="J13" s="97"/>
      <c r="K13" s="97"/>
      <c r="L13" s="108"/>
      <c r="M13" s="108"/>
      <c r="N13" s="108"/>
      <c r="O13" s="108"/>
    </row>
    <row r="14" spans="1:22" ht="15.75" thickBot="1" x14ac:dyDescent="0.3">
      <c r="A14" s="28" t="s">
        <v>10</v>
      </c>
      <c r="B14" s="193"/>
      <c r="C14" s="193"/>
      <c r="D14" s="30">
        <v>0</v>
      </c>
      <c r="E14" s="125"/>
      <c r="F14" s="97"/>
      <c r="G14" s="97"/>
      <c r="H14" s="97"/>
      <c r="I14" s="97"/>
      <c r="J14" s="97"/>
      <c r="K14" s="97"/>
      <c r="L14" s="108"/>
      <c r="M14" s="108"/>
      <c r="N14" s="108"/>
      <c r="O14" s="108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209"/>
      <c r="B15" s="131"/>
      <c r="C15" s="131"/>
      <c r="D15" s="131"/>
      <c r="E15" s="125"/>
      <c r="F15" s="97"/>
      <c r="G15" s="97"/>
      <c r="H15" s="97"/>
      <c r="I15" s="97"/>
      <c r="J15" s="97"/>
      <c r="K15" s="97"/>
      <c r="L15" s="108"/>
      <c r="M15" s="108"/>
      <c r="N15" s="108"/>
      <c r="O15" s="108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113</v>
      </c>
      <c r="B16" s="206"/>
      <c r="C16" s="206"/>
      <c r="D16" s="206"/>
      <c r="E16" s="207"/>
      <c r="F16" s="97"/>
      <c r="G16" s="97"/>
      <c r="H16" s="97"/>
      <c r="I16" s="97"/>
      <c r="J16" s="97"/>
      <c r="K16" s="97"/>
      <c r="L16" s="108"/>
      <c r="M16" s="109"/>
      <c r="N16" s="109"/>
      <c r="O16" s="108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196"/>
      <c r="B17" s="131"/>
      <c r="C17" s="131"/>
      <c r="D17" s="131"/>
      <c r="E17" s="210"/>
      <c r="F17" s="97"/>
      <c r="G17" s="97"/>
      <c r="H17" s="97"/>
      <c r="I17" s="97"/>
      <c r="J17" s="97"/>
      <c r="K17" s="97"/>
      <c r="L17" s="109"/>
      <c r="M17" s="110"/>
      <c r="N17" s="109"/>
      <c r="O17" s="108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196"/>
      <c r="B18" s="131"/>
      <c r="C18" s="131"/>
      <c r="D18" s="131"/>
      <c r="E18" s="210"/>
      <c r="F18" s="97"/>
      <c r="G18" s="97"/>
      <c r="H18" s="97"/>
      <c r="I18" s="97"/>
      <c r="J18" s="97"/>
      <c r="K18" s="97"/>
      <c r="L18" s="108"/>
      <c r="M18" s="108"/>
      <c r="N18" s="108"/>
      <c r="O18" s="108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114</v>
      </c>
      <c r="C19" s="38" t="s">
        <v>115</v>
      </c>
      <c r="D19" s="38" t="s">
        <v>116</v>
      </c>
      <c r="E19" s="39" t="s">
        <v>117</v>
      </c>
      <c r="F19" s="97"/>
      <c r="G19" s="97"/>
      <c r="H19" s="97"/>
      <c r="I19" s="97"/>
      <c r="J19" s="97"/>
      <c r="K19" s="97"/>
      <c r="L19" s="108"/>
      <c r="M19" s="111"/>
      <c r="N19" s="111"/>
      <c r="O19" s="108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/>
      <c r="C20" s="41">
        <v>14328</v>
      </c>
      <c r="D20" s="40">
        <v>7335.29</v>
      </c>
      <c r="E20" s="42">
        <f t="shared" ref="E20:E38" si="0">C20-D20+B20</f>
        <v>6992.71</v>
      </c>
      <c r="F20" s="116">
        <f>C20+F22</f>
        <v>25472</v>
      </c>
      <c r="G20" s="117">
        <f>100</f>
        <v>100</v>
      </c>
      <c r="H20" s="115" t="s">
        <v>64</v>
      </c>
      <c r="I20" s="97"/>
      <c r="J20" s="97"/>
      <c r="K20" s="97"/>
      <c r="L20" s="108"/>
      <c r="M20" s="108"/>
      <c r="N20" s="108"/>
      <c r="O20" s="108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16"/>
      <c r="G21" s="117"/>
      <c r="H21" s="115"/>
      <c r="I21" s="97"/>
      <c r="J21" s="97"/>
      <c r="K21" s="97"/>
      <c r="L21" s="108"/>
      <c r="M21" s="108"/>
      <c r="N21" s="108"/>
      <c r="O21" s="108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/>
      <c r="C22" s="44">
        <v>11144</v>
      </c>
      <c r="D22" s="43">
        <v>5723.73</v>
      </c>
      <c r="E22" s="45">
        <f t="shared" si="0"/>
        <v>5420.27</v>
      </c>
      <c r="F22" s="116">
        <f>C22</f>
        <v>11144</v>
      </c>
      <c r="G22" s="118">
        <f>F22*G20/F20</f>
        <v>43.75</v>
      </c>
      <c r="H22" s="115" t="s">
        <v>64</v>
      </c>
      <c r="I22" s="97"/>
      <c r="J22" s="97"/>
      <c r="K22" s="97"/>
      <c r="L22" s="108"/>
      <c r="M22" s="108"/>
      <c r="N22" s="111"/>
      <c r="O22" s="108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97"/>
      <c r="G23" s="97"/>
      <c r="H23" s="97"/>
      <c r="I23" s="97"/>
      <c r="J23" s="97"/>
      <c r="K23" s="97"/>
      <c r="L23" s="108"/>
      <c r="M23" s="108"/>
      <c r="N23" s="108"/>
      <c r="O23" s="108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44"/>
      <c r="D24" s="44"/>
      <c r="E24" s="45">
        <f t="shared" si="0"/>
        <v>0</v>
      </c>
      <c r="F24" s="97"/>
      <c r="G24" s="97"/>
      <c r="H24" s="97"/>
      <c r="I24" s="97"/>
      <c r="J24" s="97"/>
      <c r="K24" s="97"/>
      <c r="L24" s="108"/>
      <c r="M24" s="108"/>
      <c r="N24" s="108"/>
      <c r="O24" s="108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97"/>
      <c r="G25" s="97"/>
      <c r="H25" s="97"/>
      <c r="I25" s="97"/>
      <c r="J25" s="97"/>
      <c r="K25" s="97"/>
      <c r="L25" s="108"/>
      <c r="M25" s="108"/>
      <c r="N25" s="108"/>
      <c r="O25" s="108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/>
      <c r="C26" s="44"/>
      <c r="D26" s="44"/>
      <c r="E26" s="45">
        <f t="shared" si="0"/>
        <v>0</v>
      </c>
      <c r="F26" s="97"/>
      <c r="G26" s="97"/>
      <c r="H26" s="97"/>
      <c r="I26" s="97"/>
      <c r="J26" s="97"/>
      <c r="K26" s="97"/>
      <c r="L26" s="108"/>
      <c r="M26" s="108"/>
      <c r="N26" s="108"/>
      <c r="O26" s="108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83</v>
      </c>
      <c r="B27" s="44"/>
      <c r="C27" s="44"/>
      <c r="D27" s="44"/>
      <c r="E27" s="45">
        <f t="shared" si="0"/>
        <v>0</v>
      </c>
      <c r="F27" s="97"/>
      <c r="G27" s="97"/>
      <c r="H27" s="97"/>
      <c r="I27" s="97"/>
      <c r="J27" s="97"/>
      <c r="K27" s="97"/>
      <c r="L27" s="108"/>
      <c r="M27" s="108"/>
      <c r="N27" s="108"/>
      <c r="O27" s="108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0</v>
      </c>
      <c r="C28" s="50">
        <f>C29+C30+C31+C33+C32</f>
        <v>63082.05</v>
      </c>
      <c r="D28" s="50">
        <f>D29+D30+D31+D33+D32</f>
        <v>35281.039999999994</v>
      </c>
      <c r="E28" s="51">
        <f>C28-D28+B28</f>
        <v>27801.010000000009</v>
      </c>
      <c r="F28" s="97"/>
      <c r="G28" s="97"/>
      <c r="H28" s="97"/>
      <c r="I28" s="97"/>
      <c r="J28" s="97"/>
      <c r="K28" s="97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204" t="s">
        <v>22</v>
      </c>
      <c r="B29" s="40"/>
      <c r="C29" s="40">
        <v>42542.06</v>
      </c>
      <c r="D29" s="40">
        <v>21614.34</v>
      </c>
      <c r="E29" s="42">
        <f t="shared" si="0"/>
        <v>20927.719999999998</v>
      </c>
      <c r="F29" s="97"/>
      <c r="G29" s="97"/>
      <c r="H29" s="97"/>
      <c r="I29" s="97"/>
      <c r="J29" s="97"/>
      <c r="K29" s="97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205" t="s">
        <v>23</v>
      </c>
      <c r="B30" s="43"/>
      <c r="C30" s="43">
        <f>9603.55+2881.24</f>
        <v>12484.789999999999</v>
      </c>
      <c r="D30" s="43">
        <f>6158.37+2731.46</f>
        <v>8889.83</v>
      </c>
      <c r="E30" s="45">
        <f t="shared" si="0"/>
        <v>3594.9599999999991</v>
      </c>
      <c r="F30" s="97"/>
      <c r="G30" s="97"/>
      <c r="H30" s="97"/>
      <c r="I30" s="97"/>
      <c r="J30" s="97"/>
      <c r="K30" s="97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205" t="s">
        <v>24</v>
      </c>
      <c r="B31" s="43"/>
      <c r="C31" s="43">
        <v>3155.43</v>
      </c>
      <c r="D31" s="43">
        <v>1916.37</v>
      </c>
      <c r="E31" s="45">
        <f t="shared" si="0"/>
        <v>1239.06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205" t="s">
        <v>90</v>
      </c>
      <c r="B32" s="43"/>
      <c r="C32" s="43"/>
      <c r="D32" s="43"/>
      <c r="E32" s="45">
        <f t="shared" si="0"/>
        <v>0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205" t="s">
        <v>25</v>
      </c>
      <c r="B33" s="43"/>
      <c r="C33" s="43">
        <v>4899.7700000000004</v>
      </c>
      <c r="D33" s="43">
        <v>2860.5</v>
      </c>
      <c r="E33" s="45">
        <f t="shared" si="0"/>
        <v>2039.2700000000004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205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74</v>
      </c>
      <c r="B35" s="186"/>
      <c r="C35" s="55"/>
      <c r="D35" s="55"/>
      <c r="E35" s="45">
        <f t="shared" si="0"/>
        <v>0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155</v>
      </c>
      <c r="B37" s="44"/>
      <c r="C37" s="44"/>
      <c r="D37" s="44"/>
      <c r="E37" s="45">
        <f t="shared" si="0"/>
        <v>0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/>
      <c r="C38" s="46"/>
      <c r="D38" s="46"/>
      <c r="E38" s="47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0</v>
      </c>
      <c r="C39" s="58">
        <f>C20+C21+C22+C23+C24+C25+C26+C28+C35+C36+C37+C38</f>
        <v>88554.05</v>
      </c>
      <c r="D39" s="58">
        <f>D20+D21+D22+D23+D24+D25+D26+D28+D35+D36+D37+D38+D27</f>
        <v>48340.06</v>
      </c>
      <c r="E39" s="58">
        <f>E20+E21+E22+E23+E24+E25+E26+E28+E35+E36+E37+E38+E27</f>
        <v>40213.990000000005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59"/>
      <c r="B40" s="60"/>
      <c r="C40" s="56"/>
      <c r="D40" s="122"/>
      <c r="E40" s="122"/>
      <c r="F40" s="123"/>
      <c r="G40" s="124"/>
      <c r="H40" s="124"/>
      <c r="I40" s="124"/>
      <c r="J40" s="137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59"/>
      <c r="B41" s="60"/>
      <c r="C41" s="56"/>
      <c r="D41" s="119"/>
      <c r="E41" s="119"/>
      <c r="F41" s="138"/>
      <c r="G41" s="115"/>
      <c r="H41" s="115"/>
      <c r="I41" s="97"/>
      <c r="J41" s="137"/>
    </row>
    <row r="42" spans="1:22" ht="15.75" thickBot="1" x14ac:dyDescent="0.3">
      <c r="A42" s="61" t="s">
        <v>30</v>
      </c>
      <c r="B42" s="62">
        <f>B44+B60+B61+B58+B63+B59+B62</f>
        <v>83749.834373714286</v>
      </c>
      <c r="C42" s="63" t="s">
        <v>31</v>
      </c>
      <c r="D42" s="119">
        <f>C39-B42-B63</f>
        <v>4603.5433573781538</v>
      </c>
      <c r="E42" s="272" t="s">
        <v>32</v>
      </c>
      <c r="F42" s="273">
        <v>5512727.4500000002</v>
      </c>
      <c r="G42" s="274">
        <f>F42/F48*B8</f>
        <v>18437.525421008402</v>
      </c>
      <c r="H42" s="115"/>
      <c r="I42" s="97"/>
      <c r="J42" s="137"/>
    </row>
    <row r="43" spans="1:22" x14ac:dyDescent="0.25">
      <c r="A43" s="250"/>
      <c r="B43" s="183"/>
      <c r="C43" s="251" t="s">
        <v>31</v>
      </c>
      <c r="D43" s="119"/>
      <c r="E43" s="272" t="s">
        <v>33</v>
      </c>
      <c r="F43" s="273">
        <v>1264951.0900000001</v>
      </c>
      <c r="G43" s="274">
        <f>F43/F48*B8</f>
        <v>4230.6767547899162</v>
      </c>
      <c r="H43" s="115"/>
      <c r="I43" s="97"/>
      <c r="J43" s="137"/>
    </row>
    <row r="44" spans="1:22" x14ac:dyDescent="0.25">
      <c r="A44" s="246" t="s">
        <v>34</v>
      </c>
      <c r="B44" s="160">
        <f>B45+B46+B48+B49+B50+B51+B52+B53+B54+B55+B56+B47+B57</f>
        <v>20072.192104806723</v>
      </c>
      <c r="C44" s="251" t="s">
        <v>31</v>
      </c>
      <c r="D44" s="119"/>
      <c r="E44" s="272" t="s">
        <v>35</v>
      </c>
      <c r="F44" s="273">
        <v>180000</v>
      </c>
      <c r="G44" s="274">
        <f>F44/F48*B8</f>
        <v>602.01680672268901</v>
      </c>
      <c r="H44" s="115"/>
      <c r="I44" s="97"/>
      <c r="J44" s="137"/>
    </row>
    <row r="45" spans="1:22" x14ac:dyDescent="0.25">
      <c r="A45" s="252" t="s">
        <v>76</v>
      </c>
      <c r="B45" s="184">
        <v>955.73</v>
      </c>
      <c r="C45" s="185" t="s">
        <v>31</v>
      </c>
      <c r="D45" s="119"/>
      <c r="E45" s="272" t="s">
        <v>18</v>
      </c>
      <c r="F45" s="273">
        <f>299837.27</f>
        <v>299837.27</v>
      </c>
      <c r="G45" s="274">
        <f>F45/F48*B8</f>
        <v>1002.8170878991598</v>
      </c>
      <c r="H45" s="115"/>
      <c r="I45" s="97"/>
      <c r="J45" s="137"/>
    </row>
    <row r="46" spans="1:22" x14ac:dyDescent="0.25">
      <c r="A46" s="253" t="s">
        <v>37</v>
      </c>
      <c r="B46" s="184">
        <f>(G42+G43)/12*4</f>
        <v>7556.0673919327719</v>
      </c>
      <c r="C46" s="185" t="s">
        <v>31</v>
      </c>
      <c r="D46" s="119"/>
      <c r="E46" s="275" t="s">
        <v>38</v>
      </c>
      <c r="F46" s="273">
        <f>7000+1260+30890+4200</f>
        <v>43350</v>
      </c>
      <c r="G46" s="274">
        <f>F46/F48*B8</f>
        <v>144.98571428571427</v>
      </c>
      <c r="H46" s="115"/>
      <c r="I46" s="97"/>
      <c r="J46" s="137"/>
    </row>
    <row r="47" spans="1:22" x14ac:dyDescent="0.25">
      <c r="A47" s="253" t="s">
        <v>39</v>
      </c>
      <c r="B47" s="184"/>
      <c r="C47" s="185" t="s">
        <v>31</v>
      </c>
      <c r="D47" s="119"/>
      <c r="E47" s="274" t="s">
        <v>12</v>
      </c>
      <c r="F47" s="273">
        <f>8022857.59-F46</f>
        <v>7979507.5899999999</v>
      </c>
      <c r="G47" s="274">
        <f>F47/F48*B8</f>
        <v>26687.764880840336</v>
      </c>
      <c r="H47" s="115"/>
      <c r="I47" s="97"/>
      <c r="J47" s="137"/>
    </row>
    <row r="48" spans="1:22" x14ac:dyDescent="0.25">
      <c r="A48" s="252" t="s">
        <v>40</v>
      </c>
      <c r="B48" s="184">
        <f>G46/12*4+75.34</f>
        <v>123.66857142857143</v>
      </c>
      <c r="C48" s="185" t="s">
        <v>31</v>
      </c>
      <c r="D48" s="119"/>
      <c r="E48" s="276" t="s">
        <v>41</v>
      </c>
      <c r="F48" s="277">
        <f>119000</f>
        <v>119000</v>
      </c>
      <c r="G48" s="274"/>
      <c r="H48" s="115"/>
      <c r="I48" s="97"/>
      <c r="J48" s="137"/>
    </row>
    <row r="49" spans="1:10" x14ac:dyDescent="0.25">
      <c r="A49" s="252" t="s">
        <v>42</v>
      </c>
      <c r="B49" s="184">
        <f>G45/12*4</f>
        <v>334.27236263305326</v>
      </c>
      <c r="C49" s="185" t="s">
        <v>31</v>
      </c>
      <c r="D49" s="119"/>
      <c r="E49" s="278"/>
      <c r="F49" s="274"/>
      <c r="G49" s="274"/>
      <c r="H49" s="115"/>
      <c r="I49" s="97"/>
      <c r="J49" s="137"/>
    </row>
    <row r="50" spans="1:10" x14ac:dyDescent="0.25">
      <c r="A50" s="252" t="s">
        <v>141</v>
      </c>
      <c r="B50" s="184">
        <f>G47/12*4</f>
        <v>8895.9216269467779</v>
      </c>
      <c r="C50" s="185" t="s">
        <v>31</v>
      </c>
      <c r="D50" s="119"/>
      <c r="E50" s="279" t="s">
        <v>70</v>
      </c>
      <c r="F50" s="277">
        <f>1910.32</f>
        <v>1910.32</v>
      </c>
      <c r="G50" s="279">
        <f>F50/F48*B8</f>
        <v>6.3891374789915965</v>
      </c>
      <c r="H50" s="115"/>
      <c r="I50" s="97"/>
      <c r="J50" s="137"/>
    </row>
    <row r="51" spans="1:10" x14ac:dyDescent="0.25">
      <c r="A51" s="252" t="s">
        <v>44</v>
      </c>
      <c r="B51" s="184">
        <f>G52/12*4</f>
        <v>18.316472829131651</v>
      </c>
      <c r="C51" s="185" t="s">
        <v>31</v>
      </c>
      <c r="D51" s="119"/>
      <c r="E51" s="119"/>
      <c r="F51" s="120"/>
      <c r="G51" s="121"/>
      <c r="H51" s="115"/>
      <c r="I51" s="97"/>
      <c r="J51" s="137"/>
    </row>
    <row r="52" spans="1:10" x14ac:dyDescent="0.25">
      <c r="A52" s="252" t="s">
        <v>45</v>
      </c>
      <c r="B52" s="184">
        <f>G50/12*4</f>
        <v>2.1297124929971987</v>
      </c>
      <c r="C52" s="185" t="s">
        <v>31</v>
      </c>
      <c r="D52" s="119"/>
      <c r="E52" s="119" t="s">
        <v>125</v>
      </c>
      <c r="F52" s="280">
        <f>16429.6</f>
        <v>16429.599999999999</v>
      </c>
      <c r="G52" s="279">
        <f>F52/F48*B8</f>
        <v>54.949418487394951</v>
      </c>
      <c r="H52" s="115"/>
      <c r="I52" s="97"/>
      <c r="J52" s="137"/>
    </row>
    <row r="53" spans="1:10" x14ac:dyDescent="0.25">
      <c r="A53" s="252" t="s">
        <v>46</v>
      </c>
      <c r="B53" s="184"/>
      <c r="C53" s="185" t="s">
        <v>31</v>
      </c>
      <c r="D53" s="119"/>
      <c r="E53" s="119"/>
      <c r="F53" s="120"/>
      <c r="G53" s="121"/>
      <c r="H53" s="115"/>
      <c r="I53" s="97"/>
      <c r="J53" s="137"/>
    </row>
    <row r="54" spans="1:10" x14ac:dyDescent="0.25">
      <c r="A54" s="254" t="s">
        <v>225</v>
      </c>
      <c r="B54" s="184"/>
      <c r="C54" s="185" t="s">
        <v>31</v>
      </c>
      <c r="D54" s="119"/>
      <c r="E54" s="119"/>
      <c r="F54" s="120"/>
      <c r="G54" s="121"/>
      <c r="H54" s="115"/>
      <c r="I54" s="97"/>
      <c r="J54" s="137"/>
    </row>
    <row r="55" spans="1:10" x14ac:dyDescent="0.25">
      <c r="A55" s="252" t="s">
        <v>48</v>
      </c>
      <c r="B55" s="184">
        <v>494.88</v>
      </c>
      <c r="C55" s="185" t="s">
        <v>31</v>
      </c>
      <c r="D55" s="101"/>
      <c r="E55" s="101"/>
      <c r="F55" s="125"/>
      <c r="G55" s="97"/>
      <c r="H55" s="97"/>
      <c r="I55" s="97"/>
      <c r="J55" s="137"/>
    </row>
    <row r="56" spans="1:10" x14ac:dyDescent="0.25">
      <c r="A56" s="252" t="s">
        <v>49</v>
      </c>
      <c r="B56" s="184">
        <f>(B46+B47+B48+B49+B50+B52+B53+B54)*0.1</f>
        <v>1691.2059665434172</v>
      </c>
      <c r="C56" s="185" t="s">
        <v>31</v>
      </c>
      <c r="D56" s="101"/>
      <c r="E56" s="101"/>
      <c r="F56" s="125"/>
      <c r="G56" s="97"/>
      <c r="H56" s="97"/>
      <c r="I56" s="97"/>
      <c r="J56" s="137"/>
    </row>
    <row r="57" spans="1:10" x14ac:dyDescent="0.25">
      <c r="A57" s="252" t="s">
        <v>103</v>
      </c>
      <c r="B57" s="184"/>
      <c r="C57" s="185" t="s">
        <v>31</v>
      </c>
      <c r="D57" s="119"/>
      <c r="E57" s="119"/>
      <c r="F57" s="138"/>
      <c r="G57" s="115"/>
      <c r="H57" s="137"/>
      <c r="I57" s="97"/>
      <c r="J57" s="137"/>
    </row>
    <row r="58" spans="1:10" x14ac:dyDescent="0.25">
      <c r="A58" s="246" t="s">
        <v>50</v>
      </c>
      <c r="B58" s="160"/>
      <c r="C58" s="251" t="s">
        <v>31</v>
      </c>
      <c r="D58" s="122"/>
      <c r="E58" s="122"/>
      <c r="F58" s="123"/>
      <c r="G58" s="124"/>
      <c r="H58" s="124"/>
      <c r="I58" s="97"/>
      <c r="J58" s="137"/>
    </row>
    <row r="59" spans="1:10" x14ac:dyDescent="0.25">
      <c r="A59" s="246" t="s">
        <v>51</v>
      </c>
      <c r="B59" s="160"/>
      <c r="C59" s="251" t="s">
        <v>31</v>
      </c>
      <c r="D59" s="122"/>
      <c r="E59" s="122"/>
      <c r="F59" s="123"/>
      <c r="G59" s="124"/>
      <c r="H59" s="124"/>
      <c r="I59" s="97"/>
      <c r="J59" s="137"/>
    </row>
    <row r="60" spans="1:10" x14ac:dyDescent="0.25">
      <c r="A60" s="246" t="s">
        <v>52</v>
      </c>
      <c r="B60" s="160">
        <f>3776.42+59700.55</f>
        <v>63476.97</v>
      </c>
      <c r="C60" s="251" t="s">
        <v>31</v>
      </c>
      <c r="D60" s="56"/>
      <c r="E60" s="56"/>
      <c r="F60" s="3"/>
      <c r="I60" s="97"/>
      <c r="J60" s="137"/>
    </row>
    <row r="61" spans="1:10" x14ac:dyDescent="0.25">
      <c r="A61" s="246" t="s">
        <v>53</v>
      </c>
      <c r="B61" s="160"/>
      <c r="C61" s="251" t="s">
        <v>54</v>
      </c>
      <c r="D61" s="56"/>
      <c r="E61" s="56"/>
      <c r="F61" s="3"/>
      <c r="I61" s="97"/>
      <c r="J61" s="137"/>
    </row>
    <row r="62" spans="1:10" x14ac:dyDescent="0.25">
      <c r="A62" s="262" t="s">
        <v>154</v>
      </c>
      <c r="B62" s="258">
        <f>C37/1.02</f>
        <v>0</v>
      </c>
      <c r="C62" s="263"/>
      <c r="D62" s="56"/>
      <c r="E62" s="56"/>
      <c r="F62" s="3"/>
      <c r="I62" s="97"/>
      <c r="J62" s="137"/>
    </row>
    <row r="63" spans="1:10" ht="15.75" thickBot="1" x14ac:dyDescent="0.3">
      <c r="A63" s="261" t="s">
        <v>78</v>
      </c>
      <c r="B63" s="162">
        <f>G44/12*4</f>
        <v>200.67226890756299</v>
      </c>
      <c r="C63" s="264" t="s">
        <v>31</v>
      </c>
      <c r="D63" s="56"/>
      <c r="E63" s="56"/>
      <c r="F63" s="3"/>
      <c r="I63" s="97"/>
      <c r="J63" s="137"/>
    </row>
    <row r="64" spans="1:10" x14ac:dyDescent="0.25">
      <c r="A64" s="59"/>
      <c r="B64" s="60"/>
      <c r="C64" s="56"/>
      <c r="D64" s="56"/>
      <c r="E64" s="56"/>
      <c r="F64" s="3"/>
      <c r="I64" s="97"/>
      <c r="J64" s="137"/>
    </row>
    <row r="65" spans="1:10" x14ac:dyDescent="0.25">
      <c r="A65" s="59" t="s">
        <v>202</v>
      </c>
      <c r="B65" s="143">
        <f>C39-C24+B43-B42</f>
        <v>4804.215626285717</v>
      </c>
      <c r="C65" s="56" t="s">
        <v>31</v>
      </c>
      <c r="D65" s="56"/>
      <c r="E65" s="56"/>
      <c r="F65" s="3"/>
      <c r="I65" s="97"/>
      <c r="J65" s="137"/>
    </row>
    <row r="66" spans="1:10" x14ac:dyDescent="0.25">
      <c r="A66" s="59"/>
      <c r="B66" s="2">
        <f>B67+B68+B69+B70+B71+B72</f>
        <v>4804.2156262857152</v>
      </c>
      <c r="C66" s="56" t="s">
        <v>31</v>
      </c>
      <c r="D66" s="56"/>
      <c r="E66" s="56"/>
      <c r="F66" s="3"/>
      <c r="I66" s="97"/>
      <c r="J66" s="137"/>
    </row>
    <row r="67" spans="1:10" x14ac:dyDescent="0.25">
      <c r="A67" s="77" t="s">
        <v>56</v>
      </c>
      <c r="B67" s="78">
        <f>C20-B44-B63</f>
        <v>-5944.8643737142866</v>
      </c>
      <c r="C67" s="56" t="s">
        <v>31</v>
      </c>
      <c r="D67" s="56"/>
      <c r="E67" s="56"/>
      <c r="F67" s="3"/>
      <c r="I67" s="97"/>
      <c r="J67" s="137"/>
    </row>
    <row r="68" spans="1:10" x14ac:dyDescent="0.25">
      <c r="A68" s="77" t="s">
        <v>57</v>
      </c>
      <c r="B68" s="78">
        <f>C22-B58</f>
        <v>11144</v>
      </c>
      <c r="C68" s="56" t="s">
        <v>31</v>
      </c>
      <c r="D68" s="56"/>
      <c r="E68" s="56"/>
      <c r="F68" s="3"/>
      <c r="I68" s="97"/>
      <c r="J68" s="137"/>
    </row>
    <row r="69" spans="1:10" x14ac:dyDescent="0.25">
      <c r="A69" s="77" t="s">
        <v>58</v>
      </c>
      <c r="B69" s="78">
        <f>C26-B59</f>
        <v>0</v>
      </c>
      <c r="C69" s="56" t="s">
        <v>31</v>
      </c>
      <c r="D69" s="56"/>
      <c r="E69" s="56"/>
      <c r="F69" s="3"/>
      <c r="I69" s="97"/>
      <c r="J69" s="137"/>
    </row>
    <row r="70" spans="1:10" x14ac:dyDescent="0.25">
      <c r="A70" s="77" t="s">
        <v>59</v>
      </c>
      <c r="B70" s="78">
        <f>C28-B60</f>
        <v>-394.91999999999825</v>
      </c>
      <c r="C70" s="56" t="s">
        <v>31</v>
      </c>
      <c r="D70" s="56"/>
      <c r="E70" s="56"/>
      <c r="F70" s="3"/>
      <c r="I70" s="97"/>
      <c r="J70" s="137"/>
    </row>
    <row r="71" spans="1:10" x14ac:dyDescent="0.25">
      <c r="A71" s="77" t="s">
        <v>60</v>
      </c>
      <c r="B71" s="78">
        <f>C35-B61</f>
        <v>0</v>
      </c>
      <c r="C71" s="56" t="s">
        <v>31</v>
      </c>
      <c r="D71" s="56"/>
      <c r="E71" s="56"/>
      <c r="F71" s="3"/>
      <c r="I71" s="97"/>
      <c r="J71" s="137"/>
    </row>
    <row r="72" spans="1:10" x14ac:dyDescent="0.25">
      <c r="A72" s="77" t="s">
        <v>157</v>
      </c>
      <c r="B72" s="78">
        <f>C37-B62</f>
        <v>0</v>
      </c>
      <c r="C72" s="56" t="s">
        <v>31</v>
      </c>
      <c r="I72" s="97"/>
      <c r="J72" s="137"/>
    </row>
    <row r="73" spans="1:10" ht="15.75" thickBot="1" x14ac:dyDescent="0.3">
      <c r="A73" s="77"/>
      <c r="B73" s="78"/>
      <c r="C73" s="56"/>
      <c r="D73" s="98"/>
      <c r="E73" s="99"/>
      <c r="F73" s="100"/>
      <c r="G73" s="97"/>
      <c r="I73" s="97"/>
      <c r="J73" s="137"/>
    </row>
    <row r="74" spans="1:10" ht="15.75" thickBot="1" x14ac:dyDescent="0.3">
      <c r="A74" s="227" t="s">
        <v>146</v>
      </c>
      <c r="B74" s="228"/>
      <c r="C74" s="229"/>
      <c r="D74" s="101"/>
      <c r="E74" s="101"/>
      <c r="F74" s="101"/>
      <c r="G74" s="97"/>
      <c r="I74" s="97"/>
      <c r="J74" s="137"/>
    </row>
    <row r="75" spans="1:10" ht="39" thickBot="1" x14ac:dyDescent="0.3">
      <c r="A75" s="230" t="s">
        <v>80</v>
      </c>
      <c r="B75" s="231" t="s">
        <v>61</v>
      </c>
      <c r="C75" s="232" t="s">
        <v>67</v>
      </c>
      <c r="D75" s="102"/>
      <c r="E75" s="103"/>
      <c r="F75" s="104"/>
      <c r="G75" s="97"/>
      <c r="I75" s="97"/>
      <c r="J75" s="137"/>
    </row>
    <row r="76" spans="1:10" x14ac:dyDescent="0.25">
      <c r="A76" s="233" t="s">
        <v>62</v>
      </c>
      <c r="B76" s="234" t="s">
        <v>31</v>
      </c>
      <c r="C76" s="235" t="s">
        <v>31</v>
      </c>
      <c r="D76" s="102"/>
      <c r="E76" s="103"/>
      <c r="F76" s="104"/>
      <c r="G76" s="97"/>
      <c r="I76" s="97"/>
      <c r="J76" s="137"/>
    </row>
    <row r="77" spans="1:10" x14ac:dyDescent="0.25">
      <c r="A77" s="148"/>
      <c r="B77" s="236"/>
      <c r="C77" s="259"/>
      <c r="D77" s="102"/>
      <c r="E77" s="103"/>
      <c r="F77" s="104"/>
      <c r="G77" s="97"/>
      <c r="I77" s="97"/>
      <c r="J77" s="137"/>
    </row>
    <row r="78" spans="1:10" ht="15.75" thickBot="1" x14ac:dyDescent="0.3">
      <c r="A78" s="239" t="s">
        <v>5</v>
      </c>
      <c r="B78" s="240">
        <f>B77</f>
        <v>0</v>
      </c>
      <c r="C78" s="260">
        <v>0</v>
      </c>
      <c r="D78" s="105"/>
      <c r="E78" s="103"/>
      <c r="F78" s="104"/>
      <c r="G78" s="97"/>
      <c r="I78" s="97"/>
      <c r="J78" s="137"/>
    </row>
    <row r="79" spans="1:10" x14ac:dyDescent="0.25">
      <c r="A79" s="31"/>
      <c r="B79" s="33"/>
      <c r="C79" s="87"/>
      <c r="D79" s="105"/>
      <c r="E79" s="103"/>
      <c r="F79" s="104"/>
      <c r="G79" s="97"/>
      <c r="I79" s="97"/>
      <c r="J79" s="137"/>
    </row>
    <row r="80" spans="1:10" x14ac:dyDescent="0.25">
      <c r="A80" s="164" t="s">
        <v>132</v>
      </c>
      <c r="B80" s="149"/>
      <c r="C80" s="215"/>
      <c r="D80" s="216"/>
      <c r="E80" s="89"/>
    </row>
    <row r="81" spans="1:6" x14ac:dyDescent="0.25">
      <c r="A81" s="217"/>
      <c r="B81" s="149"/>
      <c r="C81" s="215"/>
      <c r="D81" s="218"/>
      <c r="E81" s="89"/>
    </row>
    <row r="82" spans="1:6" x14ac:dyDescent="0.25">
      <c r="A82" s="165" t="s">
        <v>133</v>
      </c>
      <c r="B82" s="149" t="s">
        <v>134</v>
      </c>
      <c r="C82" s="219"/>
      <c r="D82" s="216"/>
      <c r="E82" s="89"/>
      <c r="F82" s="94"/>
    </row>
    <row r="83" spans="1:6" x14ac:dyDescent="0.25">
      <c r="A83" s="165"/>
      <c r="B83" s="149"/>
      <c r="C83" s="219"/>
      <c r="D83" s="216"/>
      <c r="E83" s="89"/>
    </row>
    <row r="84" spans="1:6" x14ac:dyDescent="0.25">
      <c r="A84" s="220"/>
      <c r="B84" s="221"/>
      <c r="C84" s="219"/>
      <c r="D84" s="150"/>
      <c r="E84" s="89"/>
    </row>
    <row r="85" spans="1:6" ht="15.75" x14ac:dyDescent="0.25">
      <c r="A85" s="223" t="s">
        <v>63</v>
      </c>
      <c r="B85" s="224" t="s">
        <v>134</v>
      </c>
      <c r="C85" s="225"/>
      <c r="D85" s="226" t="s">
        <v>66</v>
      </c>
      <c r="E85" s="89"/>
    </row>
    <row r="86" spans="1:6" x14ac:dyDescent="0.25">
      <c r="A86" s="95"/>
      <c r="B86" s="96"/>
      <c r="C86" s="89"/>
      <c r="D86" s="93"/>
      <c r="E86" s="56"/>
      <c r="F86" s="3"/>
    </row>
    <row r="87" spans="1:6" x14ac:dyDescent="0.25">
      <c r="A87" s="31"/>
      <c r="B87" s="33"/>
      <c r="C87" s="33"/>
      <c r="D87" s="56"/>
      <c r="E87" s="89"/>
    </row>
    <row r="88" spans="1:6" x14ac:dyDescent="0.25">
      <c r="A88" s="31"/>
      <c r="B88" s="33"/>
      <c r="C88" s="33"/>
      <c r="D88" s="56"/>
      <c r="E88" s="56"/>
    </row>
    <row r="89" spans="1:6" x14ac:dyDescent="0.25">
      <c r="A89" s="31"/>
      <c r="B89" s="33"/>
      <c r="C89" s="33"/>
      <c r="D89" s="89"/>
      <c r="E89" s="89"/>
    </row>
    <row r="90" spans="1:6" x14ac:dyDescent="0.25">
      <c r="A90" s="31"/>
      <c r="B90" s="33"/>
      <c r="D90" s="89"/>
      <c r="E90" s="89"/>
    </row>
    <row r="91" spans="1:6" x14ac:dyDescent="0.25">
      <c r="D91" s="89"/>
      <c r="E91" s="89"/>
    </row>
    <row r="92" spans="1:6" x14ac:dyDescent="0.25">
      <c r="D92" s="89"/>
      <c r="E92" s="89"/>
    </row>
    <row r="93" spans="1:6" x14ac:dyDescent="0.25">
      <c r="D93" s="89"/>
      <c r="E93" s="89"/>
    </row>
    <row r="94" spans="1:6" x14ac:dyDescent="0.25">
      <c r="D94" s="89"/>
      <c r="E94" s="89"/>
    </row>
    <row r="95" spans="1:6" x14ac:dyDescent="0.25">
      <c r="B95"/>
      <c r="C95"/>
      <c r="D95" s="56"/>
      <c r="E95" s="56"/>
      <c r="F95" s="3"/>
    </row>
    <row r="96" spans="1:6" x14ac:dyDescent="0.25">
      <c r="B96"/>
      <c r="C96"/>
      <c r="D96" s="89"/>
      <c r="E96" s="89"/>
      <c r="F96" s="3"/>
    </row>
    <row r="97" spans="2:5" x14ac:dyDescent="0.25">
      <c r="B97"/>
      <c r="C97"/>
      <c r="D97" s="89"/>
      <c r="E97" s="89"/>
    </row>
    <row r="98" spans="2:5" x14ac:dyDescent="0.25">
      <c r="B98"/>
      <c r="C98"/>
      <c r="D98" s="33"/>
      <c r="E98" s="33"/>
    </row>
    <row r="99" spans="2:5" x14ac:dyDescent="0.25">
      <c r="B99"/>
      <c r="C99"/>
      <c r="D99" s="33"/>
      <c r="E99" s="33"/>
    </row>
    <row r="100" spans="2:5" x14ac:dyDescent="0.25">
      <c r="D100" s="33"/>
      <c r="E100" s="33"/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V103"/>
  <sheetViews>
    <sheetView view="pageBreakPreview" topLeftCell="A59" zoomScale="60" zoomScaleNormal="100" workbookViewId="0">
      <selection activeCell="D41" sqref="D41:G54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4.85546875" style="3" customWidth="1"/>
    <col min="5" max="5" width="17.570312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230</v>
      </c>
      <c r="B2" s="2"/>
      <c r="C2" s="2"/>
      <c r="D2" s="20"/>
    </row>
    <row r="3" spans="1:22" ht="15.75" thickBot="1" x14ac:dyDescent="0.3">
      <c r="A3" s="1" t="s">
        <v>231</v>
      </c>
      <c r="B3" s="2"/>
      <c r="C3" s="2"/>
      <c r="D3" s="20"/>
      <c r="L3" s="108"/>
      <c r="M3" s="108"/>
      <c r="N3" s="108"/>
      <c r="O3" s="108"/>
    </row>
    <row r="4" spans="1:22" ht="15.75" thickBot="1" x14ac:dyDescent="0.3">
      <c r="A4" s="22" t="s">
        <v>0</v>
      </c>
      <c r="B4" s="202"/>
      <c r="C4" s="203"/>
      <c r="D4" s="208"/>
      <c r="E4" s="125"/>
      <c r="L4" s="108"/>
      <c r="M4" s="108"/>
      <c r="N4" s="108"/>
      <c r="O4" s="108"/>
    </row>
    <row r="5" spans="1:22" ht="40.5" customHeight="1" thickBot="1" x14ac:dyDescent="0.3">
      <c r="A5" s="6" t="s">
        <v>1</v>
      </c>
      <c r="B5" s="8" t="s">
        <v>2</v>
      </c>
      <c r="C5" s="9" t="s">
        <v>3</v>
      </c>
      <c r="D5" s="131"/>
      <c r="E5" s="97"/>
      <c r="K5" s="108"/>
      <c r="L5" s="108"/>
      <c r="M5" s="108"/>
      <c r="N5" s="108"/>
    </row>
    <row r="6" spans="1:22" ht="15.75" thickBot="1" x14ac:dyDescent="0.3">
      <c r="A6" s="151" t="s">
        <v>232</v>
      </c>
      <c r="B6" s="153">
        <v>955.1</v>
      </c>
      <c r="C6" s="154">
        <v>41</v>
      </c>
      <c r="D6" s="125"/>
      <c r="E6" s="97"/>
      <c r="K6" s="108"/>
      <c r="L6" s="108"/>
      <c r="M6" s="108"/>
      <c r="N6" s="108"/>
    </row>
    <row r="7" spans="1:22" x14ac:dyDescent="0.25">
      <c r="A7" s="10"/>
      <c r="B7" s="86"/>
      <c r="C7" s="152"/>
      <c r="D7" s="125"/>
      <c r="E7" s="97"/>
      <c r="K7" s="108"/>
      <c r="L7" s="108"/>
      <c r="M7" s="108"/>
      <c r="N7" s="108"/>
    </row>
    <row r="8" spans="1:22" ht="15.75" thickBot="1" x14ac:dyDescent="0.3">
      <c r="A8" s="16" t="s">
        <v>5</v>
      </c>
      <c r="B8" s="17">
        <f>B6+B7</f>
        <v>955.1</v>
      </c>
      <c r="C8" s="18">
        <f>C6</f>
        <v>41</v>
      </c>
      <c r="D8" s="125"/>
      <c r="E8" s="97"/>
      <c r="K8" s="108"/>
      <c r="L8" s="108"/>
      <c r="M8" s="108"/>
      <c r="N8" s="108"/>
    </row>
    <row r="9" spans="1:22" ht="15.75" thickBot="1" x14ac:dyDescent="0.3">
      <c r="A9" s="194"/>
      <c r="B9" s="106"/>
      <c r="C9" s="106"/>
      <c r="D9" s="195"/>
      <c r="E9" s="125"/>
      <c r="L9" s="108"/>
      <c r="M9" s="108"/>
      <c r="N9" s="108"/>
      <c r="O9" s="108"/>
    </row>
    <row r="10" spans="1:22" ht="15.75" thickBot="1" x14ac:dyDescent="0.3">
      <c r="A10" s="22" t="s">
        <v>112</v>
      </c>
      <c r="B10" s="23"/>
      <c r="C10" s="23"/>
      <c r="D10" s="24" t="s">
        <v>6</v>
      </c>
      <c r="E10" s="125"/>
      <c r="F10" s="97"/>
      <c r="G10" s="97"/>
      <c r="H10" s="97"/>
      <c r="I10" s="97"/>
      <c r="J10" s="97"/>
      <c r="K10" s="97"/>
      <c r="L10" s="108"/>
      <c r="M10" s="108"/>
      <c r="N10" s="108"/>
      <c r="O10" s="108"/>
    </row>
    <row r="11" spans="1:22" x14ac:dyDescent="0.25">
      <c r="A11" s="25" t="s">
        <v>7</v>
      </c>
      <c r="B11" s="20"/>
      <c r="C11" s="20"/>
      <c r="D11" s="27">
        <v>16</v>
      </c>
      <c r="E11" s="125"/>
      <c r="F11" s="97"/>
      <c r="G11" s="97"/>
      <c r="H11" s="97"/>
      <c r="I11" s="97"/>
      <c r="J11" s="97"/>
      <c r="K11" s="97"/>
      <c r="L11" s="108"/>
      <c r="M11" s="108"/>
      <c r="N11" s="108"/>
      <c r="O11" s="108"/>
    </row>
    <row r="12" spans="1:22" x14ac:dyDescent="0.25">
      <c r="A12" s="25" t="s">
        <v>8</v>
      </c>
      <c r="B12" s="20"/>
      <c r="C12" s="20"/>
      <c r="D12" s="27">
        <v>5</v>
      </c>
      <c r="E12" s="125"/>
      <c r="F12" s="97"/>
      <c r="G12" s="97"/>
      <c r="H12" s="97"/>
      <c r="I12" s="97"/>
      <c r="J12" s="97"/>
      <c r="K12" s="97"/>
      <c r="L12" s="108"/>
      <c r="M12" s="108"/>
      <c r="N12" s="108"/>
      <c r="O12" s="108"/>
    </row>
    <row r="13" spans="1:22" x14ac:dyDescent="0.25">
      <c r="A13" s="25" t="s">
        <v>9</v>
      </c>
      <c r="B13" s="20"/>
      <c r="C13" s="20"/>
      <c r="D13" s="26">
        <v>0</v>
      </c>
      <c r="E13" s="125"/>
      <c r="F13" s="97"/>
      <c r="G13" s="97"/>
      <c r="H13" s="97"/>
      <c r="I13" s="97"/>
      <c r="J13" s="97"/>
      <c r="K13" s="97"/>
      <c r="L13" s="108"/>
      <c r="M13" s="108"/>
      <c r="N13" s="108"/>
      <c r="O13" s="108"/>
    </row>
    <row r="14" spans="1:22" ht="15.75" thickBot="1" x14ac:dyDescent="0.3">
      <c r="A14" s="28" t="s">
        <v>10</v>
      </c>
      <c r="B14" s="193"/>
      <c r="C14" s="193"/>
      <c r="D14" s="30">
        <v>0</v>
      </c>
      <c r="E14" s="125"/>
      <c r="F14" s="97"/>
      <c r="G14" s="97"/>
      <c r="H14" s="97"/>
      <c r="I14" s="97"/>
      <c r="J14" s="97"/>
      <c r="K14" s="97"/>
      <c r="L14" s="108"/>
      <c r="M14" s="108"/>
      <c r="N14" s="108"/>
      <c r="O14" s="108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209"/>
      <c r="B15" s="131"/>
      <c r="C15" s="131"/>
      <c r="D15" s="131"/>
      <c r="E15" s="125"/>
      <c r="F15" s="97"/>
      <c r="G15" s="97"/>
      <c r="H15" s="97"/>
      <c r="I15" s="97"/>
      <c r="J15" s="97"/>
      <c r="K15" s="97"/>
      <c r="L15" s="108"/>
      <c r="M15" s="108"/>
      <c r="N15" s="108"/>
      <c r="O15" s="108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113</v>
      </c>
      <c r="B16" s="206"/>
      <c r="C16" s="206"/>
      <c r="D16" s="206"/>
      <c r="E16" s="207"/>
      <c r="F16" s="97"/>
      <c r="G16" s="97"/>
      <c r="H16" s="97"/>
      <c r="I16" s="97"/>
      <c r="J16" s="97"/>
      <c r="K16" s="97"/>
      <c r="L16" s="108"/>
      <c r="M16" s="109"/>
      <c r="N16" s="109"/>
      <c r="O16" s="108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196"/>
      <c r="B17" s="131"/>
      <c r="C17" s="131"/>
      <c r="D17" s="131"/>
      <c r="E17" s="210"/>
      <c r="F17" s="97"/>
      <c r="G17" s="97"/>
      <c r="H17" s="97"/>
      <c r="I17" s="97"/>
      <c r="J17" s="97"/>
      <c r="K17" s="97"/>
      <c r="L17" s="109"/>
      <c r="M17" s="110"/>
      <c r="N17" s="109"/>
      <c r="O17" s="108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196"/>
      <c r="B18" s="131"/>
      <c r="C18" s="131"/>
      <c r="D18" s="131"/>
      <c r="E18" s="210"/>
      <c r="F18" s="97"/>
      <c r="G18" s="97"/>
      <c r="H18" s="97"/>
      <c r="I18" s="97"/>
      <c r="J18" s="97"/>
      <c r="K18" s="97"/>
      <c r="L18" s="108"/>
      <c r="M18" s="108"/>
      <c r="N18" s="108"/>
      <c r="O18" s="108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114</v>
      </c>
      <c r="C19" s="38" t="s">
        <v>115</v>
      </c>
      <c r="D19" s="38" t="s">
        <v>116</v>
      </c>
      <c r="E19" s="39" t="s">
        <v>117</v>
      </c>
      <c r="F19" s="97"/>
      <c r="G19" s="97"/>
      <c r="H19" s="97"/>
      <c r="I19" s="97"/>
      <c r="J19" s="97"/>
      <c r="K19" s="97"/>
      <c r="L19" s="108"/>
      <c r="M19" s="111"/>
      <c r="N19" s="111"/>
      <c r="O19" s="108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/>
      <c r="C20" s="41">
        <v>45950.400000000001</v>
      </c>
      <c r="D20" s="40">
        <v>15789.04</v>
      </c>
      <c r="E20" s="42">
        <f t="shared" ref="E20:E38" si="0">C20-D20+B20</f>
        <v>30161.360000000001</v>
      </c>
      <c r="F20" s="116">
        <f>C20+F22</f>
        <v>60309.9</v>
      </c>
      <c r="G20" s="117">
        <f>100</f>
        <v>100</v>
      </c>
      <c r="H20" s="115" t="s">
        <v>64</v>
      </c>
      <c r="I20" s="97"/>
      <c r="J20" s="97"/>
      <c r="K20" s="97"/>
      <c r="L20" s="108"/>
      <c r="M20" s="108"/>
      <c r="N20" s="108"/>
      <c r="O20" s="108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16"/>
      <c r="G21" s="117"/>
      <c r="H21" s="115"/>
      <c r="I21" s="97"/>
      <c r="J21" s="97"/>
      <c r="K21" s="97"/>
      <c r="L21" s="108"/>
      <c r="M21" s="108"/>
      <c r="N21" s="108"/>
      <c r="O21" s="108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/>
      <c r="C22" s="44">
        <v>14359.5</v>
      </c>
      <c r="D22" s="43">
        <v>5284.46</v>
      </c>
      <c r="E22" s="45">
        <f t="shared" si="0"/>
        <v>9075.0400000000009</v>
      </c>
      <c r="F22" s="116">
        <f>C22</f>
        <v>14359.5</v>
      </c>
      <c r="G22" s="118">
        <f>F22*G20/F20</f>
        <v>23.80952380952381</v>
      </c>
      <c r="H22" s="115" t="s">
        <v>64</v>
      </c>
      <c r="I22" s="97"/>
      <c r="J22" s="97"/>
      <c r="K22" s="97"/>
      <c r="L22" s="108"/>
      <c r="M22" s="108"/>
      <c r="N22" s="111"/>
      <c r="O22" s="108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97"/>
      <c r="G23" s="97"/>
      <c r="H23" s="97"/>
      <c r="I23" s="97"/>
      <c r="J23" s="97"/>
      <c r="K23" s="97"/>
      <c r="L23" s="108"/>
      <c r="M23" s="108"/>
      <c r="N23" s="108"/>
      <c r="O23" s="108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44"/>
      <c r="D24" s="44"/>
      <c r="E24" s="45">
        <f t="shared" si="0"/>
        <v>0</v>
      </c>
      <c r="F24" s="97"/>
      <c r="G24" s="97"/>
      <c r="H24" s="97"/>
      <c r="I24" s="97"/>
      <c r="J24" s="97"/>
      <c r="K24" s="97"/>
      <c r="L24" s="108"/>
      <c r="M24" s="108"/>
      <c r="N24" s="108"/>
      <c r="O24" s="108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97"/>
      <c r="G25" s="97"/>
      <c r="H25" s="97"/>
      <c r="I25" s="97"/>
      <c r="J25" s="97"/>
      <c r="K25" s="97"/>
      <c r="L25" s="108"/>
      <c r="M25" s="108"/>
      <c r="N25" s="108"/>
      <c r="O25" s="108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/>
      <c r="C26" s="44"/>
      <c r="D26" s="44"/>
      <c r="E26" s="45">
        <f t="shared" si="0"/>
        <v>0</v>
      </c>
      <c r="F26" s="97"/>
      <c r="G26" s="97"/>
      <c r="H26" s="97"/>
      <c r="I26" s="97"/>
      <c r="J26" s="97"/>
      <c r="K26" s="97"/>
      <c r="L26" s="108"/>
      <c r="M26" s="108"/>
      <c r="N26" s="108"/>
      <c r="O26" s="108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83</v>
      </c>
      <c r="B27" s="44"/>
      <c r="C27" s="44"/>
      <c r="D27" s="44"/>
      <c r="E27" s="45">
        <f t="shared" si="0"/>
        <v>0</v>
      </c>
      <c r="F27" s="97"/>
      <c r="G27" s="97"/>
      <c r="H27" s="97"/>
      <c r="I27" s="97"/>
      <c r="J27" s="97"/>
      <c r="K27" s="97"/>
      <c r="L27" s="108"/>
      <c r="M27" s="108"/>
      <c r="N27" s="108"/>
      <c r="O27" s="108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0</v>
      </c>
      <c r="C28" s="50">
        <f>C29+C30+C31+C33+C32</f>
        <v>116759.1</v>
      </c>
      <c r="D28" s="50">
        <f>D29+D30+D31+D33+D32</f>
        <v>41989.24</v>
      </c>
      <c r="E28" s="51">
        <f>C28-D28+B28</f>
        <v>74769.860000000015</v>
      </c>
      <c r="F28" s="97"/>
      <c r="G28" s="97"/>
      <c r="H28" s="97"/>
      <c r="I28" s="97"/>
      <c r="J28" s="97"/>
      <c r="K28" s="97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204" t="s">
        <v>22</v>
      </c>
      <c r="B29" s="40"/>
      <c r="C29" s="40">
        <v>76738.41</v>
      </c>
      <c r="D29" s="40">
        <v>26390.06</v>
      </c>
      <c r="E29" s="42">
        <f t="shared" si="0"/>
        <v>50348.350000000006</v>
      </c>
      <c r="F29" s="97"/>
      <c r="G29" s="97"/>
      <c r="H29" s="97"/>
      <c r="I29" s="97"/>
      <c r="J29" s="97"/>
      <c r="K29" s="97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205" t="s">
        <v>23</v>
      </c>
      <c r="B30" s="43"/>
      <c r="C30" s="43">
        <f>18856.82+5661.53</f>
        <v>24518.35</v>
      </c>
      <c r="D30" s="43">
        <f>6795.94+2396.1</f>
        <v>9192.0399999999991</v>
      </c>
      <c r="E30" s="45">
        <f t="shared" si="0"/>
        <v>15326.31</v>
      </c>
      <c r="F30" s="97"/>
      <c r="G30" s="97"/>
      <c r="H30" s="97"/>
      <c r="I30" s="97"/>
      <c r="J30" s="97"/>
      <c r="K30" s="97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205" t="s">
        <v>24</v>
      </c>
      <c r="B31" s="43"/>
      <c r="C31" s="43">
        <v>6037.58</v>
      </c>
      <c r="D31" s="43">
        <v>2632.39</v>
      </c>
      <c r="E31" s="45">
        <f t="shared" si="0"/>
        <v>3405.19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205" t="s">
        <v>90</v>
      </c>
      <c r="B32" s="43"/>
      <c r="C32" s="43"/>
      <c r="D32" s="43"/>
      <c r="E32" s="45">
        <f t="shared" si="0"/>
        <v>0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205" t="s">
        <v>25</v>
      </c>
      <c r="B33" s="43"/>
      <c r="C33" s="43">
        <v>9464.76</v>
      </c>
      <c r="D33" s="43">
        <v>3774.75</v>
      </c>
      <c r="E33" s="45">
        <f t="shared" si="0"/>
        <v>5690.01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205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74</v>
      </c>
      <c r="B35" s="186"/>
      <c r="C35" s="55"/>
      <c r="D35" s="55"/>
      <c r="E35" s="45">
        <f t="shared" si="0"/>
        <v>0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155</v>
      </c>
      <c r="B37" s="44"/>
      <c r="C37" s="44"/>
      <c r="D37" s="44"/>
      <c r="E37" s="45">
        <f t="shared" si="0"/>
        <v>0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/>
      <c r="C38" s="46"/>
      <c r="D38" s="46"/>
      <c r="E38" s="47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0</v>
      </c>
      <c r="C39" s="58">
        <f>C20+C21+C22+C23+C24+C25+C26+C28+C35+C36+C37+C38</f>
        <v>177069</v>
      </c>
      <c r="D39" s="58">
        <f>D20+D21+D22+D23+D24+D25+D26+D28+D35+D36+D37+D38+D27</f>
        <v>63062.74</v>
      </c>
      <c r="E39" s="58">
        <f>E20+E21+E22+E23+E24+E25+E26+E28+E35+E36+E37+E38+E27</f>
        <v>114006.26000000001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59"/>
      <c r="B40" s="60"/>
      <c r="C40" s="56"/>
      <c r="D40" s="122"/>
      <c r="E40" s="122"/>
      <c r="F40" s="123"/>
      <c r="G40" s="124"/>
      <c r="H40" s="124"/>
      <c r="I40" s="124"/>
      <c r="J40" s="137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59"/>
      <c r="B41" s="60"/>
      <c r="C41" s="56"/>
      <c r="D41" s="119"/>
      <c r="E41" s="119"/>
      <c r="F41" s="138"/>
      <c r="G41" s="115"/>
      <c r="H41" s="97"/>
      <c r="I41" s="97"/>
      <c r="J41" s="137"/>
    </row>
    <row r="42" spans="1:22" ht="15.75" thickBot="1" x14ac:dyDescent="0.3">
      <c r="A42" s="61" t="s">
        <v>30</v>
      </c>
      <c r="B42" s="62">
        <f>B44+B60+B61+B58+B63+B59+B62</f>
        <v>73226.193382414291</v>
      </c>
      <c r="C42" s="63" t="s">
        <v>31</v>
      </c>
      <c r="D42" s="119">
        <f>C39-B42-B63</f>
        <v>103481.63434867814</v>
      </c>
      <c r="E42" s="272" t="s">
        <v>32</v>
      </c>
      <c r="F42" s="273">
        <v>5512727.4500000002</v>
      </c>
      <c r="G42" s="274">
        <f>F42/F48*B8</f>
        <v>44245.428466344536</v>
      </c>
      <c r="H42" s="97"/>
      <c r="I42" s="97"/>
      <c r="J42" s="137"/>
    </row>
    <row r="43" spans="1:22" x14ac:dyDescent="0.25">
      <c r="A43" s="250"/>
      <c r="B43" s="183"/>
      <c r="C43" s="251" t="s">
        <v>31</v>
      </c>
      <c r="D43" s="119"/>
      <c r="E43" s="272" t="s">
        <v>33</v>
      </c>
      <c r="F43" s="273">
        <v>1264951.0900000001</v>
      </c>
      <c r="G43" s="274">
        <f>F43/F48*B8</f>
        <v>10152.561227386555</v>
      </c>
      <c r="H43" s="97"/>
      <c r="I43" s="97"/>
      <c r="J43" s="137"/>
    </row>
    <row r="44" spans="1:22" x14ac:dyDescent="0.25">
      <c r="A44" s="246" t="s">
        <v>34</v>
      </c>
      <c r="B44" s="160">
        <f>B45+B46+B48+B49+B50+B51+B52+B53+B54+B55+B56+B47+B57</f>
        <v>42884.341113506714</v>
      </c>
      <c r="C44" s="251" t="s">
        <v>31</v>
      </c>
      <c r="D44" s="119"/>
      <c r="E44" s="272" t="s">
        <v>35</v>
      </c>
      <c r="F44" s="273">
        <v>180000</v>
      </c>
      <c r="G44" s="274">
        <f>F44/F48*B8</f>
        <v>1444.6890756302521</v>
      </c>
      <c r="H44" s="97"/>
      <c r="I44" s="97"/>
      <c r="J44" s="137"/>
    </row>
    <row r="45" spans="1:22" x14ac:dyDescent="0.25">
      <c r="A45" s="252" t="s">
        <v>76</v>
      </c>
      <c r="B45" s="184">
        <v>3876.41</v>
      </c>
      <c r="C45" s="185" t="s">
        <v>31</v>
      </c>
      <c r="D45" s="119"/>
      <c r="E45" s="272" t="s">
        <v>18</v>
      </c>
      <c r="F45" s="273">
        <f>299837.27</f>
        <v>299837.27</v>
      </c>
      <c r="G45" s="274">
        <f>F45/F48*B8</f>
        <v>2406.5090468655467</v>
      </c>
      <c r="H45" s="97"/>
      <c r="I45" s="97"/>
      <c r="J45" s="137"/>
    </row>
    <row r="46" spans="1:22" x14ac:dyDescent="0.25">
      <c r="A46" s="253" t="s">
        <v>37</v>
      </c>
      <c r="B46" s="184">
        <f>(G42+G43)/12*3</f>
        <v>13599.497423432771</v>
      </c>
      <c r="C46" s="185" t="s">
        <v>31</v>
      </c>
      <c r="D46" s="119"/>
      <c r="E46" s="275" t="s">
        <v>38</v>
      </c>
      <c r="F46" s="273">
        <f>7000+1260+30890+4200</f>
        <v>43350</v>
      </c>
      <c r="G46" s="274">
        <f>F46/F48*B8</f>
        <v>347.9292857142857</v>
      </c>
      <c r="H46" s="97"/>
      <c r="I46" s="97"/>
      <c r="J46" s="137"/>
    </row>
    <row r="47" spans="1:22" x14ac:dyDescent="0.25">
      <c r="A47" s="253" t="s">
        <v>39</v>
      </c>
      <c r="B47" s="184"/>
      <c r="C47" s="185" t="s">
        <v>31</v>
      </c>
      <c r="D47" s="119"/>
      <c r="E47" s="274" t="s">
        <v>12</v>
      </c>
      <c r="F47" s="273">
        <f>8022857.59-F46</f>
        <v>7979507.5899999999</v>
      </c>
      <c r="G47" s="274">
        <f>F47/F48*B8</f>
        <v>64043.930245453776</v>
      </c>
      <c r="H47" s="97"/>
      <c r="I47" s="97"/>
      <c r="J47" s="137"/>
    </row>
    <row r="48" spans="1:22" x14ac:dyDescent="0.25">
      <c r="A48" s="252" t="s">
        <v>40</v>
      </c>
      <c r="B48" s="184">
        <f>G46/12*3+4363.1</f>
        <v>4450.082321428572</v>
      </c>
      <c r="C48" s="185" t="s">
        <v>31</v>
      </c>
      <c r="D48" s="119"/>
      <c r="E48" s="276" t="s">
        <v>41</v>
      </c>
      <c r="F48" s="277">
        <f>119000</f>
        <v>119000</v>
      </c>
      <c r="G48" s="274"/>
      <c r="H48" s="97"/>
      <c r="I48" s="97"/>
      <c r="J48" s="137"/>
    </row>
    <row r="49" spans="1:10" x14ac:dyDescent="0.25">
      <c r="A49" s="252" t="s">
        <v>42</v>
      </c>
      <c r="B49" s="184">
        <f>G45/12*3</f>
        <v>601.62726171638667</v>
      </c>
      <c r="C49" s="185" t="s">
        <v>31</v>
      </c>
      <c r="D49" s="119"/>
      <c r="E49" s="278"/>
      <c r="F49" s="274"/>
      <c r="G49" s="274"/>
      <c r="H49" s="97"/>
      <c r="I49" s="97"/>
      <c r="J49" s="137"/>
    </row>
    <row r="50" spans="1:10" x14ac:dyDescent="0.25">
      <c r="A50" s="252" t="s">
        <v>141</v>
      </c>
      <c r="B50" s="184">
        <f>G47/12*3</f>
        <v>16010.982561363442</v>
      </c>
      <c r="C50" s="185" t="s">
        <v>31</v>
      </c>
      <c r="D50" s="119"/>
      <c r="E50" s="279" t="s">
        <v>70</v>
      </c>
      <c r="F50" s="277">
        <f>1910.32</f>
        <v>1910.32</v>
      </c>
      <c r="G50" s="279">
        <f>F50/F48*B8</f>
        <v>15.332324638655463</v>
      </c>
      <c r="H50" s="97"/>
      <c r="I50" s="97"/>
      <c r="J50" s="137"/>
    </row>
    <row r="51" spans="1:10" x14ac:dyDescent="0.25">
      <c r="A51" s="252" t="s">
        <v>44</v>
      </c>
      <c r="B51" s="184">
        <f>G52/12*3</f>
        <v>32.966199495798314</v>
      </c>
      <c r="C51" s="185" t="s">
        <v>31</v>
      </c>
      <c r="D51" s="119"/>
      <c r="E51" s="119"/>
      <c r="F51" s="120"/>
      <c r="G51" s="121"/>
      <c r="H51" s="97"/>
      <c r="I51" s="97"/>
      <c r="J51" s="137"/>
    </row>
    <row r="52" spans="1:10" x14ac:dyDescent="0.25">
      <c r="A52" s="252" t="s">
        <v>45</v>
      </c>
      <c r="B52" s="184">
        <f>G50/12*3</f>
        <v>3.8330811596638656</v>
      </c>
      <c r="C52" s="185" t="s">
        <v>31</v>
      </c>
      <c r="D52" s="119"/>
      <c r="E52" s="119" t="s">
        <v>125</v>
      </c>
      <c r="F52" s="280">
        <f>16429.6</f>
        <v>16429.599999999999</v>
      </c>
      <c r="G52" s="279">
        <f>F52/F48*B8</f>
        <v>131.86479798319326</v>
      </c>
      <c r="H52" s="97"/>
      <c r="I52" s="97"/>
      <c r="J52" s="137"/>
    </row>
    <row r="53" spans="1:10" x14ac:dyDescent="0.25">
      <c r="A53" s="252" t="s">
        <v>46</v>
      </c>
      <c r="B53" s="184"/>
      <c r="C53" s="185" t="s">
        <v>31</v>
      </c>
      <c r="D53" s="119"/>
      <c r="E53" s="119"/>
      <c r="F53" s="120"/>
      <c r="G53" s="121"/>
      <c r="H53" s="97"/>
      <c r="I53" s="97"/>
      <c r="J53" s="137"/>
    </row>
    <row r="54" spans="1:10" x14ac:dyDescent="0.25">
      <c r="A54" s="254" t="s">
        <v>225</v>
      </c>
      <c r="B54" s="184"/>
      <c r="C54" s="185" t="s">
        <v>31</v>
      </c>
      <c r="D54" s="119"/>
      <c r="E54" s="119"/>
      <c r="F54" s="120"/>
      <c r="G54" s="121"/>
      <c r="H54" s="97"/>
      <c r="I54" s="97"/>
      <c r="J54" s="137"/>
    </row>
    <row r="55" spans="1:10" x14ac:dyDescent="0.25">
      <c r="A55" s="252" t="s">
        <v>48</v>
      </c>
      <c r="B55" s="184">
        <v>842.34</v>
      </c>
      <c r="C55" s="185" t="s">
        <v>31</v>
      </c>
      <c r="D55" s="101"/>
      <c r="E55" s="101"/>
      <c r="F55" s="125"/>
      <c r="G55" s="97"/>
      <c r="H55" s="97"/>
      <c r="I55" s="97"/>
      <c r="J55" s="137"/>
    </row>
    <row r="56" spans="1:10" x14ac:dyDescent="0.25">
      <c r="A56" s="252" t="s">
        <v>49</v>
      </c>
      <c r="B56" s="184">
        <f>(B46+B47+B48+B49+B50+B52+B53+B54)*0.1</f>
        <v>3466.6022649100832</v>
      </c>
      <c r="C56" s="185" t="s">
        <v>31</v>
      </c>
      <c r="D56" s="101"/>
      <c r="E56" s="101"/>
      <c r="F56" s="125"/>
      <c r="G56" s="97"/>
      <c r="H56" s="97"/>
      <c r="I56" s="97"/>
      <c r="J56" s="137"/>
    </row>
    <row r="57" spans="1:10" x14ac:dyDescent="0.25">
      <c r="A57" s="252" t="s">
        <v>103</v>
      </c>
      <c r="B57" s="184"/>
      <c r="C57" s="185" t="s">
        <v>31</v>
      </c>
      <c r="D57" s="119"/>
      <c r="E57" s="119"/>
      <c r="F57" s="138"/>
      <c r="G57" s="115"/>
      <c r="H57" s="137"/>
      <c r="I57" s="97"/>
      <c r="J57" s="137"/>
    </row>
    <row r="58" spans="1:10" x14ac:dyDescent="0.25">
      <c r="A58" s="246" t="s">
        <v>50</v>
      </c>
      <c r="B58" s="160">
        <f>C81</f>
        <v>29980.68</v>
      </c>
      <c r="C58" s="251" t="s">
        <v>31</v>
      </c>
      <c r="D58" s="122"/>
      <c r="E58" s="122"/>
      <c r="F58" s="123"/>
      <c r="G58" s="124"/>
      <c r="H58" s="124"/>
      <c r="I58" s="97"/>
      <c r="J58" s="137"/>
    </row>
    <row r="59" spans="1:10" x14ac:dyDescent="0.25">
      <c r="A59" s="246" t="s">
        <v>51</v>
      </c>
      <c r="B59" s="160"/>
      <c r="C59" s="251" t="s">
        <v>31</v>
      </c>
      <c r="D59" s="122"/>
      <c r="E59" s="122"/>
      <c r="F59" s="123"/>
      <c r="G59" s="124"/>
      <c r="H59" s="124"/>
      <c r="I59" s="97"/>
      <c r="J59" s="137"/>
    </row>
    <row r="60" spans="1:10" x14ac:dyDescent="0.25">
      <c r="A60" s="246" t="s">
        <v>52</v>
      </c>
      <c r="B60" s="160"/>
      <c r="C60" s="251" t="s">
        <v>31</v>
      </c>
      <c r="D60" s="56"/>
      <c r="E60" s="56"/>
      <c r="F60" s="3"/>
      <c r="I60" s="97"/>
      <c r="J60" s="137"/>
    </row>
    <row r="61" spans="1:10" x14ac:dyDescent="0.25">
      <c r="A61" s="246" t="s">
        <v>53</v>
      </c>
      <c r="B61" s="160"/>
      <c r="C61" s="251" t="s">
        <v>54</v>
      </c>
      <c r="D61" s="56"/>
      <c r="E61" s="56"/>
      <c r="F61" s="3"/>
      <c r="I61" s="97"/>
      <c r="J61" s="137"/>
    </row>
    <row r="62" spans="1:10" x14ac:dyDescent="0.25">
      <c r="A62" s="262" t="s">
        <v>154</v>
      </c>
      <c r="B62" s="258">
        <f>C37/1.02</f>
        <v>0</v>
      </c>
      <c r="C62" s="263"/>
      <c r="D62" s="56"/>
      <c r="E62" s="56"/>
      <c r="F62" s="3"/>
      <c r="I62" s="97"/>
      <c r="J62" s="137"/>
    </row>
    <row r="63" spans="1:10" ht="15.75" thickBot="1" x14ac:dyDescent="0.3">
      <c r="A63" s="261" t="s">
        <v>78</v>
      </c>
      <c r="B63" s="162">
        <f>G44/12*3</f>
        <v>361.17226890756302</v>
      </c>
      <c r="C63" s="264" t="s">
        <v>31</v>
      </c>
      <c r="D63" s="56"/>
      <c r="E63" s="56"/>
      <c r="F63" s="3"/>
      <c r="I63" s="97"/>
      <c r="J63" s="137"/>
    </row>
    <row r="64" spans="1:10" x14ac:dyDescent="0.25">
      <c r="A64" s="59"/>
      <c r="B64" s="60"/>
      <c r="C64" s="56"/>
      <c r="D64" s="56"/>
      <c r="E64" s="56"/>
      <c r="F64" s="3"/>
      <c r="I64" s="97"/>
      <c r="J64" s="137"/>
    </row>
    <row r="65" spans="1:10" x14ac:dyDescent="0.25">
      <c r="A65" s="59" t="s">
        <v>202</v>
      </c>
      <c r="B65" s="143">
        <f>C39-C24+B43-B42</f>
        <v>103842.80661758571</v>
      </c>
      <c r="C65" s="56" t="s">
        <v>31</v>
      </c>
      <c r="D65" s="56"/>
      <c r="E65" s="56"/>
      <c r="F65" s="3"/>
      <c r="I65" s="97"/>
      <c r="J65" s="137"/>
    </row>
    <row r="66" spans="1:10" x14ac:dyDescent="0.25">
      <c r="A66" s="59"/>
      <c r="B66" s="2">
        <f>B67+B68+B69+B70+B71+B72</f>
        <v>103842.80661758572</v>
      </c>
      <c r="C66" s="56" t="s">
        <v>31</v>
      </c>
      <c r="D66" s="56"/>
      <c r="E66" s="56"/>
      <c r="F66" s="3"/>
      <c r="I66" s="97"/>
      <c r="J66" s="137"/>
    </row>
    <row r="67" spans="1:10" x14ac:dyDescent="0.25">
      <c r="A67" s="77" t="s">
        <v>56</v>
      </c>
      <c r="B67" s="78">
        <f>C20-B44-B63</f>
        <v>2704.8866175857238</v>
      </c>
      <c r="C67" s="56" t="s">
        <v>31</v>
      </c>
      <c r="D67" s="56"/>
      <c r="E67" s="56"/>
      <c r="F67" s="3"/>
      <c r="I67" s="97"/>
      <c r="J67" s="137"/>
    </row>
    <row r="68" spans="1:10" x14ac:dyDescent="0.25">
      <c r="A68" s="77" t="s">
        <v>57</v>
      </c>
      <c r="B68" s="78">
        <f>C22-B58</f>
        <v>-15621.18</v>
      </c>
      <c r="C68" s="56" t="s">
        <v>31</v>
      </c>
      <c r="D68" s="56"/>
      <c r="E68" s="56"/>
      <c r="F68" s="3"/>
      <c r="I68" s="97"/>
      <c r="J68" s="137"/>
    </row>
    <row r="69" spans="1:10" x14ac:dyDescent="0.25">
      <c r="A69" s="77" t="s">
        <v>58</v>
      </c>
      <c r="B69" s="78">
        <f>C26-B59</f>
        <v>0</v>
      </c>
      <c r="C69" s="56" t="s">
        <v>31</v>
      </c>
      <c r="D69" s="56"/>
      <c r="E69" s="56"/>
      <c r="F69" s="3"/>
      <c r="I69" s="97"/>
      <c r="J69" s="137"/>
    </row>
    <row r="70" spans="1:10" x14ac:dyDescent="0.25">
      <c r="A70" s="77" t="s">
        <v>59</v>
      </c>
      <c r="B70" s="78">
        <f>C28-B60</f>
        <v>116759.1</v>
      </c>
      <c r="C70" s="56" t="s">
        <v>31</v>
      </c>
      <c r="D70" s="56"/>
      <c r="E70" s="56"/>
      <c r="F70" s="3"/>
      <c r="I70" s="97"/>
      <c r="J70" s="137"/>
    </row>
    <row r="71" spans="1:10" x14ac:dyDescent="0.25">
      <c r="A71" s="77" t="s">
        <v>60</v>
      </c>
      <c r="B71" s="78">
        <f>C35-B61</f>
        <v>0</v>
      </c>
      <c r="C71" s="56" t="s">
        <v>31</v>
      </c>
      <c r="D71" s="56"/>
      <c r="E71" s="56"/>
      <c r="F71" s="3"/>
      <c r="I71" s="97"/>
      <c r="J71" s="137"/>
    </row>
    <row r="72" spans="1:10" x14ac:dyDescent="0.25">
      <c r="A72" s="77" t="s">
        <v>157</v>
      </c>
      <c r="B72" s="78">
        <f>C37-B62</f>
        <v>0</v>
      </c>
      <c r="C72" s="56" t="s">
        <v>31</v>
      </c>
      <c r="I72" s="97"/>
      <c r="J72" s="137"/>
    </row>
    <row r="73" spans="1:10" ht="15.75" thickBot="1" x14ac:dyDescent="0.3">
      <c r="A73" s="77"/>
      <c r="B73" s="78"/>
      <c r="C73" s="56"/>
      <c r="D73" s="98"/>
      <c r="E73" s="99"/>
      <c r="F73" s="100"/>
      <c r="G73" s="97"/>
      <c r="I73" s="97"/>
      <c r="J73" s="137"/>
    </row>
    <row r="74" spans="1:10" ht="15.75" thickBot="1" x14ac:dyDescent="0.3">
      <c r="A74" s="227" t="s">
        <v>146</v>
      </c>
      <c r="B74" s="228"/>
      <c r="C74" s="229"/>
      <c r="D74" s="101"/>
      <c r="E74" s="101"/>
      <c r="F74" s="101"/>
      <c r="G74" s="97"/>
      <c r="I74" s="97"/>
      <c r="J74" s="137"/>
    </row>
    <row r="75" spans="1:10" ht="39" thickBot="1" x14ac:dyDescent="0.3">
      <c r="A75" s="230" t="s">
        <v>80</v>
      </c>
      <c r="B75" s="231" t="s">
        <v>61</v>
      </c>
      <c r="C75" s="232" t="s">
        <v>67</v>
      </c>
      <c r="D75" s="102"/>
      <c r="E75" s="103"/>
      <c r="F75" s="104"/>
      <c r="G75" s="97"/>
      <c r="I75" s="97"/>
      <c r="J75" s="137"/>
    </row>
    <row r="76" spans="1:10" x14ac:dyDescent="0.25">
      <c r="A76" s="233" t="s">
        <v>62</v>
      </c>
      <c r="B76" s="234" t="s">
        <v>31</v>
      </c>
      <c r="C76" s="235" t="s">
        <v>31</v>
      </c>
      <c r="D76" s="102"/>
      <c r="E76" s="103"/>
      <c r="F76" s="104"/>
      <c r="G76" s="97"/>
      <c r="I76" s="97"/>
      <c r="J76" s="137"/>
    </row>
    <row r="77" spans="1:10" x14ac:dyDescent="0.25">
      <c r="A77" s="266" t="s">
        <v>179</v>
      </c>
      <c r="B77" s="236"/>
      <c r="C77" s="265">
        <v>6500</v>
      </c>
      <c r="D77" s="102"/>
      <c r="E77" s="103"/>
      <c r="F77" s="104"/>
      <c r="G77" s="97"/>
      <c r="I77" s="97"/>
      <c r="J77" s="137"/>
    </row>
    <row r="78" spans="1:10" x14ac:dyDescent="0.25">
      <c r="A78" s="266" t="s">
        <v>233</v>
      </c>
      <c r="B78" s="236"/>
      <c r="C78" s="265">
        <f>3798+5007.68</f>
        <v>8805.68</v>
      </c>
      <c r="D78" s="102"/>
      <c r="E78" s="103"/>
      <c r="F78" s="104"/>
      <c r="G78" s="97"/>
      <c r="I78" s="97"/>
      <c r="J78" s="137"/>
    </row>
    <row r="79" spans="1:10" x14ac:dyDescent="0.25">
      <c r="A79" s="266" t="s">
        <v>234</v>
      </c>
      <c r="B79" s="236"/>
      <c r="C79" s="265">
        <f>2200</f>
        <v>2200</v>
      </c>
      <c r="D79" s="102"/>
      <c r="E79" s="103"/>
      <c r="F79" s="104"/>
      <c r="G79" s="97"/>
    </row>
    <row r="80" spans="1:10" x14ac:dyDescent="0.25">
      <c r="A80" s="266" t="s">
        <v>214</v>
      </c>
      <c r="B80" s="236"/>
      <c r="C80" s="265">
        <f>3300+8775+400</f>
        <v>12475</v>
      </c>
      <c r="D80" s="102"/>
      <c r="E80" s="103"/>
      <c r="F80" s="104"/>
      <c r="G80" s="97"/>
    </row>
    <row r="81" spans="1:7" ht="15.75" thickBot="1" x14ac:dyDescent="0.3">
      <c r="A81" s="239" t="s">
        <v>5</v>
      </c>
      <c r="B81" s="240">
        <f>B77</f>
        <v>0</v>
      </c>
      <c r="C81" s="260">
        <f>C77+C78+C79+C80</f>
        <v>29980.68</v>
      </c>
      <c r="D81" s="105"/>
      <c r="E81" s="103"/>
      <c r="F81" s="104"/>
      <c r="G81" s="97"/>
    </row>
    <row r="82" spans="1:7" x14ac:dyDescent="0.25">
      <c r="A82" s="31"/>
      <c r="B82" s="33"/>
      <c r="C82" s="87"/>
      <c r="D82" s="105"/>
      <c r="E82" s="103"/>
      <c r="F82" s="104"/>
      <c r="G82" s="97"/>
    </row>
    <row r="83" spans="1:7" x14ac:dyDescent="0.25">
      <c r="A83" s="164" t="s">
        <v>132</v>
      </c>
      <c r="B83" s="149"/>
      <c r="C83" s="215"/>
      <c r="D83" s="216"/>
      <c r="E83" s="89"/>
    </row>
    <row r="84" spans="1:7" x14ac:dyDescent="0.25">
      <c r="A84" s="217"/>
      <c r="B84" s="149"/>
      <c r="C84" s="215"/>
      <c r="D84" s="218"/>
      <c r="E84" s="89"/>
    </row>
    <row r="85" spans="1:7" x14ac:dyDescent="0.25">
      <c r="A85" s="165" t="s">
        <v>133</v>
      </c>
      <c r="B85" s="149" t="s">
        <v>134</v>
      </c>
      <c r="C85" s="219"/>
      <c r="D85" s="216"/>
      <c r="E85" s="89"/>
      <c r="F85" s="94"/>
    </row>
    <row r="86" spans="1:7" x14ac:dyDescent="0.25">
      <c r="A86" s="165"/>
      <c r="B86" s="149"/>
      <c r="C86" s="219"/>
      <c r="D86" s="216"/>
      <c r="E86" s="89"/>
    </row>
    <row r="87" spans="1:7" x14ac:dyDescent="0.25">
      <c r="A87" s="220"/>
      <c r="B87" s="221"/>
      <c r="C87" s="219"/>
      <c r="D87" s="150"/>
      <c r="E87" s="89"/>
    </row>
    <row r="88" spans="1:7" ht="15.75" x14ac:dyDescent="0.25">
      <c r="A88" s="223" t="s">
        <v>63</v>
      </c>
      <c r="B88" s="224" t="s">
        <v>134</v>
      </c>
      <c r="C88" s="225"/>
      <c r="D88" s="226" t="s">
        <v>66</v>
      </c>
      <c r="E88" s="89"/>
    </row>
    <row r="89" spans="1:7" x14ac:dyDescent="0.25">
      <c r="A89" s="95"/>
      <c r="B89" s="96"/>
      <c r="C89" s="89"/>
      <c r="D89" s="93"/>
      <c r="E89" s="56"/>
      <c r="F89" s="3"/>
    </row>
    <row r="90" spans="1:7" x14ac:dyDescent="0.25">
      <c r="A90" s="31"/>
      <c r="B90" s="33"/>
      <c r="C90" s="33"/>
      <c r="D90" s="56"/>
      <c r="E90" s="89"/>
    </row>
    <row r="91" spans="1:7" x14ac:dyDescent="0.25">
      <c r="A91" s="31"/>
      <c r="B91" s="33"/>
      <c r="C91" s="33"/>
      <c r="D91" s="56"/>
      <c r="E91" s="56"/>
    </row>
    <row r="92" spans="1:7" x14ac:dyDescent="0.25">
      <c r="A92" s="31"/>
      <c r="B92" s="33"/>
      <c r="C92" s="33"/>
      <c r="D92" s="89"/>
      <c r="E92" s="89"/>
    </row>
    <row r="93" spans="1:7" x14ac:dyDescent="0.25">
      <c r="A93" s="31"/>
      <c r="B93" s="33"/>
      <c r="D93" s="89"/>
      <c r="E93" s="89"/>
    </row>
    <row r="94" spans="1:7" x14ac:dyDescent="0.25">
      <c r="D94" s="89"/>
      <c r="E94" s="89"/>
    </row>
    <row r="95" spans="1:7" x14ac:dyDescent="0.25">
      <c r="D95" s="89"/>
      <c r="E95" s="89"/>
    </row>
    <row r="96" spans="1:7" x14ac:dyDescent="0.25">
      <c r="D96" s="89"/>
      <c r="E96" s="89"/>
    </row>
    <row r="97" spans="2:6" x14ac:dyDescent="0.25">
      <c r="D97" s="89"/>
      <c r="E97" s="89"/>
    </row>
    <row r="98" spans="2:6" x14ac:dyDescent="0.25">
      <c r="B98"/>
      <c r="C98"/>
      <c r="D98" s="56"/>
      <c r="E98" s="56"/>
      <c r="F98" s="3"/>
    </row>
    <row r="99" spans="2:6" x14ac:dyDescent="0.25">
      <c r="B99"/>
      <c r="C99"/>
      <c r="D99" s="89"/>
      <c r="E99" s="89"/>
      <c r="F99" s="3"/>
    </row>
    <row r="100" spans="2:6" x14ac:dyDescent="0.25">
      <c r="B100"/>
      <c r="C100"/>
      <c r="D100" s="89"/>
      <c r="E100" s="89"/>
    </row>
    <row r="101" spans="2:6" x14ac:dyDescent="0.25">
      <c r="B101"/>
      <c r="C101"/>
      <c r="D101" s="33"/>
      <c r="E101" s="33"/>
    </row>
    <row r="102" spans="2:6" x14ac:dyDescent="0.25">
      <c r="B102"/>
      <c r="C102"/>
      <c r="D102" s="33"/>
      <c r="E102" s="33"/>
    </row>
    <row r="103" spans="2:6" x14ac:dyDescent="0.25">
      <c r="D103" s="33"/>
      <c r="E103" s="33"/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V114"/>
  <sheetViews>
    <sheetView tabSelected="1" view="pageBreakPreview" zoomScale="75" zoomScaleNormal="100" zoomScaleSheetLayoutView="75" workbookViewId="0">
      <selection activeCell="A2" sqref="A2"/>
    </sheetView>
  </sheetViews>
  <sheetFormatPr defaultRowHeight="15" x14ac:dyDescent="0.25"/>
  <cols>
    <col min="1" max="1" width="52" customWidth="1"/>
    <col min="2" max="2" width="16.5703125" style="3" customWidth="1"/>
    <col min="3" max="3" width="19.5703125" style="3" customWidth="1"/>
    <col min="4" max="4" width="16.42578125" style="3" customWidth="1"/>
    <col min="5" max="5" width="24.14062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111</v>
      </c>
      <c r="B2" s="2"/>
      <c r="C2" s="2"/>
      <c r="D2" s="2"/>
    </row>
    <row r="3" spans="1:22" x14ac:dyDescent="0.25">
      <c r="A3" s="1"/>
      <c r="B3" s="2"/>
      <c r="C3" s="2"/>
      <c r="D3" s="2"/>
      <c r="L3" s="108"/>
      <c r="M3" s="108"/>
      <c r="N3" s="108"/>
      <c r="O3" s="108"/>
    </row>
    <row r="4" spans="1:22" ht="15.75" thickBot="1" x14ac:dyDescent="0.3">
      <c r="A4" s="4" t="s">
        <v>0</v>
      </c>
      <c r="B4" s="5"/>
      <c r="C4" s="5"/>
      <c r="D4" s="5"/>
      <c r="L4" s="108"/>
      <c r="M4" s="108"/>
      <c r="N4" s="108"/>
      <c r="O4" s="108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L5" s="108"/>
      <c r="M5" s="108"/>
      <c r="N5" s="108"/>
      <c r="O5" s="108"/>
    </row>
    <row r="6" spans="1:22" x14ac:dyDescent="0.25">
      <c r="A6" s="10" t="s">
        <v>71</v>
      </c>
      <c r="B6" s="158"/>
      <c r="C6" s="158">
        <v>2412.4</v>
      </c>
      <c r="D6" s="159">
        <v>51</v>
      </c>
      <c r="L6" s="108"/>
      <c r="M6" s="108"/>
      <c r="N6" s="108"/>
      <c r="O6" s="108"/>
    </row>
    <row r="7" spans="1:22" x14ac:dyDescent="0.25">
      <c r="A7" s="13"/>
      <c r="B7" s="160"/>
      <c r="C7" s="160"/>
      <c r="D7" s="161"/>
      <c r="L7" s="108"/>
      <c r="M7" s="108"/>
      <c r="N7" s="108"/>
      <c r="O7" s="108"/>
    </row>
    <row r="8" spans="1:22" ht="15.75" thickBot="1" x14ac:dyDescent="0.3">
      <c r="A8" s="16" t="s">
        <v>5</v>
      </c>
      <c r="B8" s="162"/>
      <c r="C8" s="162">
        <f>C6+C7</f>
        <v>2412.4</v>
      </c>
      <c r="D8" s="163">
        <v>51</v>
      </c>
      <c r="L8" s="108"/>
      <c r="M8" s="108"/>
      <c r="N8" s="108"/>
      <c r="O8" s="108"/>
    </row>
    <row r="9" spans="1:22" ht="15.75" thickBot="1" x14ac:dyDescent="0.3">
      <c r="A9" s="19"/>
      <c r="B9" s="20"/>
      <c r="C9" s="20"/>
      <c r="D9" s="21"/>
      <c r="L9" s="108"/>
      <c r="M9" s="108"/>
      <c r="N9" s="108"/>
      <c r="O9" s="108"/>
    </row>
    <row r="10" spans="1:22" ht="15.75" thickBot="1" x14ac:dyDescent="0.3">
      <c r="A10" s="22" t="s">
        <v>112</v>
      </c>
      <c r="B10" s="23"/>
      <c r="C10" s="23"/>
      <c r="D10" s="24" t="s">
        <v>6</v>
      </c>
      <c r="F10" s="97"/>
      <c r="G10" s="97"/>
      <c r="H10" s="97"/>
      <c r="I10" s="97"/>
      <c r="J10" s="97"/>
      <c r="K10" s="97"/>
      <c r="L10" s="108"/>
      <c r="M10" s="108"/>
      <c r="N10" s="108"/>
      <c r="O10" s="108"/>
    </row>
    <row r="11" spans="1:22" x14ac:dyDescent="0.25">
      <c r="A11" s="25" t="s">
        <v>7</v>
      </c>
      <c r="B11" s="20"/>
      <c r="C11" s="110"/>
      <c r="D11" s="167">
        <v>14.5</v>
      </c>
      <c r="F11" s="97"/>
      <c r="G11" s="97"/>
      <c r="H11" s="97"/>
      <c r="I11" s="97"/>
      <c r="J11" s="97"/>
      <c r="K11" s="97"/>
      <c r="L11" s="108"/>
      <c r="M11" s="108"/>
      <c r="N11" s="108"/>
      <c r="O11" s="108"/>
    </row>
    <row r="12" spans="1:22" x14ac:dyDescent="0.25">
      <c r="A12" s="25" t="s">
        <v>8</v>
      </c>
      <c r="B12" s="20"/>
      <c r="C12" s="110"/>
      <c r="D12" s="168">
        <v>8.5</v>
      </c>
      <c r="F12" s="97"/>
      <c r="G12" s="97"/>
      <c r="H12" s="97"/>
      <c r="I12" s="97"/>
      <c r="J12" s="97"/>
      <c r="K12" s="97"/>
      <c r="L12" s="108"/>
      <c r="M12" s="108"/>
      <c r="N12" s="108"/>
      <c r="O12" s="108"/>
    </row>
    <row r="13" spans="1:22" x14ac:dyDescent="0.25">
      <c r="A13" s="25" t="s">
        <v>9</v>
      </c>
      <c r="B13" s="20"/>
      <c r="C13" s="110"/>
      <c r="D13" s="167">
        <v>0.21</v>
      </c>
      <c r="F13" s="97"/>
      <c r="G13" s="97"/>
      <c r="H13" s="97"/>
      <c r="I13" s="97"/>
      <c r="J13" s="97"/>
      <c r="K13" s="97"/>
      <c r="L13" s="108"/>
      <c r="M13" s="108"/>
      <c r="N13" s="108"/>
      <c r="O13" s="108"/>
    </row>
    <row r="14" spans="1:22" ht="15.75" thickBot="1" x14ac:dyDescent="0.3">
      <c r="A14" s="28" t="s">
        <v>10</v>
      </c>
      <c r="B14" s="29"/>
      <c r="C14" s="169"/>
      <c r="D14" s="170">
        <v>0</v>
      </c>
      <c r="F14" s="97"/>
      <c r="G14" s="97"/>
      <c r="H14" s="97"/>
      <c r="I14" s="97"/>
      <c r="J14" s="97"/>
      <c r="K14" s="97"/>
      <c r="L14" s="108"/>
      <c r="M14" s="108"/>
      <c r="N14" s="108"/>
      <c r="O14" s="108"/>
      <c r="P14" s="31"/>
      <c r="Q14" s="31"/>
      <c r="R14" s="31"/>
      <c r="S14" s="31"/>
      <c r="T14" s="31"/>
      <c r="U14" s="31"/>
      <c r="V14" s="31"/>
    </row>
    <row r="15" spans="1:22" x14ac:dyDescent="0.25">
      <c r="A15" s="32"/>
      <c r="B15" s="33"/>
      <c r="C15" s="33"/>
      <c r="D15" s="33"/>
      <c r="F15" s="97"/>
      <c r="G15" s="97"/>
      <c r="H15" s="97"/>
      <c r="I15" s="97"/>
      <c r="J15" s="97"/>
      <c r="K15" s="97"/>
      <c r="L15" s="108"/>
      <c r="M15" s="108"/>
      <c r="N15" s="108"/>
      <c r="O15" s="108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34" t="s">
        <v>113</v>
      </c>
      <c r="B16" s="35"/>
      <c r="C16" s="35"/>
      <c r="D16" s="35"/>
      <c r="E16" s="5"/>
      <c r="F16" s="97"/>
      <c r="G16" s="97"/>
      <c r="H16" s="97"/>
      <c r="I16" s="97"/>
      <c r="J16" s="97"/>
      <c r="K16" s="97"/>
      <c r="L16" s="108"/>
      <c r="M16" s="109"/>
      <c r="N16" s="109"/>
      <c r="O16" s="108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F17" s="97"/>
      <c r="G17" s="97"/>
      <c r="H17" s="97"/>
      <c r="I17" s="97"/>
      <c r="J17" s="97"/>
      <c r="K17" s="97"/>
      <c r="L17" s="109"/>
      <c r="M17" s="110"/>
      <c r="N17" s="109"/>
      <c r="O17" s="108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F18" s="97"/>
      <c r="G18" s="97"/>
      <c r="H18" s="97"/>
      <c r="I18" s="97"/>
      <c r="J18" s="97"/>
      <c r="K18" s="97"/>
      <c r="L18" s="108"/>
      <c r="M18" s="108"/>
      <c r="N18" s="108"/>
      <c r="O18" s="108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114</v>
      </c>
      <c r="C19" s="38" t="s">
        <v>115</v>
      </c>
      <c r="D19" s="38" t="s">
        <v>116</v>
      </c>
      <c r="E19" s="39" t="s">
        <v>117</v>
      </c>
      <c r="F19" s="97"/>
      <c r="G19" s="97"/>
      <c r="H19" s="97"/>
      <c r="I19" s="97"/>
      <c r="J19" s="97"/>
      <c r="K19" s="97"/>
      <c r="L19" s="108"/>
      <c r="M19" s="111"/>
      <c r="N19" s="111"/>
      <c r="O19" s="108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118</v>
      </c>
      <c r="B20" s="171">
        <f>105171.73</f>
        <v>105171.73</v>
      </c>
      <c r="C20" s="171">
        <v>343042.29</v>
      </c>
      <c r="D20" s="171">
        <v>386790.32</v>
      </c>
      <c r="E20" s="172">
        <f t="shared" ref="E20:E38" si="0">C20-D20+B20</f>
        <v>61423.699999999968</v>
      </c>
      <c r="F20" s="116">
        <f>C20+F22</f>
        <v>544277.03</v>
      </c>
      <c r="G20" s="117">
        <f>100</f>
        <v>100</v>
      </c>
      <c r="H20" s="97"/>
      <c r="I20" s="97"/>
      <c r="J20" s="97"/>
      <c r="K20" s="97"/>
      <c r="L20" s="108"/>
      <c r="M20" s="108"/>
      <c r="N20" s="108"/>
      <c r="O20" s="108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173"/>
      <c r="C21" s="173"/>
      <c r="D21" s="173"/>
      <c r="E21" s="174">
        <f t="shared" si="0"/>
        <v>0</v>
      </c>
      <c r="F21" s="116"/>
      <c r="G21" s="117"/>
      <c r="H21" s="97"/>
      <c r="I21" s="97"/>
      <c r="J21" s="97"/>
      <c r="K21" s="97"/>
      <c r="L21" s="108"/>
      <c r="M21" s="108"/>
      <c r="N21" s="108"/>
      <c r="O21" s="108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173">
        <v>7531.55</v>
      </c>
      <c r="C22" s="173">
        <v>201234.74</v>
      </c>
      <c r="D22" s="173">
        <v>174265.24</v>
      </c>
      <c r="E22" s="174">
        <f t="shared" si="0"/>
        <v>34501.050000000003</v>
      </c>
      <c r="F22" s="116">
        <f>C22</f>
        <v>201234.74</v>
      </c>
      <c r="G22" s="118">
        <f>F22*G20/F20</f>
        <v>36.972851858179645</v>
      </c>
      <c r="H22" s="97"/>
      <c r="I22" s="97"/>
      <c r="J22" s="97"/>
      <c r="K22" s="97"/>
      <c r="L22" s="108"/>
      <c r="M22" s="108"/>
      <c r="N22" s="111"/>
      <c r="O22" s="108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173"/>
      <c r="C23" s="173"/>
      <c r="D23" s="173"/>
      <c r="E23" s="174">
        <f t="shared" si="0"/>
        <v>0</v>
      </c>
      <c r="F23" s="97"/>
      <c r="G23" s="97"/>
      <c r="H23" s="97"/>
      <c r="I23" s="97"/>
      <c r="J23" s="97"/>
      <c r="K23" s="97"/>
      <c r="L23" s="108"/>
      <c r="M23" s="108"/>
      <c r="N23" s="108"/>
      <c r="O23" s="108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173">
        <v>118158.54</v>
      </c>
      <c r="C24" s="173"/>
      <c r="D24" s="173">
        <v>128409</v>
      </c>
      <c r="E24" s="174">
        <f t="shared" si="0"/>
        <v>-10250.460000000006</v>
      </c>
      <c r="F24" s="97"/>
      <c r="G24" s="97"/>
      <c r="H24" s="97"/>
      <c r="I24" s="97"/>
      <c r="J24" s="97"/>
      <c r="K24" s="97"/>
      <c r="L24" s="108"/>
      <c r="M24" s="108"/>
      <c r="N24" s="108"/>
      <c r="O24" s="108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173"/>
      <c r="C25" s="173"/>
      <c r="D25" s="173"/>
      <c r="E25" s="174">
        <f t="shared" si="0"/>
        <v>0</v>
      </c>
      <c r="F25" s="97"/>
      <c r="G25" s="97"/>
      <c r="H25" s="97"/>
      <c r="I25" s="97"/>
      <c r="J25" s="97"/>
      <c r="K25" s="97"/>
      <c r="L25" s="108"/>
      <c r="M25" s="108"/>
      <c r="N25" s="108"/>
      <c r="O25" s="108"/>
      <c r="P25" s="31"/>
      <c r="Q25" s="31"/>
      <c r="R25" s="31"/>
      <c r="S25" s="31"/>
      <c r="T25" s="31"/>
      <c r="U25" s="31"/>
      <c r="V25" s="31"/>
    </row>
    <row r="26" spans="1:22" ht="15.75" thickBot="1" x14ac:dyDescent="0.3">
      <c r="A26" s="16" t="s">
        <v>135</v>
      </c>
      <c r="B26" s="175">
        <v>1523.47</v>
      </c>
      <c r="C26" s="175">
        <v>5004.29</v>
      </c>
      <c r="D26" s="175">
        <v>5513.79</v>
      </c>
      <c r="E26" s="176">
        <v>1013.97</v>
      </c>
      <c r="F26" s="97"/>
      <c r="G26" s="97"/>
      <c r="H26" s="97"/>
      <c r="I26" s="97"/>
      <c r="J26" s="97"/>
      <c r="K26" s="97"/>
      <c r="L26" s="108"/>
      <c r="M26" s="108"/>
      <c r="N26" s="108"/>
      <c r="O26" s="108"/>
      <c r="P26" s="31"/>
      <c r="Q26" s="31"/>
      <c r="R26" s="31"/>
      <c r="S26" s="31"/>
      <c r="T26" s="31"/>
      <c r="U26" s="31"/>
      <c r="V26" s="31"/>
    </row>
    <row r="27" spans="1:22" ht="15.75" thickBot="1" x14ac:dyDescent="0.3">
      <c r="A27" s="48" t="s">
        <v>119</v>
      </c>
      <c r="B27" s="177">
        <f>B28+B29+B31+B33+B32+B30</f>
        <v>217436.20999999996</v>
      </c>
      <c r="C27" s="177">
        <f>C28+C29+C31+C33+C32+C30+C34+C35</f>
        <v>623664.5</v>
      </c>
      <c r="D27" s="177">
        <f>D28+D29+D31+D33+D32+D30+D34+D35</f>
        <v>815471.67999999993</v>
      </c>
      <c r="E27" s="178">
        <f>C27-D27+B27</f>
        <v>25629.030000000028</v>
      </c>
      <c r="F27" s="97"/>
      <c r="G27" s="97"/>
      <c r="H27" s="97"/>
      <c r="I27" s="97"/>
      <c r="J27" s="97"/>
      <c r="K27" s="97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spans="1:22" x14ac:dyDescent="0.25">
      <c r="A28" s="52" t="s">
        <v>22</v>
      </c>
      <c r="B28" s="171">
        <v>177621.18</v>
      </c>
      <c r="C28" s="171">
        <v>444160.68</v>
      </c>
      <c r="D28" s="171">
        <v>610347.71</v>
      </c>
      <c r="E28" s="172">
        <f t="shared" si="0"/>
        <v>11434.150000000023</v>
      </c>
      <c r="F28" s="97"/>
      <c r="G28" s="97"/>
      <c r="H28" s="97"/>
      <c r="I28" s="97"/>
      <c r="J28" s="97"/>
      <c r="K28" s="97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3" t="s">
        <v>120</v>
      </c>
      <c r="B29" s="173">
        <v>28877.8</v>
      </c>
      <c r="C29" s="173">
        <v>26326.87</v>
      </c>
      <c r="D29" s="173">
        <v>53777.47</v>
      </c>
      <c r="E29" s="174">
        <f t="shared" si="0"/>
        <v>1427.1999999999971</v>
      </c>
      <c r="F29" s="97"/>
      <c r="G29" s="97"/>
      <c r="H29" s="97"/>
      <c r="I29" s="97"/>
      <c r="J29" s="97"/>
      <c r="K29" s="97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121</v>
      </c>
      <c r="B30" s="173">
        <v>408.96</v>
      </c>
      <c r="C30" s="173">
        <v>97009.94</v>
      </c>
      <c r="D30" s="173">
        <v>80983.38</v>
      </c>
      <c r="E30" s="174">
        <f t="shared" si="0"/>
        <v>16435.519999999997</v>
      </c>
      <c r="F30" s="97"/>
      <c r="G30" s="97"/>
      <c r="H30" s="97"/>
      <c r="I30" s="97"/>
      <c r="J30" s="97"/>
      <c r="K30" s="97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173">
        <v>2145.5500000000002</v>
      </c>
      <c r="C31" s="173">
        <v>17596.14</v>
      </c>
      <c r="D31" s="173">
        <v>22789.05</v>
      </c>
      <c r="E31" s="174">
        <f t="shared" si="0"/>
        <v>-3047.3599999999997</v>
      </c>
      <c r="H31" s="97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53" t="s">
        <v>72</v>
      </c>
      <c r="B32" s="173">
        <v>-4645.75</v>
      </c>
      <c r="C32" s="173"/>
      <c r="D32" s="173"/>
      <c r="E32" s="174">
        <f>-4645.75</f>
        <v>-4645.75</v>
      </c>
      <c r="H32" s="97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173">
        <v>13028.47</v>
      </c>
      <c r="C33" s="173">
        <v>33427.85</v>
      </c>
      <c r="D33" s="173">
        <v>41699.07</v>
      </c>
      <c r="E33" s="174">
        <f t="shared" si="0"/>
        <v>4757.2499999999982</v>
      </c>
      <c r="H33" s="97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x14ac:dyDescent="0.25">
      <c r="A34" s="53" t="s">
        <v>122</v>
      </c>
      <c r="B34" s="173"/>
      <c r="C34" s="173">
        <v>4460.3999999999996</v>
      </c>
      <c r="D34" s="173">
        <v>5095.32</v>
      </c>
      <c r="E34" s="174">
        <f t="shared" si="0"/>
        <v>-634.92000000000007</v>
      </c>
      <c r="H34" s="97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53" t="s">
        <v>123</v>
      </c>
      <c r="B35" s="173"/>
      <c r="C35" s="173">
        <v>682.62</v>
      </c>
      <c r="D35" s="173">
        <v>779.68</v>
      </c>
      <c r="E35" s="174">
        <f t="shared" si="0"/>
        <v>-97.059999999999945</v>
      </c>
      <c r="H35" s="97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x14ac:dyDescent="0.25">
      <c r="A36" s="13" t="s">
        <v>74</v>
      </c>
      <c r="B36" s="179"/>
      <c r="C36" s="180"/>
      <c r="D36" s="180"/>
      <c r="E36" s="174">
        <f t="shared" si="0"/>
        <v>0</v>
      </c>
      <c r="H36" s="97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155</v>
      </c>
      <c r="B37" s="173"/>
      <c r="C37" s="173"/>
      <c r="D37" s="173"/>
      <c r="E37" s="174">
        <f t="shared" si="0"/>
        <v>0</v>
      </c>
      <c r="H37" s="97"/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175"/>
      <c r="C38" s="175"/>
      <c r="D38" s="175"/>
      <c r="E38" s="176">
        <f t="shared" si="0"/>
        <v>0</v>
      </c>
      <c r="H38" s="97"/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181">
        <f>B20+B21+B22+B23+B24+B25+B26+B27+B36+B37+B38</f>
        <v>449821.5</v>
      </c>
      <c r="C39" s="181">
        <f>C20+C21+C22+C23+C24+C25+C26+C27+C36+C37+C38</f>
        <v>1172945.82</v>
      </c>
      <c r="D39" s="181">
        <f>D20+D21+D22+D23+D24+D25+D26+D27+D36++D37+D38</f>
        <v>1510450.03</v>
      </c>
      <c r="E39" s="182">
        <f>E20+E21+E22+E23+E24+E25+E27+E36+E37+E38+E26</f>
        <v>112317.29</v>
      </c>
      <c r="F39" s="3"/>
      <c r="H39" s="97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59"/>
      <c r="B40" s="60"/>
      <c r="C40" s="56"/>
      <c r="D40" s="101"/>
      <c r="E40" s="101"/>
      <c r="F40" s="125"/>
      <c r="G40" s="97"/>
      <c r="H40" s="97"/>
      <c r="I40" s="97"/>
      <c r="J40" s="97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59"/>
      <c r="B41" s="60"/>
      <c r="C41" s="56"/>
      <c r="D41" s="119"/>
      <c r="E41" s="119"/>
      <c r="F41" s="282"/>
      <c r="G41" s="115"/>
      <c r="H41" s="97"/>
      <c r="I41" s="115"/>
      <c r="J41" s="97"/>
    </row>
    <row r="42" spans="1:22" ht="15.75" thickBot="1" x14ac:dyDescent="0.3">
      <c r="A42" s="61" t="s">
        <v>30</v>
      </c>
      <c r="B42" s="62">
        <f>B44+B59+B60+B57+B61+B58</f>
        <v>997820.81588891416</v>
      </c>
      <c r="C42" s="63" t="s">
        <v>31</v>
      </c>
      <c r="D42" s="119">
        <f>C39-B42-B61</f>
        <v>171475.99570772456</v>
      </c>
      <c r="E42" s="272" t="s">
        <v>32</v>
      </c>
      <c r="F42" s="273">
        <f>5096881.69+20000+6411+3448+4517+151158.72+4598+11494.25+4600+19078+7905+18316.38+1149.44+163169.97</f>
        <v>5512727.4500000002</v>
      </c>
      <c r="G42" s="274">
        <f>F42/F48*C8</f>
        <v>111755.4932805042</v>
      </c>
      <c r="H42" s="97"/>
      <c r="I42" s="115"/>
      <c r="J42" s="115"/>
    </row>
    <row r="43" spans="1:22" x14ac:dyDescent="0.25">
      <c r="A43" s="64" t="s">
        <v>124</v>
      </c>
      <c r="B43" s="183">
        <v>43903.64</v>
      </c>
      <c r="C43" s="66" t="s">
        <v>31</v>
      </c>
      <c r="D43" s="119"/>
      <c r="E43" s="272" t="s">
        <v>33</v>
      </c>
      <c r="F43" s="273">
        <f>1181202.5+4180+859.2+720.63+944.05+1647.45+31592.16+960.98+2402.31+929.2+3928.41+3828.02+240.22+31515.96</f>
        <v>1264951.0899999996</v>
      </c>
      <c r="G43" s="274">
        <f>F43/F48*C8</f>
        <v>25643.428651394948</v>
      </c>
      <c r="H43" s="97"/>
      <c r="I43" s="115"/>
      <c r="J43" s="115"/>
    </row>
    <row r="44" spans="1:22" x14ac:dyDescent="0.25">
      <c r="A44" s="67" t="s">
        <v>34</v>
      </c>
      <c r="B44" s="160">
        <f>B45+B46+B48+B49+B50+B51+B52+B53+B54+B55+B56+B47</f>
        <v>399347.25748555281</v>
      </c>
      <c r="C44" s="69" t="s">
        <v>31</v>
      </c>
      <c r="D44" s="119"/>
      <c r="E44" s="272" t="s">
        <v>35</v>
      </c>
      <c r="F44" s="273">
        <v>180000</v>
      </c>
      <c r="G44" s="274">
        <f>F44/F48*C8</f>
        <v>3649.0084033613448</v>
      </c>
      <c r="H44" s="97"/>
      <c r="I44" s="115"/>
      <c r="J44" s="115"/>
    </row>
    <row r="45" spans="1:22" x14ac:dyDescent="0.25">
      <c r="A45" s="70" t="s">
        <v>36</v>
      </c>
      <c r="B45" s="184">
        <f>12495.03</f>
        <v>12495.03</v>
      </c>
      <c r="C45" s="71" t="s">
        <v>31</v>
      </c>
      <c r="D45" s="119"/>
      <c r="E45" s="272" t="s">
        <v>18</v>
      </c>
      <c r="F45" s="273">
        <f>299837.27</f>
        <v>299837.27</v>
      </c>
      <c r="G45" s="274">
        <f>F45/F48*C8</f>
        <v>6078.3817659495808</v>
      </c>
      <c r="H45" s="97"/>
      <c r="I45" s="115"/>
      <c r="J45" s="115"/>
    </row>
    <row r="46" spans="1:22" x14ac:dyDescent="0.25">
      <c r="A46" s="72" t="s">
        <v>126</v>
      </c>
      <c r="B46" s="184">
        <f>G42+G43</f>
        <v>137398.92193189915</v>
      </c>
      <c r="C46" s="71" t="s">
        <v>31</v>
      </c>
      <c r="D46" s="119"/>
      <c r="E46" s="275" t="s">
        <v>38</v>
      </c>
      <c r="F46" s="273">
        <f>7000+1260+30890+4200</f>
        <v>43350</v>
      </c>
      <c r="G46" s="274">
        <f>F46/F48*C8</f>
        <v>878.80285714285708</v>
      </c>
      <c r="H46" s="97"/>
      <c r="I46" s="115"/>
      <c r="J46" s="115"/>
    </row>
    <row r="47" spans="1:22" ht="25.5" x14ac:dyDescent="0.25">
      <c r="A47" s="72" t="s">
        <v>131</v>
      </c>
      <c r="B47" s="184">
        <f>2500+1500+2500+2500+2500+2500+2500+350+350+350+350+350+350+350+623.05+2500</f>
        <v>22073.05</v>
      </c>
      <c r="C47" s="71" t="s">
        <v>31</v>
      </c>
      <c r="D47" s="119"/>
      <c r="E47" s="274" t="s">
        <v>12</v>
      </c>
      <c r="F47" s="273">
        <f>8022857.59-F46</f>
        <v>7979507.5899999999</v>
      </c>
      <c r="G47" s="274">
        <f>F47/F48*C8</f>
        <v>161762.72361442016</v>
      </c>
      <c r="H47" s="97"/>
      <c r="I47" s="115"/>
      <c r="J47" s="115"/>
    </row>
    <row r="48" spans="1:22" x14ac:dyDescent="0.25">
      <c r="A48" s="70" t="s">
        <v>40</v>
      </c>
      <c r="B48" s="184">
        <f>6403.72</f>
        <v>6403.72</v>
      </c>
      <c r="C48" s="71" t="s">
        <v>31</v>
      </c>
      <c r="D48" s="119"/>
      <c r="E48" s="276" t="s">
        <v>41</v>
      </c>
      <c r="F48" s="277">
        <f>119000</f>
        <v>119000</v>
      </c>
      <c r="G48" s="274"/>
      <c r="H48" s="97"/>
      <c r="I48" s="115"/>
      <c r="J48" s="115"/>
    </row>
    <row r="49" spans="1:10" x14ac:dyDescent="0.25">
      <c r="A49" s="70" t="s">
        <v>42</v>
      </c>
      <c r="B49" s="184">
        <f>G45</f>
        <v>6078.3817659495808</v>
      </c>
      <c r="C49" s="71" t="s">
        <v>31</v>
      </c>
      <c r="D49" s="119"/>
      <c r="E49" s="278"/>
      <c r="F49" s="273"/>
      <c r="G49" s="274"/>
      <c r="H49" s="97"/>
      <c r="I49" s="115"/>
      <c r="J49" s="115"/>
    </row>
    <row r="50" spans="1:10" x14ac:dyDescent="0.25">
      <c r="A50" s="70" t="s">
        <v>127</v>
      </c>
      <c r="B50" s="184">
        <f>G47</f>
        <v>161762.72361442016</v>
      </c>
      <c r="C50" s="71" t="s">
        <v>31</v>
      </c>
      <c r="D50" s="119"/>
      <c r="E50" s="279" t="s">
        <v>70</v>
      </c>
      <c r="F50" s="277">
        <f>1910.32</f>
        <v>1910.32</v>
      </c>
      <c r="G50" s="279">
        <f>F50/F48*C8</f>
        <v>38.726520739495797</v>
      </c>
      <c r="H50" s="97"/>
      <c r="I50" s="115"/>
      <c r="J50" s="115"/>
    </row>
    <row r="51" spans="1:10" x14ac:dyDescent="0.25">
      <c r="A51" s="70" t="s">
        <v>44</v>
      </c>
      <c r="B51" s="184">
        <f>G52</f>
        <v>333.06526924369746</v>
      </c>
      <c r="C51" s="71" t="s">
        <v>31</v>
      </c>
      <c r="D51" s="119"/>
      <c r="E51" s="119"/>
      <c r="F51" s="280"/>
      <c r="G51" s="279"/>
      <c r="H51" s="97"/>
      <c r="I51" s="115"/>
      <c r="J51" s="115"/>
    </row>
    <row r="52" spans="1:10" x14ac:dyDescent="0.25">
      <c r="A52" s="70" t="s">
        <v>45</v>
      </c>
      <c r="B52" s="184">
        <f>G50</f>
        <v>38.726520739495797</v>
      </c>
      <c r="C52" s="71" t="s">
        <v>31</v>
      </c>
      <c r="D52" s="119"/>
      <c r="E52" s="119" t="s">
        <v>125</v>
      </c>
      <c r="F52" s="280">
        <f>16429.6</f>
        <v>16429.599999999999</v>
      </c>
      <c r="G52" s="279">
        <f>F52/F48*C8</f>
        <v>333.06526924369746</v>
      </c>
      <c r="H52" s="97"/>
      <c r="I52" s="115"/>
      <c r="J52" s="115"/>
    </row>
    <row r="53" spans="1:10" x14ac:dyDescent="0.25">
      <c r="A53" s="70" t="s">
        <v>46</v>
      </c>
      <c r="B53" s="184">
        <f>11717.41</f>
        <v>11717.41</v>
      </c>
      <c r="C53" s="71" t="s">
        <v>31</v>
      </c>
      <c r="D53" s="119"/>
      <c r="E53" s="119"/>
      <c r="F53" s="280"/>
      <c r="G53" s="121"/>
      <c r="H53" s="97"/>
      <c r="I53" s="115"/>
      <c r="J53" s="115"/>
    </row>
    <row r="54" spans="1:10" x14ac:dyDescent="0.25">
      <c r="A54" s="70" t="s">
        <v>47</v>
      </c>
      <c r="B54" s="184"/>
      <c r="C54" s="71" t="s">
        <v>31</v>
      </c>
      <c r="D54" s="119"/>
      <c r="E54" s="119"/>
      <c r="F54" s="280"/>
      <c r="G54" s="121"/>
      <c r="H54" s="97"/>
      <c r="I54" s="115"/>
      <c r="J54" s="115"/>
    </row>
    <row r="55" spans="1:10" x14ac:dyDescent="0.25">
      <c r="A55" s="70" t="s">
        <v>48</v>
      </c>
      <c r="B55" s="184">
        <v>8706.24</v>
      </c>
      <c r="C55" s="71" t="s">
        <v>31</v>
      </c>
      <c r="D55" s="56"/>
      <c r="E55" s="56"/>
      <c r="F55" s="166"/>
      <c r="G55" s="137"/>
      <c r="H55" s="137"/>
      <c r="I55" s="137"/>
      <c r="J55" s="97"/>
    </row>
    <row r="56" spans="1:10" x14ac:dyDescent="0.25">
      <c r="A56" s="70" t="s">
        <v>49</v>
      </c>
      <c r="B56" s="184">
        <f>(B46+B48+B49+B50+B52+B53+B54)*0.1</f>
        <v>32339.988383300835</v>
      </c>
      <c r="C56" s="71" t="s">
        <v>31</v>
      </c>
      <c r="D56" s="56"/>
      <c r="E56" s="56"/>
      <c r="F56" s="166"/>
      <c r="G56" s="137"/>
      <c r="H56" s="137"/>
      <c r="I56" s="97"/>
      <c r="J56" s="97"/>
    </row>
    <row r="57" spans="1:10" x14ac:dyDescent="0.25">
      <c r="A57" s="67" t="s">
        <v>50</v>
      </c>
      <c r="B57" s="160">
        <f>C76</f>
        <v>38377.47</v>
      </c>
      <c r="C57" s="69" t="s">
        <v>31</v>
      </c>
      <c r="D57" s="56"/>
      <c r="E57" s="56"/>
      <c r="F57" s="136"/>
      <c r="G57" s="137"/>
      <c r="H57" s="137"/>
      <c r="I57" s="97"/>
      <c r="J57" s="97"/>
    </row>
    <row r="58" spans="1:10" x14ac:dyDescent="0.25">
      <c r="A58" s="67" t="s">
        <v>51</v>
      </c>
      <c r="B58" s="160">
        <v>2300</v>
      </c>
      <c r="C58" s="69" t="s">
        <v>31</v>
      </c>
      <c r="D58" s="56"/>
      <c r="E58" s="56"/>
      <c r="F58" s="136"/>
      <c r="G58" s="137"/>
      <c r="H58" s="137"/>
      <c r="I58" s="97"/>
      <c r="J58" s="97"/>
    </row>
    <row r="59" spans="1:10" x14ac:dyDescent="0.25">
      <c r="A59" s="67" t="s">
        <v>52</v>
      </c>
      <c r="B59" s="160">
        <f>27481.87+37448.21+468729.96+20487.04</f>
        <v>554147.08000000007</v>
      </c>
      <c r="C59" s="69" t="s">
        <v>31</v>
      </c>
      <c r="D59" s="56"/>
      <c r="E59" s="56"/>
      <c r="F59" s="136"/>
      <c r="G59" s="137"/>
      <c r="H59" s="137"/>
      <c r="I59" s="97"/>
      <c r="J59" s="97"/>
    </row>
    <row r="60" spans="1:10" x14ac:dyDescent="0.25">
      <c r="A60" s="67" t="s">
        <v>53</v>
      </c>
      <c r="B60" s="160"/>
      <c r="C60" s="69" t="s">
        <v>54</v>
      </c>
      <c r="D60" s="56"/>
      <c r="E60" s="56"/>
      <c r="F60" s="136"/>
      <c r="G60" s="137"/>
      <c r="H60" s="137"/>
      <c r="I60" s="97"/>
      <c r="J60" s="97"/>
    </row>
    <row r="61" spans="1:10" ht="15.75" thickBot="1" x14ac:dyDescent="0.3">
      <c r="A61" s="73" t="s">
        <v>55</v>
      </c>
      <c r="B61" s="162">
        <f>G44</f>
        <v>3649.0084033613448</v>
      </c>
      <c r="C61" s="75" t="s">
        <v>31</v>
      </c>
      <c r="D61" s="56"/>
      <c r="E61" s="56"/>
      <c r="F61" s="136"/>
      <c r="G61" s="137"/>
      <c r="H61" s="137"/>
      <c r="I61" s="97"/>
      <c r="J61" s="97"/>
    </row>
    <row r="62" spans="1:10" x14ac:dyDescent="0.25">
      <c r="A62" s="59"/>
      <c r="B62" s="60"/>
      <c r="C62" s="56"/>
      <c r="D62" s="119"/>
      <c r="E62" s="119"/>
      <c r="F62" s="3"/>
      <c r="I62" s="97"/>
      <c r="J62" s="97"/>
    </row>
    <row r="63" spans="1:10" x14ac:dyDescent="0.25">
      <c r="A63" s="59" t="s">
        <v>128</v>
      </c>
      <c r="B63" s="3">
        <f>C39+B43-B42</f>
        <v>219028.6441110858</v>
      </c>
      <c r="C63" s="56" t="s">
        <v>31</v>
      </c>
      <c r="D63" s="119" t="s">
        <v>129</v>
      </c>
      <c r="E63" s="119"/>
      <c r="F63" s="3"/>
      <c r="I63" s="97"/>
      <c r="J63" s="97"/>
    </row>
    <row r="64" spans="1:10" x14ac:dyDescent="0.25">
      <c r="A64" s="59" t="s">
        <v>130</v>
      </c>
      <c r="B64" s="2">
        <f>B65+B66+B67+B68+B69</f>
        <v>175125.00411108573</v>
      </c>
      <c r="C64" s="56" t="s">
        <v>31</v>
      </c>
      <c r="D64" s="56"/>
      <c r="E64" s="56"/>
      <c r="F64" s="3"/>
      <c r="I64" s="97"/>
      <c r="J64" s="97"/>
    </row>
    <row r="65" spans="1:10" x14ac:dyDescent="0.25">
      <c r="A65" s="77" t="s">
        <v>56</v>
      </c>
      <c r="B65" s="78">
        <f>C20-B44-B61</f>
        <v>-59953.975888914174</v>
      </c>
      <c r="C65" s="56" t="s">
        <v>31</v>
      </c>
      <c r="D65" s="56"/>
      <c r="E65" s="56"/>
      <c r="F65" s="3"/>
      <c r="I65" s="97"/>
      <c r="J65" s="97"/>
    </row>
    <row r="66" spans="1:10" x14ac:dyDescent="0.25">
      <c r="A66" s="77" t="s">
        <v>57</v>
      </c>
      <c r="B66" s="78">
        <f>C22-B57</f>
        <v>162857.26999999999</v>
      </c>
      <c r="C66" s="56" t="s">
        <v>31</v>
      </c>
      <c r="D66" s="56"/>
      <c r="E66" s="56"/>
      <c r="F66" s="3"/>
      <c r="I66" s="97"/>
      <c r="J66" s="97"/>
    </row>
    <row r="67" spans="1:10" x14ac:dyDescent="0.25">
      <c r="A67" s="77" t="s">
        <v>58</v>
      </c>
      <c r="B67" s="78">
        <f>C26-B58</f>
        <v>2704.29</v>
      </c>
      <c r="C67" s="56" t="s">
        <v>31</v>
      </c>
      <c r="D67" s="56"/>
      <c r="E67" s="56"/>
      <c r="F67" s="3"/>
      <c r="I67" s="97"/>
      <c r="J67" s="97"/>
    </row>
    <row r="68" spans="1:10" x14ac:dyDescent="0.25">
      <c r="A68" s="77" t="s">
        <v>59</v>
      </c>
      <c r="B68" s="78">
        <f>C27-B59</f>
        <v>69517.419999999925</v>
      </c>
      <c r="C68" s="56" t="s">
        <v>31</v>
      </c>
      <c r="D68" s="56"/>
      <c r="E68" s="56"/>
      <c r="F68" s="3"/>
      <c r="I68" s="97"/>
      <c r="J68" s="97"/>
    </row>
    <row r="69" spans="1:10" x14ac:dyDescent="0.25">
      <c r="A69" s="77" t="s">
        <v>60</v>
      </c>
      <c r="B69" s="78">
        <f>C36-B60</f>
        <v>0</v>
      </c>
      <c r="C69" s="56"/>
      <c r="D69" s="56"/>
      <c r="E69" s="56"/>
      <c r="F69" s="3"/>
      <c r="I69" s="97"/>
      <c r="J69" s="97"/>
    </row>
    <row r="70" spans="1:10" x14ac:dyDescent="0.25">
      <c r="A70" s="59"/>
      <c r="B70" s="2"/>
      <c r="C70" s="56"/>
      <c r="I70" s="97"/>
      <c r="J70" s="97"/>
    </row>
    <row r="71" spans="1:10" ht="15.75" thickBot="1" x14ac:dyDescent="0.3">
      <c r="A71" s="59" t="s">
        <v>136</v>
      </c>
      <c r="D71" s="98"/>
      <c r="E71" s="99"/>
      <c r="F71" s="100"/>
      <c r="G71" s="97"/>
      <c r="I71" s="97"/>
      <c r="J71" s="97"/>
    </row>
    <row r="72" spans="1:10" ht="51.75" thickBot="1" x14ac:dyDescent="0.3">
      <c r="A72" s="79" t="s">
        <v>80</v>
      </c>
      <c r="B72" s="80" t="s">
        <v>61</v>
      </c>
      <c r="C72" s="81" t="s">
        <v>67</v>
      </c>
      <c r="D72" s="101"/>
      <c r="E72" s="101"/>
      <c r="F72" s="101"/>
      <c r="G72" s="97"/>
      <c r="I72" s="97"/>
      <c r="J72" s="97"/>
    </row>
    <row r="73" spans="1:10" x14ac:dyDescent="0.25">
      <c r="A73" s="82" t="s">
        <v>62</v>
      </c>
      <c r="B73" s="113" t="s">
        <v>31</v>
      </c>
      <c r="C73" s="257" t="s">
        <v>31</v>
      </c>
      <c r="D73" s="102"/>
      <c r="E73" s="103"/>
      <c r="F73" s="104"/>
      <c r="G73" s="97"/>
      <c r="I73" s="97"/>
      <c r="J73" s="97"/>
    </row>
    <row r="74" spans="1:10" x14ac:dyDescent="0.25">
      <c r="A74" s="199" t="s">
        <v>179</v>
      </c>
      <c r="B74" s="198"/>
      <c r="C74" s="284">
        <v>6500</v>
      </c>
      <c r="D74" s="102"/>
      <c r="E74" s="103"/>
      <c r="F74" s="104"/>
      <c r="G74" s="97"/>
      <c r="I74" s="97"/>
      <c r="J74" s="97"/>
    </row>
    <row r="75" spans="1:10" ht="15.75" thickBot="1" x14ac:dyDescent="0.3">
      <c r="A75" s="200" t="s">
        <v>73</v>
      </c>
      <c r="B75" s="43"/>
      <c r="C75" s="185">
        <f>31877.47</f>
        <v>31877.47</v>
      </c>
      <c r="D75" s="102"/>
      <c r="E75" s="103"/>
      <c r="F75" s="104"/>
      <c r="G75" s="97"/>
      <c r="I75" s="97"/>
      <c r="J75" s="97"/>
    </row>
    <row r="76" spans="1:10" ht="15.75" thickBot="1" x14ac:dyDescent="0.3">
      <c r="A76" s="83" t="s">
        <v>5</v>
      </c>
      <c r="B76" s="84">
        <f>B75</f>
        <v>0</v>
      </c>
      <c r="C76" s="283">
        <f>C75+C74</f>
        <v>38377.47</v>
      </c>
      <c r="D76" s="102"/>
      <c r="E76" s="103"/>
      <c r="F76" s="104"/>
      <c r="G76" s="97"/>
      <c r="I76" s="97"/>
      <c r="J76" s="97"/>
    </row>
    <row r="77" spans="1:10" x14ac:dyDescent="0.25">
      <c r="A77" s="31"/>
      <c r="B77" s="33"/>
      <c r="C77" s="87"/>
      <c r="D77" s="105"/>
      <c r="E77" s="103"/>
      <c r="F77" s="104"/>
      <c r="G77" s="97"/>
      <c r="I77" s="97"/>
      <c r="J77" s="97"/>
    </row>
    <row r="78" spans="1:10" x14ac:dyDescent="0.25">
      <c r="A78" s="164" t="s">
        <v>132</v>
      </c>
      <c r="B78" s="149"/>
      <c r="C78" s="215"/>
      <c r="D78" s="216"/>
      <c r="E78" s="103"/>
      <c r="F78" s="104"/>
      <c r="G78" s="97"/>
      <c r="I78" s="97"/>
      <c r="J78" s="97"/>
    </row>
    <row r="79" spans="1:10" x14ac:dyDescent="0.25">
      <c r="A79" s="217"/>
      <c r="B79" s="149"/>
      <c r="C79" s="215"/>
      <c r="D79" s="218"/>
      <c r="E79" s="101"/>
      <c r="F79" s="106"/>
      <c r="G79" s="97"/>
      <c r="I79" s="97"/>
      <c r="J79" s="97"/>
    </row>
    <row r="80" spans="1:10" x14ac:dyDescent="0.25">
      <c r="A80" s="165" t="s">
        <v>133</v>
      </c>
      <c r="B80" s="149" t="s">
        <v>134</v>
      </c>
      <c r="C80" s="219"/>
      <c r="D80" s="216"/>
      <c r="E80" s="103"/>
      <c r="F80" s="97"/>
      <c r="G80" s="97"/>
      <c r="I80" s="97"/>
      <c r="J80" s="97"/>
    </row>
    <row r="81" spans="1:10" x14ac:dyDescent="0.25">
      <c r="A81" s="165"/>
      <c r="B81" s="149"/>
      <c r="C81" s="219"/>
      <c r="D81" s="216"/>
      <c r="E81" s="103"/>
      <c r="F81" s="97"/>
      <c r="G81" s="97"/>
      <c r="I81" s="97"/>
      <c r="J81" s="97"/>
    </row>
    <row r="82" spans="1:10" x14ac:dyDescent="0.25">
      <c r="A82" s="220"/>
      <c r="B82" s="221"/>
      <c r="C82" s="219"/>
      <c r="D82" s="150"/>
      <c r="E82" s="103"/>
      <c r="F82" s="97"/>
      <c r="G82" s="97"/>
      <c r="I82" s="97"/>
      <c r="J82" s="97"/>
    </row>
    <row r="83" spans="1:10" ht="15.75" x14ac:dyDescent="0.25">
      <c r="A83" s="223" t="s">
        <v>63</v>
      </c>
      <c r="B83" s="224" t="s">
        <v>134</v>
      </c>
      <c r="C83" s="225"/>
      <c r="D83" s="226" t="s">
        <v>66</v>
      </c>
      <c r="E83" s="103"/>
      <c r="F83" s="97"/>
      <c r="G83" s="97"/>
      <c r="I83" s="97"/>
      <c r="J83" s="97"/>
    </row>
    <row r="84" spans="1:10" x14ac:dyDescent="0.25">
      <c r="A84" s="31"/>
      <c r="B84" s="33"/>
      <c r="C84" s="93"/>
      <c r="D84" s="105"/>
      <c r="E84" s="103"/>
      <c r="F84" s="97"/>
      <c r="G84" s="97"/>
      <c r="I84" s="97"/>
      <c r="J84" s="97"/>
    </row>
    <row r="85" spans="1:10" x14ac:dyDescent="0.25">
      <c r="A85" s="91"/>
      <c r="B85" s="92"/>
      <c r="C85" s="93"/>
      <c r="D85" s="88"/>
      <c r="E85" s="89"/>
    </row>
    <row r="86" spans="1:10" x14ac:dyDescent="0.25">
      <c r="A86" s="91"/>
      <c r="B86" s="92"/>
      <c r="C86" s="93"/>
      <c r="D86" s="88"/>
      <c r="E86" s="89"/>
    </row>
    <row r="87" spans="1:10" x14ac:dyDescent="0.25">
      <c r="A87" s="91"/>
      <c r="B87" s="92"/>
      <c r="C87" s="93"/>
      <c r="D87" s="88"/>
      <c r="E87" s="89"/>
    </row>
    <row r="88" spans="1:10" x14ac:dyDescent="0.25">
      <c r="A88" s="91"/>
      <c r="B88" s="92"/>
      <c r="C88" s="87"/>
      <c r="D88" s="88"/>
      <c r="E88" s="89"/>
    </row>
    <row r="89" spans="1:10" x14ac:dyDescent="0.25">
      <c r="A89" s="31"/>
      <c r="B89" s="33"/>
      <c r="C89" s="87"/>
      <c r="D89" s="88"/>
      <c r="E89" s="89"/>
    </row>
    <row r="90" spans="1:10" x14ac:dyDescent="0.25">
      <c r="A90" s="31"/>
      <c r="B90" s="33"/>
      <c r="C90" s="56"/>
      <c r="D90" s="56"/>
      <c r="E90" s="56"/>
    </row>
    <row r="91" spans="1:10" x14ac:dyDescent="0.25">
      <c r="A91" s="19"/>
      <c r="B91" s="20"/>
      <c r="C91" s="56"/>
      <c r="D91" s="90"/>
      <c r="E91" s="56"/>
    </row>
    <row r="92" spans="1:10" x14ac:dyDescent="0.25">
      <c r="A92" s="19"/>
      <c r="B92" s="20"/>
      <c r="C92" s="56"/>
      <c r="D92" s="88"/>
      <c r="E92" s="89"/>
    </row>
    <row r="93" spans="1:10" x14ac:dyDescent="0.25">
      <c r="A93" s="19"/>
      <c r="B93" s="20"/>
      <c r="C93" s="89"/>
      <c r="D93" s="88"/>
      <c r="E93" s="89"/>
    </row>
    <row r="94" spans="1:10" x14ac:dyDescent="0.25">
      <c r="A94" s="31"/>
      <c r="B94" s="33"/>
      <c r="C94" s="89"/>
      <c r="D94" s="93"/>
      <c r="E94" s="89"/>
    </row>
    <row r="95" spans="1:10" x14ac:dyDescent="0.25">
      <c r="A95" s="31"/>
      <c r="B95" s="33"/>
      <c r="C95" s="89"/>
      <c r="D95" s="93"/>
      <c r="E95" s="89"/>
    </row>
    <row r="96" spans="1:10" x14ac:dyDescent="0.25">
      <c r="A96" s="95"/>
      <c r="B96" s="96"/>
      <c r="C96" s="89"/>
      <c r="D96" s="93"/>
      <c r="E96" s="89"/>
      <c r="F96" s="94"/>
    </row>
    <row r="97" spans="1:6" x14ac:dyDescent="0.25">
      <c r="A97" s="95"/>
      <c r="B97" s="96"/>
      <c r="C97" s="89"/>
      <c r="D97" s="93"/>
      <c r="E97" s="89"/>
    </row>
    <row r="98" spans="1:6" x14ac:dyDescent="0.25">
      <c r="A98" s="31"/>
      <c r="B98" s="33"/>
      <c r="C98" s="89"/>
      <c r="D98" s="87"/>
      <c r="E98" s="89"/>
    </row>
    <row r="99" spans="1:6" x14ac:dyDescent="0.25">
      <c r="A99" s="31"/>
      <c r="B99" s="33"/>
      <c r="C99" s="56"/>
      <c r="D99" s="87"/>
      <c r="E99" s="89"/>
    </row>
    <row r="100" spans="1:6" x14ac:dyDescent="0.25">
      <c r="A100" s="19"/>
      <c r="B100" s="20"/>
      <c r="C100" s="89"/>
      <c r="D100" s="56"/>
      <c r="E100" s="56"/>
      <c r="F100" s="3"/>
    </row>
    <row r="101" spans="1:6" x14ac:dyDescent="0.25">
      <c r="A101" s="31"/>
      <c r="B101" s="33"/>
      <c r="C101" s="89"/>
      <c r="D101" s="56"/>
      <c r="E101" s="89"/>
    </row>
    <row r="102" spans="1:6" x14ac:dyDescent="0.25">
      <c r="A102" s="31"/>
      <c r="B102" s="33"/>
      <c r="C102" s="33"/>
      <c r="D102" s="56"/>
      <c r="E102" s="56"/>
    </row>
    <row r="103" spans="1:6" x14ac:dyDescent="0.25">
      <c r="A103" s="31"/>
      <c r="B103" s="33"/>
      <c r="C103" s="33"/>
      <c r="D103" s="89"/>
      <c r="E103" s="89"/>
    </row>
    <row r="104" spans="1:6" x14ac:dyDescent="0.25">
      <c r="A104" s="31"/>
      <c r="B104" s="33"/>
      <c r="C104" s="33"/>
      <c r="D104" s="89"/>
      <c r="E104" s="89"/>
    </row>
    <row r="105" spans="1:6" x14ac:dyDescent="0.25">
      <c r="A105" s="31"/>
      <c r="B105" s="33"/>
      <c r="D105" s="89"/>
      <c r="E105" s="89"/>
    </row>
    <row r="106" spans="1:6" x14ac:dyDescent="0.25">
      <c r="D106" s="89"/>
      <c r="E106" s="89"/>
    </row>
    <row r="107" spans="1:6" x14ac:dyDescent="0.25">
      <c r="D107" s="89"/>
      <c r="E107" s="89"/>
    </row>
    <row r="108" spans="1:6" x14ac:dyDescent="0.25">
      <c r="D108" s="89"/>
      <c r="E108" s="89"/>
    </row>
    <row r="109" spans="1:6" x14ac:dyDescent="0.25">
      <c r="D109" s="56"/>
      <c r="E109" s="56"/>
      <c r="F109" s="3"/>
    </row>
    <row r="110" spans="1:6" x14ac:dyDescent="0.25">
      <c r="B110"/>
      <c r="C110"/>
      <c r="D110" s="89"/>
      <c r="E110" s="89"/>
      <c r="F110" s="3"/>
    </row>
    <row r="111" spans="1:6" x14ac:dyDescent="0.25">
      <c r="B111"/>
      <c r="C111"/>
      <c r="D111" s="89"/>
      <c r="E111" s="89"/>
    </row>
    <row r="112" spans="1:6" x14ac:dyDescent="0.25">
      <c r="B112"/>
      <c r="C112"/>
      <c r="D112" s="33"/>
      <c r="E112" s="33"/>
    </row>
    <row r="113" spans="2:5" x14ac:dyDescent="0.25">
      <c r="B113"/>
      <c r="C113"/>
      <c r="D113" s="33"/>
      <c r="E113" s="33"/>
    </row>
    <row r="114" spans="2:5" x14ac:dyDescent="0.25">
      <c r="B114"/>
      <c r="C114"/>
      <c r="D114" s="33"/>
      <c r="E114" s="33"/>
    </row>
  </sheetData>
  <pageMargins left="0.70866141732283472" right="0.70866141732283472" top="0.74803149606299213" bottom="0.74803149606299213" header="0.31496062992125984" footer="0.31496062992125984"/>
  <pageSetup paperSize="9" scale="54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V103"/>
  <sheetViews>
    <sheetView view="pageBreakPreview" topLeftCell="A7" zoomScale="60" zoomScaleNormal="100" workbookViewId="0">
      <selection activeCell="D41" sqref="D41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4.85546875" style="3" customWidth="1"/>
    <col min="5" max="5" width="17.570312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235</v>
      </c>
      <c r="B2" s="2"/>
      <c r="C2" s="2"/>
      <c r="D2" s="20"/>
    </row>
    <row r="3" spans="1:22" ht="15.75" thickBot="1" x14ac:dyDescent="0.3">
      <c r="A3" s="1" t="s">
        <v>231</v>
      </c>
      <c r="B3" s="2"/>
      <c r="C3" s="2"/>
      <c r="D3" s="20"/>
      <c r="L3" s="108"/>
      <c r="M3" s="108"/>
      <c r="N3" s="108"/>
      <c r="O3" s="108"/>
    </row>
    <row r="4" spans="1:22" ht="15.75" thickBot="1" x14ac:dyDescent="0.3">
      <c r="A4" s="22" t="s">
        <v>0</v>
      </c>
      <c r="B4" s="202"/>
      <c r="C4" s="203"/>
      <c r="D4" s="208"/>
      <c r="E4" s="125"/>
      <c r="L4" s="108"/>
      <c r="M4" s="108"/>
      <c r="N4" s="108"/>
      <c r="O4" s="108"/>
    </row>
    <row r="5" spans="1:22" ht="40.5" customHeight="1" thickBot="1" x14ac:dyDescent="0.3">
      <c r="A5" s="6" t="s">
        <v>1</v>
      </c>
      <c r="B5" s="8" t="s">
        <v>2</v>
      </c>
      <c r="C5" s="9" t="s">
        <v>3</v>
      </c>
      <c r="D5" s="131"/>
      <c r="E5" s="97"/>
      <c r="K5" s="108"/>
      <c r="L5" s="108"/>
      <c r="M5" s="108"/>
      <c r="N5" s="108"/>
    </row>
    <row r="6" spans="1:22" ht="15.75" thickBot="1" x14ac:dyDescent="0.3">
      <c r="A6" s="151" t="s">
        <v>236</v>
      </c>
      <c r="B6" s="153">
        <v>911.2</v>
      </c>
      <c r="C6" s="154">
        <v>52</v>
      </c>
      <c r="D6" s="125"/>
      <c r="E6" s="97"/>
      <c r="K6" s="108"/>
      <c r="L6" s="108"/>
      <c r="M6" s="108"/>
      <c r="N6" s="108"/>
    </row>
    <row r="7" spans="1:22" x14ac:dyDescent="0.25">
      <c r="A7" s="10"/>
      <c r="B7" s="86"/>
      <c r="C7" s="152"/>
      <c r="D7" s="125"/>
      <c r="E7" s="97"/>
      <c r="K7" s="108"/>
      <c r="L7" s="108"/>
      <c r="M7" s="108"/>
      <c r="N7" s="108"/>
    </row>
    <row r="8" spans="1:22" ht="15.75" thickBot="1" x14ac:dyDescent="0.3">
      <c r="A8" s="16" t="s">
        <v>5</v>
      </c>
      <c r="B8" s="17">
        <f>B6+B7</f>
        <v>911.2</v>
      </c>
      <c r="C8" s="18">
        <f>C6</f>
        <v>52</v>
      </c>
      <c r="D8" s="125"/>
      <c r="E8" s="97"/>
      <c r="K8" s="108"/>
      <c r="L8" s="108"/>
      <c r="M8" s="108"/>
      <c r="N8" s="108"/>
    </row>
    <row r="9" spans="1:22" ht="15.75" thickBot="1" x14ac:dyDescent="0.3">
      <c r="A9" s="194"/>
      <c r="B9" s="106"/>
      <c r="C9" s="106"/>
      <c r="D9" s="195"/>
      <c r="E9" s="125"/>
      <c r="L9" s="108"/>
      <c r="M9" s="108"/>
      <c r="N9" s="108"/>
      <c r="O9" s="108"/>
    </row>
    <row r="10" spans="1:22" ht="15.75" thickBot="1" x14ac:dyDescent="0.3">
      <c r="A10" s="22" t="s">
        <v>112</v>
      </c>
      <c r="B10" s="23"/>
      <c r="C10" s="23"/>
      <c r="D10" s="24" t="s">
        <v>6</v>
      </c>
      <c r="E10" s="125"/>
      <c r="F10" s="97"/>
      <c r="G10" s="97"/>
      <c r="H10" s="97"/>
      <c r="I10" s="97"/>
      <c r="J10" s="97"/>
      <c r="K10" s="97"/>
      <c r="L10" s="108"/>
      <c r="M10" s="108"/>
      <c r="N10" s="108"/>
      <c r="O10" s="108"/>
    </row>
    <row r="11" spans="1:22" x14ac:dyDescent="0.25">
      <c r="A11" s="25" t="s">
        <v>7</v>
      </c>
      <c r="B11" s="20"/>
      <c r="C11" s="20"/>
      <c r="D11" s="27">
        <v>16</v>
      </c>
      <c r="E11" s="125"/>
      <c r="F11" s="97"/>
      <c r="G11" s="97"/>
      <c r="H11" s="97"/>
      <c r="I11" s="97"/>
      <c r="J11" s="97"/>
      <c r="K11" s="97"/>
      <c r="L11" s="108"/>
      <c r="M11" s="108"/>
      <c r="N11" s="108"/>
      <c r="O11" s="108"/>
    </row>
    <row r="12" spans="1:22" x14ac:dyDescent="0.25">
      <c r="A12" s="25" t="s">
        <v>8</v>
      </c>
      <c r="B12" s="20"/>
      <c r="C12" s="20"/>
      <c r="D12" s="27">
        <v>5</v>
      </c>
      <c r="E12" s="125"/>
      <c r="F12" s="97"/>
      <c r="G12" s="97"/>
      <c r="H12" s="97"/>
      <c r="I12" s="97"/>
      <c r="J12" s="97"/>
      <c r="K12" s="97"/>
      <c r="L12" s="108"/>
      <c r="M12" s="108"/>
      <c r="N12" s="108"/>
      <c r="O12" s="108"/>
    </row>
    <row r="13" spans="1:22" x14ac:dyDescent="0.25">
      <c r="A13" s="25" t="s">
        <v>9</v>
      </c>
      <c r="B13" s="20"/>
      <c r="C13" s="20"/>
      <c r="D13" s="26">
        <v>0</v>
      </c>
      <c r="E13" s="125"/>
      <c r="F13" s="97"/>
      <c r="G13" s="97"/>
      <c r="H13" s="97"/>
      <c r="I13" s="97"/>
      <c r="J13" s="97"/>
      <c r="K13" s="97"/>
      <c r="L13" s="108"/>
      <c r="M13" s="108"/>
      <c r="N13" s="108"/>
      <c r="O13" s="108"/>
    </row>
    <row r="14" spans="1:22" ht="15.75" thickBot="1" x14ac:dyDescent="0.3">
      <c r="A14" s="28" t="s">
        <v>10</v>
      </c>
      <c r="B14" s="193"/>
      <c r="C14" s="193"/>
      <c r="D14" s="30">
        <v>0</v>
      </c>
      <c r="E14" s="125"/>
      <c r="F14" s="97"/>
      <c r="G14" s="97"/>
      <c r="H14" s="97"/>
      <c r="I14" s="97"/>
      <c r="J14" s="97"/>
      <c r="K14" s="97"/>
      <c r="L14" s="108"/>
      <c r="M14" s="108"/>
      <c r="N14" s="108"/>
      <c r="O14" s="108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209"/>
      <c r="B15" s="131"/>
      <c r="C15" s="131"/>
      <c r="D15" s="131"/>
      <c r="E15" s="125"/>
      <c r="F15" s="97"/>
      <c r="G15" s="97"/>
      <c r="H15" s="97"/>
      <c r="I15" s="97"/>
      <c r="J15" s="97"/>
      <c r="K15" s="97"/>
      <c r="L15" s="108"/>
      <c r="M15" s="108"/>
      <c r="N15" s="108"/>
      <c r="O15" s="108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113</v>
      </c>
      <c r="B16" s="206"/>
      <c r="C16" s="206"/>
      <c r="D16" s="206"/>
      <c r="E16" s="207"/>
      <c r="F16" s="97"/>
      <c r="G16" s="97"/>
      <c r="H16" s="97"/>
      <c r="I16" s="97"/>
      <c r="J16" s="97"/>
      <c r="K16" s="97"/>
      <c r="L16" s="108"/>
      <c r="M16" s="109"/>
      <c r="N16" s="109"/>
      <c r="O16" s="108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196"/>
      <c r="B17" s="131"/>
      <c r="C17" s="131"/>
      <c r="D17" s="131"/>
      <c r="E17" s="210"/>
      <c r="F17" s="97"/>
      <c r="G17" s="97"/>
      <c r="H17" s="97"/>
      <c r="I17" s="97"/>
      <c r="J17" s="97"/>
      <c r="K17" s="97"/>
      <c r="L17" s="109"/>
      <c r="M17" s="110"/>
      <c r="N17" s="109"/>
      <c r="O17" s="108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196"/>
      <c r="B18" s="131"/>
      <c r="C18" s="131"/>
      <c r="D18" s="131"/>
      <c r="E18" s="210"/>
      <c r="F18" s="97"/>
      <c r="G18" s="97"/>
      <c r="H18" s="97"/>
      <c r="I18" s="97"/>
      <c r="J18" s="97"/>
      <c r="K18" s="97"/>
      <c r="L18" s="108"/>
      <c r="M18" s="108"/>
      <c r="N18" s="108"/>
      <c r="O18" s="108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114</v>
      </c>
      <c r="C19" s="38" t="s">
        <v>115</v>
      </c>
      <c r="D19" s="38" t="s">
        <v>116</v>
      </c>
      <c r="E19" s="39" t="s">
        <v>117</v>
      </c>
      <c r="F19" s="97"/>
      <c r="G19" s="97"/>
      <c r="H19" s="97"/>
      <c r="I19" s="97"/>
      <c r="J19" s="97"/>
      <c r="K19" s="97"/>
      <c r="L19" s="108"/>
      <c r="M19" s="111"/>
      <c r="N19" s="111"/>
      <c r="O19" s="108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/>
      <c r="C20" s="41">
        <v>46518.400000000001</v>
      </c>
      <c r="D20" s="40">
        <v>17838.54</v>
      </c>
      <c r="E20" s="42">
        <f t="shared" ref="E20:E38" si="0">C20-D20+B20</f>
        <v>28679.86</v>
      </c>
      <c r="F20" s="116">
        <f>C20+F22</f>
        <v>61055.4</v>
      </c>
      <c r="G20" s="117">
        <f>100</f>
        <v>100</v>
      </c>
      <c r="H20" s="115" t="s">
        <v>64</v>
      </c>
      <c r="I20" s="97"/>
      <c r="J20" s="97"/>
      <c r="K20" s="97"/>
      <c r="L20" s="108"/>
      <c r="M20" s="108"/>
      <c r="N20" s="108"/>
      <c r="O20" s="108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16"/>
      <c r="G21" s="117"/>
      <c r="H21" s="115"/>
      <c r="I21" s="97"/>
      <c r="J21" s="97"/>
      <c r="K21" s="97"/>
      <c r="L21" s="108"/>
      <c r="M21" s="108"/>
      <c r="N21" s="108"/>
      <c r="O21" s="108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/>
      <c r="C22" s="44">
        <v>14537</v>
      </c>
      <c r="D22" s="43">
        <v>5952.37</v>
      </c>
      <c r="E22" s="45">
        <f t="shared" si="0"/>
        <v>8584.630000000001</v>
      </c>
      <c r="F22" s="116">
        <f>C22</f>
        <v>14537</v>
      </c>
      <c r="G22" s="118">
        <f>F22*G20/F20</f>
        <v>23.80952380952381</v>
      </c>
      <c r="H22" s="115" t="s">
        <v>64</v>
      </c>
      <c r="I22" s="97"/>
      <c r="J22" s="97"/>
      <c r="K22" s="97"/>
      <c r="L22" s="108"/>
      <c r="M22" s="108"/>
      <c r="N22" s="111"/>
      <c r="O22" s="108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97"/>
      <c r="G23" s="97"/>
      <c r="H23" s="97"/>
      <c r="I23" s="97"/>
      <c r="J23" s="97"/>
      <c r="K23" s="97"/>
      <c r="L23" s="108"/>
      <c r="M23" s="108"/>
      <c r="N23" s="108"/>
      <c r="O23" s="108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44"/>
      <c r="D24" s="44"/>
      <c r="E24" s="45">
        <f t="shared" si="0"/>
        <v>0</v>
      </c>
      <c r="F24" s="97"/>
      <c r="G24" s="97"/>
      <c r="H24" s="97"/>
      <c r="I24" s="97"/>
      <c r="J24" s="97"/>
      <c r="K24" s="97"/>
      <c r="L24" s="108"/>
      <c r="M24" s="108"/>
      <c r="N24" s="108"/>
      <c r="O24" s="108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97"/>
      <c r="G25" s="97"/>
      <c r="H25" s="97"/>
      <c r="I25" s="97"/>
      <c r="J25" s="97"/>
      <c r="K25" s="97"/>
      <c r="L25" s="108"/>
      <c r="M25" s="108"/>
      <c r="N25" s="108"/>
      <c r="O25" s="108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/>
      <c r="C26" s="44"/>
      <c r="D26" s="44"/>
      <c r="E26" s="45">
        <f t="shared" si="0"/>
        <v>0</v>
      </c>
      <c r="F26" s="97"/>
      <c r="G26" s="97"/>
      <c r="H26" s="97"/>
      <c r="I26" s="97"/>
      <c r="J26" s="97"/>
      <c r="K26" s="97"/>
      <c r="L26" s="108"/>
      <c r="M26" s="108"/>
      <c r="N26" s="108"/>
      <c r="O26" s="108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83</v>
      </c>
      <c r="B27" s="44"/>
      <c r="C27" s="44"/>
      <c r="D27" s="44"/>
      <c r="E27" s="45">
        <f t="shared" si="0"/>
        <v>0</v>
      </c>
      <c r="F27" s="97"/>
      <c r="G27" s="97"/>
      <c r="H27" s="97"/>
      <c r="I27" s="97"/>
      <c r="J27" s="97"/>
      <c r="K27" s="97"/>
      <c r="L27" s="108"/>
      <c r="M27" s="108"/>
      <c r="N27" s="108"/>
      <c r="O27" s="108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0</v>
      </c>
      <c r="C28" s="50">
        <f>C29+C30+C31+C33+C32</f>
        <v>122614.89000000001</v>
      </c>
      <c r="D28" s="50">
        <f>D29+D30+D31+D33+D32</f>
        <v>53238.69</v>
      </c>
      <c r="E28" s="51">
        <f>C28-D28+B28</f>
        <v>69376.200000000012</v>
      </c>
      <c r="F28" s="97"/>
      <c r="G28" s="97"/>
      <c r="H28" s="97"/>
      <c r="I28" s="97"/>
      <c r="J28" s="97"/>
      <c r="K28" s="97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204" t="s">
        <v>22</v>
      </c>
      <c r="B29" s="40"/>
      <c r="C29" s="40">
        <v>76634.490000000005</v>
      </c>
      <c r="D29" s="40">
        <v>29422.9</v>
      </c>
      <c r="E29" s="42">
        <f t="shared" si="0"/>
        <v>47211.590000000004</v>
      </c>
      <c r="F29" s="97"/>
      <c r="G29" s="97"/>
      <c r="H29" s="97"/>
      <c r="I29" s="97"/>
      <c r="J29" s="97"/>
      <c r="K29" s="97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205" t="s">
        <v>23</v>
      </c>
      <c r="B30" s="43"/>
      <c r="C30" s="43">
        <f>21596.15+6481.97</f>
        <v>28078.120000000003</v>
      </c>
      <c r="D30" s="43">
        <f>10670.97+3592.89</f>
        <v>14263.859999999999</v>
      </c>
      <c r="E30" s="45">
        <f t="shared" si="0"/>
        <v>13814.260000000004</v>
      </c>
      <c r="F30" s="97"/>
      <c r="G30" s="97"/>
      <c r="H30" s="97"/>
      <c r="I30" s="97"/>
      <c r="J30" s="97"/>
      <c r="K30" s="97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205" t="s">
        <v>24</v>
      </c>
      <c r="B31" s="43"/>
      <c r="C31" s="43">
        <f>6989.13</f>
        <v>6989.13</v>
      </c>
      <c r="D31" s="43">
        <v>3857.64</v>
      </c>
      <c r="E31" s="45">
        <f t="shared" si="0"/>
        <v>3131.4900000000002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205" t="s">
        <v>90</v>
      </c>
      <c r="B32" s="43"/>
      <c r="C32" s="43"/>
      <c r="D32" s="43"/>
      <c r="E32" s="45">
        <f t="shared" si="0"/>
        <v>0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205" t="s">
        <v>25</v>
      </c>
      <c r="B33" s="43"/>
      <c r="C33" s="43">
        <v>10913.15</v>
      </c>
      <c r="D33" s="43">
        <v>5694.29</v>
      </c>
      <c r="E33" s="45">
        <f t="shared" si="0"/>
        <v>5218.8599999999997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205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74</v>
      </c>
      <c r="B35" s="186"/>
      <c r="C35" s="55"/>
      <c r="D35" s="55"/>
      <c r="E35" s="45">
        <f t="shared" si="0"/>
        <v>0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155</v>
      </c>
      <c r="B37" s="44"/>
      <c r="C37" s="44"/>
      <c r="D37" s="44"/>
      <c r="E37" s="45">
        <f t="shared" si="0"/>
        <v>0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/>
      <c r="C38" s="46"/>
      <c r="D38" s="46"/>
      <c r="E38" s="47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0</v>
      </c>
      <c r="C39" s="58">
        <f>C20+C21+C22+C23+C24+C25+C26+C28+C35+C36+C37+C38</f>
        <v>183670.29</v>
      </c>
      <c r="D39" s="58">
        <f>D20+D21+D22+D23+D24+D25+D26+D28+D35+D36+D37+D38+D27</f>
        <v>77029.600000000006</v>
      </c>
      <c r="E39" s="58">
        <f>E20+E21+E22+E23+E24+E25+E26+E28+E35+E36+E37+E38+E27</f>
        <v>106640.69000000002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59"/>
      <c r="B40" s="60"/>
      <c r="C40" s="56"/>
      <c r="D40" s="122"/>
      <c r="E40" s="122"/>
      <c r="F40" s="123"/>
      <c r="G40" s="124"/>
      <c r="H40" s="124"/>
      <c r="I40" s="124"/>
      <c r="J40" s="137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59"/>
      <c r="B41" s="60"/>
      <c r="C41" s="56"/>
      <c r="D41" s="119"/>
      <c r="E41" s="119"/>
      <c r="F41" s="138"/>
      <c r="G41" s="115"/>
      <c r="H41" s="115"/>
      <c r="I41" s="97"/>
      <c r="J41" s="137"/>
    </row>
    <row r="42" spans="1:22" ht="15.75" thickBot="1" x14ac:dyDescent="0.3">
      <c r="A42" s="61" t="s">
        <v>30</v>
      </c>
      <c r="B42" s="62">
        <f>B44+B60+B61+B58+B63+B59+B62</f>
        <v>70361.928953257142</v>
      </c>
      <c r="C42" s="63" t="s">
        <v>31</v>
      </c>
      <c r="D42" s="119">
        <f>C39-B42-B63</f>
        <v>112963.78961817143</v>
      </c>
      <c r="E42" s="272" t="s">
        <v>32</v>
      </c>
      <c r="F42" s="273">
        <v>5512727.4500000002</v>
      </c>
      <c r="G42" s="274">
        <f>F42/F48*B8</f>
        <v>42211.741617142856</v>
      </c>
      <c r="H42" s="115"/>
      <c r="I42" s="97"/>
      <c r="J42" s="137"/>
    </row>
    <row r="43" spans="1:22" x14ac:dyDescent="0.25">
      <c r="A43" s="250"/>
      <c r="B43" s="183"/>
      <c r="C43" s="251" t="s">
        <v>31</v>
      </c>
      <c r="D43" s="119"/>
      <c r="E43" s="272" t="s">
        <v>33</v>
      </c>
      <c r="F43" s="273">
        <v>1264951.0900000001</v>
      </c>
      <c r="G43" s="274">
        <f>F43/F48*B8</f>
        <v>9685.9112034285736</v>
      </c>
      <c r="H43" s="115"/>
      <c r="I43" s="97"/>
      <c r="J43" s="137"/>
    </row>
    <row r="44" spans="1:22" x14ac:dyDescent="0.25">
      <c r="A44" s="246" t="s">
        <v>34</v>
      </c>
      <c r="B44" s="160">
        <f>B45+B46+B48+B49+B50+B51+B52+B53+B54+B55+B56+B47+B57</f>
        <v>40036.677524685714</v>
      </c>
      <c r="C44" s="251" t="s">
        <v>31</v>
      </c>
      <c r="D44" s="119"/>
      <c r="E44" s="272" t="s">
        <v>35</v>
      </c>
      <c r="F44" s="273">
        <v>180000</v>
      </c>
      <c r="G44" s="274">
        <f>F44/F48*B8</f>
        <v>1378.2857142857142</v>
      </c>
      <c r="H44" s="115"/>
      <c r="I44" s="97"/>
      <c r="J44" s="137"/>
    </row>
    <row r="45" spans="1:22" x14ac:dyDescent="0.25">
      <c r="A45" s="252" t="s">
        <v>76</v>
      </c>
      <c r="B45" s="184">
        <v>3876.2</v>
      </c>
      <c r="C45" s="185" t="s">
        <v>31</v>
      </c>
      <c r="D45" s="119"/>
      <c r="E45" s="272" t="s">
        <v>18</v>
      </c>
      <c r="F45" s="273">
        <f>299837.27</f>
        <v>299837.27</v>
      </c>
      <c r="G45" s="274">
        <f>F45/F48*B8</f>
        <v>2295.8968102857148</v>
      </c>
      <c r="H45" s="115"/>
      <c r="I45" s="97"/>
      <c r="J45" s="137"/>
    </row>
    <row r="46" spans="1:22" x14ac:dyDescent="0.25">
      <c r="A46" s="253" t="s">
        <v>37</v>
      </c>
      <c r="B46" s="184">
        <f>(G42+G43)/12*3</f>
        <v>12974.413205142857</v>
      </c>
      <c r="C46" s="185" t="s">
        <v>31</v>
      </c>
      <c r="D46" s="119"/>
      <c r="E46" s="275" t="s">
        <v>38</v>
      </c>
      <c r="F46" s="273">
        <f>7000+1260+30890+4200</f>
        <v>43350</v>
      </c>
      <c r="G46" s="274">
        <f>F46/F48*B8</f>
        <v>331.93714285714287</v>
      </c>
      <c r="H46" s="115"/>
      <c r="I46" s="97"/>
      <c r="J46" s="137"/>
    </row>
    <row r="47" spans="1:22" x14ac:dyDescent="0.25">
      <c r="A47" s="253" t="s">
        <v>39</v>
      </c>
      <c r="B47" s="184"/>
      <c r="C47" s="185" t="s">
        <v>31</v>
      </c>
      <c r="D47" s="119"/>
      <c r="E47" s="274" t="s">
        <v>12</v>
      </c>
      <c r="F47" s="273">
        <f>8022857.59-F46</f>
        <v>7979507.5899999999</v>
      </c>
      <c r="G47" s="274">
        <f>F47/F48*B8</f>
        <v>61100.229546285715</v>
      </c>
      <c r="H47" s="115"/>
      <c r="I47" s="97"/>
      <c r="J47" s="137"/>
    </row>
    <row r="48" spans="1:22" x14ac:dyDescent="0.25">
      <c r="A48" s="252" t="s">
        <v>40</v>
      </c>
      <c r="B48" s="184">
        <f>G46/12*3+3168.72</f>
        <v>3251.7042857142856</v>
      </c>
      <c r="C48" s="185" t="s">
        <v>31</v>
      </c>
      <c r="D48" s="119"/>
      <c r="E48" s="276" t="s">
        <v>41</v>
      </c>
      <c r="F48" s="277">
        <f>119000</f>
        <v>119000</v>
      </c>
      <c r="G48" s="274"/>
      <c r="H48" s="115"/>
      <c r="I48" s="97"/>
      <c r="J48" s="137"/>
    </row>
    <row r="49" spans="1:10" x14ac:dyDescent="0.25">
      <c r="A49" s="252" t="s">
        <v>42</v>
      </c>
      <c r="B49" s="184">
        <f>G45/12*3</f>
        <v>573.97420257142869</v>
      </c>
      <c r="C49" s="185" t="s">
        <v>31</v>
      </c>
      <c r="D49" s="119"/>
      <c r="E49" s="278"/>
      <c r="F49" s="274"/>
      <c r="G49" s="274"/>
      <c r="H49" s="115"/>
      <c r="I49" s="97"/>
      <c r="J49" s="137"/>
    </row>
    <row r="50" spans="1:10" x14ac:dyDescent="0.25">
      <c r="A50" s="252" t="s">
        <v>141</v>
      </c>
      <c r="B50" s="184">
        <f>G47/12*3</f>
        <v>15275.057386571429</v>
      </c>
      <c r="C50" s="185" t="s">
        <v>31</v>
      </c>
      <c r="D50" s="119"/>
      <c r="E50" s="279" t="s">
        <v>70</v>
      </c>
      <c r="F50" s="277">
        <f>1910.32</f>
        <v>1910.32</v>
      </c>
      <c r="G50" s="279">
        <f>F50/F48*B8</f>
        <v>14.627593142857142</v>
      </c>
      <c r="H50" s="115"/>
      <c r="I50" s="97"/>
      <c r="J50" s="137"/>
    </row>
    <row r="51" spans="1:10" x14ac:dyDescent="0.25">
      <c r="A51" s="252" t="s">
        <v>44</v>
      </c>
      <c r="B51" s="184">
        <f>G52/12*3</f>
        <v>31.450948571428569</v>
      </c>
      <c r="C51" s="185" t="s">
        <v>31</v>
      </c>
      <c r="D51" s="119"/>
      <c r="E51" s="119"/>
      <c r="F51" s="120"/>
      <c r="G51" s="121"/>
      <c r="H51" s="115"/>
      <c r="I51" s="97"/>
      <c r="J51" s="137"/>
    </row>
    <row r="52" spans="1:10" x14ac:dyDescent="0.25">
      <c r="A52" s="252" t="s">
        <v>45</v>
      </c>
      <c r="B52" s="184">
        <f>G50/12*3</f>
        <v>3.6568982857142855</v>
      </c>
      <c r="C52" s="185" t="s">
        <v>31</v>
      </c>
      <c r="D52" s="119"/>
      <c r="E52" s="119" t="s">
        <v>125</v>
      </c>
      <c r="F52" s="280">
        <f>16429.6</f>
        <v>16429.599999999999</v>
      </c>
      <c r="G52" s="279">
        <f>F52/F48*B8</f>
        <v>125.80379428571428</v>
      </c>
      <c r="H52" s="115"/>
      <c r="I52" s="97"/>
      <c r="J52" s="137"/>
    </row>
    <row r="53" spans="1:10" x14ac:dyDescent="0.25">
      <c r="A53" s="252" t="s">
        <v>46</v>
      </c>
      <c r="B53" s="184"/>
      <c r="C53" s="185" t="s">
        <v>31</v>
      </c>
      <c r="D53" s="119"/>
      <c r="E53" s="119"/>
      <c r="F53" s="120"/>
      <c r="G53" s="121"/>
      <c r="H53" s="115"/>
      <c r="I53" s="97"/>
      <c r="J53" s="137"/>
    </row>
    <row r="54" spans="1:10" x14ac:dyDescent="0.25">
      <c r="A54" s="254" t="s">
        <v>225</v>
      </c>
      <c r="B54" s="184"/>
      <c r="C54" s="185" t="s">
        <v>31</v>
      </c>
      <c r="D54" s="101"/>
      <c r="E54" s="101"/>
      <c r="F54" s="131"/>
      <c r="G54" s="132"/>
      <c r="H54" s="97"/>
      <c r="I54" s="97"/>
      <c r="J54" s="137"/>
    </row>
    <row r="55" spans="1:10" x14ac:dyDescent="0.25">
      <c r="A55" s="252" t="s">
        <v>48</v>
      </c>
      <c r="B55" s="184">
        <v>842.34</v>
      </c>
      <c r="C55" s="185" t="s">
        <v>31</v>
      </c>
      <c r="D55" s="101"/>
      <c r="E55" s="101"/>
      <c r="F55" s="125"/>
      <c r="G55" s="97"/>
      <c r="H55" s="97"/>
      <c r="I55" s="97"/>
      <c r="J55" s="137"/>
    </row>
    <row r="56" spans="1:10" x14ac:dyDescent="0.25">
      <c r="A56" s="252" t="s">
        <v>49</v>
      </c>
      <c r="B56" s="184">
        <f>(B46+B47+B48+B49+B50+B52+B53+B54)*0.1</f>
        <v>3207.8805978285714</v>
      </c>
      <c r="C56" s="185" t="s">
        <v>31</v>
      </c>
      <c r="D56" s="101"/>
      <c r="E56" s="101"/>
      <c r="F56" s="125"/>
      <c r="G56" s="97"/>
      <c r="H56" s="97"/>
      <c r="I56" s="97"/>
      <c r="J56" s="137"/>
    </row>
    <row r="57" spans="1:10" x14ac:dyDescent="0.25">
      <c r="A57" s="252" t="s">
        <v>103</v>
      </c>
      <c r="B57" s="184"/>
      <c r="C57" s="185" t="s">
        <v>31</v>
      </c>
      <c r="D57" s="119"/>
      <c r="E57" s="119"/>
      <c r="F57" s="138"/>
      <c r="G57" s="115"/>
      <c r="H57" s="97"/>
      <c r="I57" s="97"/>
      <c r="J57" s="137"/>
    </row>
    <row r="58" spans="1:10" x14ac:dyDescent="0.25">
      <c r="A58" s="246" t="s">
        <v>50</v>
      </c>
      <c r="B58" s="160">
        <f>C81</f>
        <v>29980.68</v>
      </c>
      <c r="C58" s="251" t="s">
        <v>31</v>
      </c>
      <c r="D58" s="122"/>
      <c r="E58" s="122"/>
      <c r="F58" s="123"/>
      <c r="G58" s="124"/>
      <c r="H58" s="97"/>
      <c r="I58" s="97"/>
      <c r="J58" s="137"/>
    </row>
    <row r="59" spans="1:10" x14ac:dyDescent="0.25">
      <c r="A59" s="246" t="s">
        <v>51</v>
      </c>
      <c r="B59" s="160"/>
      <c r="C59" s="251" t="s">
        <v>31</v>
      </c>
      <c r="D59" s="122"/>
      <c r="E59" s="122"/>
      <c r="F59" s="123"/>
      <c r="G59" s="124"/>
      <c r="H59" s="97"/>
      <c r="I59" s="97"/>
      <c r="J59" s="137"/>
    </row>
    <row r="60" spans="1:10" x14ac:dyDescent="0.25">
      <c r="A60" s="246" t="s">
        <v>52</v>
      </c>
      <c r="B60" s="160"/>
      <c r="C60" s="251" t="s">
        <v>31</v>
      </c>
      <c r="D60" s="56"/>
      <c r="E60" s="56"/>
      <c r="F60" s="3"/>
      <c r="H60" s="97"/>
      <c r="I60" s="97"/>
      <c r="J60" s="137"/>
    </row>
    <row r="61" spans="1:10" x14ac:dyDescent="0.25">
      <c r="A61" s="246" t="s">
        <v>53</v>
      </c>
      <c r="B61" s="160"/>
      <c r="C61" s="251" t="s">
        <v>54</v>
      </c>
      <c r="D61" s="56"/>
      <c r="E61" s="56"/>
      <c r="F61" s="3"/>
      <c r="H61" s="97"/>
      <c r="I61" s="97"/>
      <c r="J61" s="137"/>
    </row>
    <row r="62" spans="1:10" x14ac:dyDescent="0.25">
      <c r="A62" s="262" t="s">
        <v>154</v>
      </c>
      <c r="B62" s="258">
        <f>C37/1.02</f>
        <v>0</v>
      </c>
      <c r="C62" s="263"/>
      <c r="D62" s="56"/>
      <c r="E62" s="56"/>
      <c r="F62" s="3"/>
      <c r="H62" s="97"/>
      <c r="I62" s="97"/>
      <c r="J62" s="137"/>
    </row>
    <row r="63" spans="1:10" ht="15.75" thickBot="1" x14ac:dyDescent="0.3">
      <c r="A63" s="261" t="s">
        <v>78</v>
      </c>
      <c r="B63" s="162">
        <f>G44/12*3</f>
        <v>344.57142857142856</v>
      </c>
      <c r="C63" s="264" t="s">
        <v>31</v>
      </c>
      <c r="D63" s="56"/>
      <c r="E63" s="56"/>
      <c r="F63" s="3"/>
      <c r="H63" s="97"/>
      <c r="I63" s="97"/>
      <c r="J63" s="137"/>
    </row>
    <row r="64" spans="1:10" x14ac:dyDescent="0.25">
      <c r="A64" s="59"/>
      <c r="B64" s="60"/>
      <c r="C64" s="56"/>
      <c r="D64" s="56"/>
      <c r="E64" s="56"/>
      <c r="F64" s="3"/>
      <c r="H64" s="97"/>
      <c r="I64" s="97"/>
      <c r="J64" s="137"/>
    </row>
    <row r="65" spans="1:10" x14ac:dyDescent="0.25">
      <c r="A65" s="59" t="s">
        <v>202</v>
      </c>
      <c r="B65" s="143">
        <f>C39-C24+B43-B42</f>
        <v>113308.36104674287</v>
      </c>
      <c r="C65" s="56" t="s">
        <v>31</v>
      </c>
      <c r="D65" s="56"/>
      <c r="E65" s="56"/>
      <c r="F65" s="3"/>
      <c r="H65" s="97"/>
      <c r="I65" s="97"/>
      <c r="J65" s="137"/>
    </row>
    <row r="66" spans="1:10" x14ac:dyDescent="0.25">
      <c r="A66" s="59"/>
      <c r="B66" s="2">
        <f>B67+B68+B69+B70+B71+B72</f>
        <v>113308.36104674288</v>
      </c>
      <c r="C66" s="56" t="s">
        <v>31</v>
      </c>
      <c r="D66" s="56"/>
      <c r="E66" s="56"/>
      <c r="F66" s="3"/>
      <c r="H66" s="97"/>
      <c r="I66" s="97"/>
      <c r="J66" s="137"/>
    </row>
    <row r="67" spans="1:10" x14ac:dyDescent="0.25">
      <c r="A67" s="77" t="s">
        <v>56</v>
      </c>
      <c r="B67" s="78">
        <f>C20-B44-B63</f>
        <v>6137.1510467428589</v>
      </c>
      <c r="C67" s="56" t="s">
        <v>31</v>
      </c>
      <c r="D67" s="56"/>
      <c r="E67" s="56"/>
      <c r="F67" s="3"/>
      <c r="H67" s="97"/>
      <c r="I67" s="97"/>
      <c r="J67" s="137"/>
    </row>
    <row r="68" spans="1:10" x14ac:dyDescent="0.25">
      <c r="A68" s="77" t="s">
        <v>57</v>
      </c>
      <c r="B68" s="78">
        <f>C22-B58</f>
        <v>-15443.68</v>
      </c>
      <c r="C68" s="56" t="s">
        <v>31</v>
      </c>
      <c r="D68" s="56"/>
      <c r="E68" s="56"/>
      <c r="F68" s="3"/>
      <c r="H68" s="97"/>
      <c r="I68" s="97"/>
      <c r="J68" s="137"/>
    </row>
    <row r="69" spans="1:10" x14ac:dyDescent="0.25">
      <c r="A69" s="77" t="s">
        <v>58</v>
      </c>
      <c r="B69" s="78">
        <f>C26-B59</f>
        <v>0</v>
      </c>
      <c r="C69" s="56" t="s">
        <v>31</v>
      </c>
      <c r="D69" s="56"/>
      <c r="E69" s="56"/>
      <c r="F69" s="3"/>
      <c r="H69" s="97"/>
      <c r="I69" s="97"/>
      <c r="J69" s="137"/>
    </row>
    <row r="70" spans="1:10" x14ac:dyDescent="0.25">
      <c r="A70" s="77" t="s">
        <v>59</v>
      </c>
      <c r="B70" s="78">
        <f>C28-B60</f>
        <v>122614.89000000001</v>
      </c>
      <c r="C70" s="56" t="s">
        <v>31</v>
      </c>
      <c r="D70" s="56"/>
      <c r="E70" s="56"/>
      <c r="F70" s="3"/>
      <c r="H70" s="97"/>
      <c r="I70" s="97"/>
      <c r="J70" s="137"/>
    </row>
    <row r="71" spans="1:10" x14ac:dyDescent="0.25">
      <c r="A71" s="77" t="s">
        <v>60</v>
      </c>
      <c r="B71" s="78">
        <f>C35-B61</f>
        <v>0</v>
      </c>
      <c r="C71" s="56" t="s">
        <v>31</v>
      </c>
      <c r="D71" s="56"/>
      <c r="E71" s="56"/>
      <c r="F71" s="3"/>
      <c r="H71" s="97"/>
      <c r="I71" s="97"/>
      <c r="J71" s="137"/>
    </row>
    <row r="72" spans="1:10" x14ac:dyDescent="0.25">
      <c r="A72" s="77" t="s">
        <v>157</v>
      </c>
      <c r="B72" s="78">
        <f>C37-B62</f>
        <v>0</v>
      </c>
      <c r="C72" s="56" t="s">
        <v>31</v>
      </c>
      <c r="H72" s="97"/>
      <c r="I72" s="97"/>
      <c r="J72" s="137"/>
    </row>
    <row r="73" spans="1:10" ht="15.75" thickBot="1" x14ac:dyDescent="0.3">
      <c r="A73" s="77"/>
      <c r="B73" s="78"/>
      <c r="C73" s="56"/>
      <c r="D73" s="98"/>
      <c r="E73" s="99"/>
      <c r="F73" s="100"/>
      <c r="G73" s="97"/>
      <c r="H73" s="97"/>
      <c r="I73" s="97"/>
      <c r="J73" s="137"/>
    </row>
    <row r="74" spans="1:10" ht="15.75" thickBot="1" x14ac:dyDescent="0.3">
      <c r="A74" s="227" t="s">
        <v>146</v>
      </c>
      <c r="B74" s="228"/>
      <c r="C74" s="229"/>
      <c r="D74" s="101"/>
      <c r="E74" s="101"/>
      <c r="F74" s="101"/>
      <c r="G74" s="97"/>
      <c r="H74" s="97"/>
      <c r="I74" s="97"/>
      <c r="J74" s="137"/>
    </row>
    <row r="75" spans="1:10" ht="39" thickBot="1" x14ac:dyDescent="0.3">
      <c r="A75" s="230" t="s">
        <v>80</v>
      </c>
      <c r="B75" s="231" t="s">
        <v>61</v>
      </c>
      <c r="C75" s="232" t="s">
        <v>67</v>
      </c>
      <c r="D75" s="102"/>
      <c r="E75" s="103"/>
      <c r="F75" s="104"/>
      <c r="G75" s="97"/>
      <c r="H75" s="97"/>
      <c r="I75" s="97"/>
      <c r="J75" s="137"/>
    </row>
    <row r="76" spans="1:10" x14ac:dyDescent="0.25">
      <c r="A76" s="233" t="s">
        <v>62</v>
      </c>
      <c r="B76" s="234" t="s">
        <v>31</v>
      </c>
      <c r="C76" s="235" t="s">
        <v>31</v>
      </c>
      <c r="D76" s="102"/>
      <c r="E76" s="103"/>
      <c r="F76" s="104"/>
      <c r="G76" s="97"/>
      <c r="H76" s="97"/>
      <c r="I76" s="97"/>
      <c r="J76" s="137"/>
    </row>
    <row r="77" spans="1:10" x14ac:dyDescent="0.25">
      <c r="A77" s="266" t="s">
        <v>179</v>
      </c>
      <c r="B77" s="236"/>
      <c r="C77" s="265">
        <v>6500</v>
      </c>
      <c r="D77" s="102"/>
      <c r="E77" s="103"/>
      <c r="F77" s="104"/>
      <c r="G77" s="97"/>
      <c r="H77" s="97"/>
      <c r="I77" s="97"/>
      <c r="J77" s="137"/>
    </row>
    <row r="78" spans="1:10" x14ac:dyDescent="0.25">
      <c r="A78" s="266" t="s">
        <v>233</v>
      </c>
      <c r="B78" s="236"/>
      <c r="C78" s="265">
        <f>3798+5007.68</f>
        <v>8805.68</v>
      </c>
      <c r="D78" s="102"/>
      <c r="E78" s="103"/>
      <c r="F78" s="104"/>
      <c r="G78" s="97"/>
      <c r="H78" s="97"/>
      <c r="I78" s="97"/>
      <c r="J78" s="137"/>
    </row>
    <row r="79" spans="1:10" x14ac:dyDescent="0.25">
      <c r="A79" s="266" t="s">
        <v>234</v>
      </c>
      <c r="B79" s="236"/>
      <c r="C79" s="265">
        <f>2200</f>
        <v>2200</v>
      </c>
      <c r="D79" s="102"/>
      <c r="E79" s="103"/>
      <c r="F79" s="104"/>
      <c r="G79" s="97"/>
      <c r="H79" s="97"/>
      <c r="I79" s="97"/>
      <c r="J79" s="137"/>
    </row>
    <row r="80" spans="1:10" x14ac:dyDescent="0.25">
      <c r="A80" s="266" t="s">
        <v>214</v>
      </c>
      <c r="B80" s="236"/>
      <c r="C80" s="265">
        <f>3300+8775+400</f>
        <v>12475</v>
      </c>
      <c r="D80" s="102"/>
      <c r="E80" s="103"/>
      <c r="F80" s="104"/>
      <c r="G80" s="97"/>
      <c r="H80" s="97"/>
      <c r="I80" s="97"/>
      <c r="J80" s="137"/>
    </row>
    <row r="81" spans="1:10" ht="15.75" thickBot="1" x14ac:dyDescent="0.3">
      <c r="A81" s="239" t="s">
        <v>5</v>
      </c>
      <c r="B81" s="240">
        <f>B77</f>
        <v>0</v>
      </c>
      <c r="C81" s="260">
        <f>C77+C78+C79+C80</f>
        <v>29980.68</v>
      </c>
      <c r="D81" s="105"/>
      <c r="E81" s="103"/>
      <c r="F81" s="104"/>
      <c r="G81" s="97"/>
      <c r="H81" s="97"/>
      <c r="I81" s="97"/>
      <c r="J81" s="137"/>
    </row>
    <row r="82" spans="1:10" x14ac:dyDescent="0.25">
      <c r="A82" s="31"/>
      <c r="B82" s="33"/>
      <c r="C82" s="87"/>
      <c r="D82" s="105"/>
      <c r="E82" s="103"/>
      <c r="F82" s="104"/>
      <c r="G82" s="97"/>
      <c r="H82" s="97"/>
      <c r="I82" s="97"/>
      <c r="J82" s="137"/>
    </row>
    <row r="83" spans="1:10" x14ac:dyDescent="0.25">
      <c r="A83" s="164" t="s">
        <v>132</v>
      </c>
      <c r="B83" s="149"/>
      <c r="C83" s="215"/>
      <c r="D83" s="216"/>
      <c r="E83" s="89"/>
      <c r="H83" s="97"/>
      <c r="I83" s="97"/>
      <c r="J83" s="137"/>
    </row>
    <row r="84" spans="1:10" x14ac:dyDescent="0.25">
      <c r="A84" s="217"/>
      <c r="B84" s="149"/>
      <c r="C84" s="215"/>
      <c r="D84" s="218"/>
      <c r="E84" s="89"/>
      <c r="H84" s="97"/>
      <c r="I84" s="97"/>
      <c r="J84" s="137"/>
    </row>
    <row r="85" spans="1:10" x14ac:dyDescent="0.25">
      <c r="A85" s="165" t="s">
        <v>133</v>
      </c>
      <c r="B85" s="149" t="s">
        <v>134</v>
      </c>
      <c r="C85" s="219"/>
      <c r="D85" s="216"/>
      <c r="E85" s="89"/>
      <c r="F85" s="94"/>
    </row>
    <row r="86" spans="1:10" x14ac:dyDescent="0.25">
      <c r="A86" s="165"/>
      <c r="B86" s="149"/>
      <c r="C86" s="219"/>
      <c r="D86" s="216"/>
      <c r="E86" s="89"/>
    </row>
    <row r="87" spans="1:10" x14ac:dyDescent="0.25">
      <c r="A87" s="220"/>
      <c r="B87" s="221"/>
      <c r="C87" s="219"/>
      <c r="D87" s="150"/>
      <c r="E87" s="89"/>
    </row>
    <row r="88" spans="1:10" ht="15.75" x14ac:dyDescent="0.25">
      <c r="A88" s="223" t="s">
        <v>63</v>
      </c>
      <c r="B88" s="224" t="s">
        <v>134</v>
      </c>
      <c r="C88" s="225"/>
      <c r="D88" s="226" t="s">
        <v>66</v>
      </c>
      <c r="E88" s="89"/>
    </row>
    <row r="89" spans="1:10" x14ac:dyDescent="0.25">
      <c r="A89" s="95"/>
      <c r="B89" s="96"/>
      <c r="C89" s="89"/>
      <c r="D89" s="93"/>
      <c r="E89" s="56"/>
      <c r="F89" s="3"/>
    </row>
    <row r="90" spans="1:10" x14ac:dyDescent="0.25">
      <c r="A90" s="31"/>
      <c r="B90" s="33"/>
      <c r="C90" s="33"/>
      <c r="D90" s="56"/>
      <c r="E90" s="89"/>
    </row>
    <row r="91" spans="1:10" x14ac:dyDescent="0.25">
      <c r="A91" s="31"/>
      <c r="B91" s="33"/>
      <c r="C91" s="33"/>
      <c r="D91" s="56"/>
      <c r="E91" s="56"/>
    </row>
    <row r="92" spans="1:10" x14ac:dyDescent="0.25">
      <c r="A92" s="31"/>
      <c r="B92" s="33"/>
      <c r="C92" s="33"/>
      <c r="D92" s="89"/>
      <c r="E92" s="89"/>
    </row>
    <row r="93" spans="1:10" x14ac:dyDescent="0.25">
      <c r="A93" s="31"/>
      <c r="B93" s="33"/>
      <c r="D93" s="89"/>
      <c r="E93" s="89"/>
    </row>
    <row r="94" spans="1:10" x14ac:dyDescent="0.25">
      <c r="D94" s="89"/>
      <c r="E94" s="89"/>
    </row>
    <row r="95" spans="1:10" x14ac:dyDescent="0.25">
      <c r="D95" s="89"/>
      <c r="E95" s="89"/>
    </row>
    <row r="96" spans="1:10" x14ac:dyDescent="0.25">
      <c r="D96" s="89"/>
      <c r="E96" s="89"/>
    </row>
    <row r="97" spans="2:6" x14ac:dyDescent="0.25">
      <c r="D97" s="89"/>
      <c r="E97" s="89"/>
    </row>
    <row r="98" spans="2:6" x14ac:dyDescent="0.25">
      <c r="B98"/>
      <c r="C98"/>
      <c r="D98" s="56"/>
      <c r="E98" s="56"/>
      <c r="F98" s="3"/>
    </row>
    <row r="99" spans="2:6" x14ac:dyDescent="0.25">
      <c r="B99"/>
      <c r="C99"/>
      <c r="D99" s="89"/>
      <c r="E99" s="89"/>
      <c r="F99" s="3"/>
    </row>
    <row r="100" spans="2:6" x14ac:dyDescent="0.25">
      <c r="B100"/>
      <c r="C100"/>
      <c r="D100" s="89"/>
      <c r="E100" s="89"/>
    </row>
    <row r="101" spans="2:6" x14ac:dyDescent="0.25">
      <c r="B101"/>
      <c r="C101"/>
      <c r="D101" s="33"/>
      <c r="E101" s="33"/>
    </row>
    <row r="102" spans="2:6" x14ac:dyDescent="0.25">
      <c r="B102"/>
      <c r="C102"/>
      <c r="D102" s="33"/>
      <c r="E102" s="33"/>
    </row>
    <row r="103" spans="2:6" x14ac:dyDescent="0.25">
      <c r="D103" s="33"/>
      <c r="E103" s="33"/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V107"/>
  <sheetViews>
    <sheetView view="pageBreakPreview" topLeftCell="A51" zoomScale="60" zoomScaleNormal="100" workbookViewId="0">
      <selection activeCell="C29" sqref="C29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212</v>
      </c>
      <c r="B2" s="2"/>
      <c r="C2" s="2"/>
      <c r="D2" s="2"/>
      <c r="E2" s="125"/>
    </row>
    <row r="3" spans="1:22" ht="15.75" thickBot="1" x14ac:dyDescent="0.3">
      <c r="A3" s="1"/>
      <c r="B3" s="2"/>
      <c r="C3" s="2"/>
      <c r="D3" s="2"/>
      <c r="E3" s="125"/>
      <c r="L3" s="108"/>
      <c r="M3" s="108"/>
      <c r="N3" s="108"/>
      <c r="O3" s="108"/>
    </row>
    <row r="4" spans="1:22" ht="15.75" thickBot="1" x14ac:dyDescent="0.3">
      <c r="A4" s="22" t="s">
        <v>0</v>
      </c>
      <c r="B4" s="202"/>
      <c r="C4" s="202"/>
      <c r="D4" s="203"/>
      <c r="E4" s="125"/>
      <c r="L4" s="108"/>
      <c r="M4" s="108"/>
      <c r="N4" s="108"/>
      <c r="O4" s="108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E5" s="125"/>
      <c r="L5" s="108"/>
      <c r="M5" s="108"/>
      <c r="N5" s="108"/>
      <c r="O5" s="108"/>
    </row>
    <row r="6" spans="1:22" x14ac:dyDescent="0.25">
      <c r="A6" s="10" t="s">
        <v>81</v>
      </c>
      <c r="B6" s="11"/>
      <c r="C6" s="11">
        <v>491.8</v>
      </c>
      <c r="D6" s="12">
        <v>50</v>
      </c>
      <c r="E6" s="125"/>
      <c r="L6" s="108"/>
      <c r="M6" s="108"/>
      <c r="N6" s="108"/>
      <c r="O6" s="108"/>
    </row>
    <row r="7" spans="1:22" x14ac:dyDescent="0.25">
      <c r="A7" s="13"/>
      <c r="B7" s="14"/>
      <c r="C7" s="14"/>
      <c r="D7" s="15"/>
      <c r="E7" s="125"/>
      <c r="L7" s="108"/>
      <c r="M7" s="108"/>
      <c r="N7" s="108"/>
      <c r="O7" s="108"/>
    </row>
    <row r="8" spans="1:22" ht="15.75" thickBot="1" x14ac:dyDescent="0.3">
      <c r="A8" s="16" t="s">
        <v>5</v>
      </c>
      <c r="B8" s="17"/>
      <c r="C8" s="17">
        <f>C6+C7</f>
        <v>491.8</v>
      </c>
      <c r="D8" s="18">
        <f>D6</f>
        <v>50</v>
      </c>
      <c r="E8" s="125"/>
      <c r="L8" s="108"/>
      <c r="M8" s="108"/>
      <c r="N8" s="108"/>
      <c r="O8" s="108"/>
    </row>
    <row r="9" spans="1:22" ht="15.75" thickBot="1" x14ac:dyDescent="0.3">
      <c r="A9" s="194"/>
      <c r="B9" s="106"/>
      <c r="C9" s="106"/>
      <c r="D9" s="195"/>
      <c r="E9" s="125"/>
      <c r="L9" s="108"/>
      <c r="M9" s="108"/>
      <c r="N9" s="108"/>
      <c r="O9" s="108"/>
    </row>
    <row r="10" spans="1:22" ht="15.75" thickBot="1" x14ac:dyDescent="0.3">
      <c r="A10" s="22" t="s">
        <v>112</v>
      </c>
      <c r="B10" s="23"/>
      <c r="C10" s="23"/>
      <c r="D10" s="24" t="s">
        <v>6</v>
      </c>
      <c r="E10" s="125"/>
      <c r="F10" s="97"/>
      <c r="G10" s="97"/>
      <c r="H10" s="97"/>
      <c r="I10" s="97"/>
      <c r="J10" s="97"/>
      <c r="K10" s="97"/>
      <c r="L10" s="108"/>
      <c r="M10" s="108"/>
      <c r="N10" s="108"/>
      <c r="O10" s="108"/>
    </row>
    <row r="11" spans="1:22" x14ac:dyDescent="0.25">
      <c r="A11" s="25" t="s">
        <v>7</v>
      </c>
      <c r="B11" s="20"/>
      <c r="C11" s="20"/>
      <c r="D11" s="26">
        <v>19.059999999999999</v>
      </c>
      <c r="E11" s="125"/>
      <c r="F11" s="97"/>
      <c r="G11" s="97"/>
      <c r="H11" s="97"/>
      <c r="I11" s="97"/>
      <c r="J11" s="97"/>
      <c r="K11" s="97"/>
      <c r="L11" s="108"/>
      <c r="M11" s="108"/>
      <c r="N11" s="108"/>
      <c r="O11" s="108"/>
    </row>
    <row r="12" spans="1:22" x14ac:dyDescent="0.25">
      <c r="A12" s="25" t="s">
        <v>8</v>
      </c>
      <c r="B12" s="20"/>
      <c r="C12" s="20"/>
      <c r="D12" s="27"/>
      <c r="E12" s="125"/>
      <c r="F12" s="97"/>
      <c r="G12" s="97"/>
      <c r="H12" s="97"/>
      <c r="I12" s="97"/>
      <c r="J12" s="97"/>
      <c r="K12" s="97"/>
      <c r="L12" s="108"/>
      <c r="M12" s="108"/>
      <c r="N12" s="108"/>
      <c r="O12" s="108"/>
    </row>
    <row r="13" spans="1:22" x14ac:dyDescent="0.25">
      <c r="A13" s="25" t="s">
        <v>9</v>
      </c>
      <c r="B13" s="20"/>
      <c r="C13" s="20"/>
      <c r="D13" s="26"/>
      <c r="E13" s="125"/>
      <c r="F13" s="97"/>
      <c r="G13" s="97"/>
      <c r="H13" s="97"/>
      <c r="I13" s="97"/>
      <c r="J13" s="97"/>
      <c r="K13" s="97"/>
      <c r="L13" s="108"/>
      <c r="M13" s="108"/>
      <c r="N13" s="108"/>
      <c r="O13" s="108"/>
    </row>
    <row r="14" spans="1:22" ht="15.75" thickBot="1" x14ac:dyDescent="0.3">
      <c r="A14" s="28" t="s">
        <v>10</v>
      </c>
      <c r="B14" s="193"/>
      <c r="C14" s="193"/>
      <c r="D14" s="30">
        <v>0</v>
      </c>
      <c r="E14" s="125"/>
      <c r="F14" s="97"/>
      <c r="G14" s="97"/>
      <c r="H14" s="97"/>
      <c r="I14" s="97"/>
      <c r="J14" s="97"/>
      <c r="K14" s="97"/>
      <c r="L14" s="108"/>
      <c r="M14" s="108"/>
      <c r="N14" s="108"/>
      <c r="O14" s="108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209"/>
      <c r="B15" s="131"/>
      <c r="C15" s="131"/>
      <c r="D15" s="131"/>
      <c r="E15" s="125"/>
      <c r="F15" s="97"/>
      <c r="G15" s="97"/>
      <c r="H15" s="97"/>
      <c r="I15" s="97"/>
      <c r="J15" s="97"/>
      <c r="K15" s="97"/>
      <c r="L15" s="108"/>
      <c r="M15" s="108"/>
      <c r="N15" s="108"/>
      <c r="O15" s="108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113</v>
      </c>
      <c r="B16" s="202"/>
      <c r="C16" s="202"/>
      <c r="D16" s="202"/>
      <c r="E16" s="203"/>
      <c r="F16" s="97"/>
      <c r="G16" s="97"/>
      <c r="H16" s="97"/>
      <c r="I16" s="97"/>
      <c r="J16" s="97"/>
      <c r="K16" s="97"/>
      <c r="L16" s="108"/>
      <c r="M16" s="109"/>
      <c r="N16" s="109"/>
      <c r="O16" s="108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156"/>
      <c r="C17" s="156"/>
      <c r="D17" s="156"/>
      <c r="E17" s="136"/>
      <c r="F17" s="97"/>
      <c r="G17" s="97"/>
      <c r="H17" s="97"/>
      <c r="I17" s="97"/>
      <c r="J17" s="97"/>
      <c r="K17" s="97"/>
      <c r="L17" s="109"/>
      <c r="M17" s="110"/>
      <c r="N17" s="109"/>
      <c r="O17" s="108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156"/>
      <c r="C18" s="156"/>
      <c r="D18" s="156"/>
      <c r="E18" s="136"/>
      <c r="F18" s="97"/>
      <c r="G18" s="97"/>
      <c r="H18" s="97"/>
      <c r="I18" s="97"/>
      <c r="J18" s="97"/>
      <c r="K18" s="97"/>
      <c r="L18" s="108"/>
      <c r="M18" s="108"/>
      <c r="N18" s="108"/>
      <c r="O18" s="108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114</v>
      </c>
      <c r="C19" s="38" t="s">
        <v>115</v>
      </c>
      <c r="D19" s="38" t="s">
        <v>116</v>
      </c>
      <c r="E19" s="39" t="s">
        <v>117</v>
      </c>
      <c r="F19" s="97"/>
      <c r="G19" s="97"/>
      <c r="H19" s="97"/>
      <c r="I19" s="97"/>
      <c r="J19" s="97"/>
      <c r="K19" s="97"/>
      <c r="L19" s="108"/>
      <c r="M19" s="111"/>
      <c r="N19" s="111"/>
      <c r="O19" s="108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>
        <v>24514.09</v>
      </c>
      <c r="C20" s="41">
        <f>112484.64</f>
        <v>112484.64</v>
      </c>
      <c r="D20" s="40">
        <f>102319.46+5466.8</f>
        <v>107786.26000000001</v>
      </c>
      <c r="E20" s="42">
        <f t="shared" ref="E20:E37" si="0">C20-D20+B20</f>
        <v>29212.46999999999</v>
      </c>
      <c r="F20" s="116">
        <f>C20+F22</f>
        <v>112484.64</v>
      </c>
      <c r="G20" s="117">
        <f>100</f>
        <v>100</v>
      </c>
      <c r="H20" s="115" t="s">
        <v>64</v>
      </c>
      <c r="I20" s="97"/>
      <c r="J20" s="97"/>
      <c r="K20" s="97"/>
      <c r="L20" s="108"/>
      <c r="M20" s="108"/>
      <c r="N20" s="108"/>
      <c r="O20" s="108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16"/>
      <c r="G21" s="117"/>
      <c r="H21" s="115"/>
      <c r="I21" s="97"/>
      <c r="J21" s="97"/>
      <c r="K21" s="97"/>
      <c r="L21" s="108"/>
      <c r="M21" s="108"/>
      <c r="N21" s="108"/>
      <c r="O21" s="108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>
        <v>-278.23</v>
      </c>
      <c r="C22" s="44"/>
      <c r="D22" s="43"/>
      <c r="E22" s="45">
        <f t="shared" si="0"/>
        <v>-278.23</v>
      </c>
      <c r="F22" s="116">
        <f>C22</f>
        <v>0</v>
      </c>
      <c r="G22" s="118">
        <f>F22*G20/F20</f>
        <v>0</v>
      </c>
      <c r="H22" s="115" t="s">
        <v>64</v>
      </c>
      <c r="I22" s="97"/>
      <c r="J22" s="97"/>
      <c r="K22" s="97"/>
      <c r="L22" s="108"/>
      <c r="M22" s="108"/>
      <c r="N22" s="111"/>
      <c r="O22" s="108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97"/>
      <c r="G23" s="97"/>
      <c r="H23" s="97"/>
      <c r="I23" s="97"/>
      <c r="J23" s="97"/>
      <c r="K23" s="97"/>
      <c r="L23" s="108"/>
      <c r="M23" s="108"/>
      <c r="N23" s="108"/>
      <c r="O23" s="108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44"/>
      <c r="D24" s="44"/>
      <c r="E24" s="45">
        <f t="shared" si="0"/>
        <v>0</v>
      </c>
      <c r="F24" s="97"/>
      <c r="G24" s="97"/>
      <c r="H24" s="97"/>
      <c r="I24" s="97"/>
      <c r="J24" s="97"/>
      <c r="K24" s="97"/>
      <c r="L24" s="108"/>
      <c r="M24" s="108"/>
      <c r="N24" s="108"/>
      <c r="O24" s="108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97"/>
      <c r="G25" s="97"/>
      <c r="H25" s="97"/>
      <c r="I25" s="97"/>
      <c r="J25" s="97"/>
      <c r="K25" s="97"/>
      <c r="L25" s="108"/>
      <c r="M25" s="108"/>
      <c r="N25" s="108"/>
      <c r="O25" s="108"/>
      <c r="P25" s="31"/>
      <c r="Q25" s="31"/>
      <c r="R25" s="31"/>
      <c r="S25" s="31"/>
      <c r="T25" s="31"/>
      <c r="U25" s="31"/>
      <c r="V25" s="31"/>
    </row>
    <row r="26" spans="1:22" ht="15.75" thickBot="1" x14ac:dyDescent="0.3">
      <c r="A26" s="16" t="s">
        <v>20</v>
      </c>
      <c r="B26" s="46"/>
      <c r="C26" s="46"/>
      <c r="D26" s="46"/>
      <c r="E26" s="47">
        <f t="shared" si="0"/>
        <v>0</v>
      </c>
      <c r="F26" s="97"/>
      <c r="G26" s="97"/>
      <c r="H26" s="97"/>
      <c r="I26" s="97"/>
      <c r="J26" s="97"/>
      <c r="K26" s="97"/>
      <c r="L26" s="108"/>
      <c r="M26" s="108"/>
      <c r="N26" s="108"/>
      <c r="O26" s="108"/>
      <c r="P26" s="31"/>
      <c r="Q26" s="31"/>
      <c r="R26" s="31"/>
      <c r="S26" s="31"/>
      <c r="T26" s="31"/>
      <c r="U26" s="31"/>
      <c r="V26" s="31"/>
    </row>
    <row r="27" spans="1:22" ht="15.75" thickBot="1" x14ac:dyDescent="0.3">
      <c r="A27" s="48" t="s">
        <v>21</v>
      </c>
      <c r="B27" s="49">
        <f>B28+B29+B30+B32+B31</f>
        <v>68091.44</v>
      </c>
      <c r="C27" s="50">
        <f>C28+C29+C30+C32</f>
        <v>330325.06</v>
      </c>
      <c r="D27" s="50">
        <f>D28+D29+D30+D32</f>
        <v>331404.42</v>
      </c>
      <c r="E27" s="51">
        <f>C27-D27+B27</f>
        <v>67012.080000000016</v>
      </c>
      <c r="F27" s="97"/>
      <c r="G27" s="97"/>
      <c r="H27" s="97"/>
      <c r="I27" s="97"/>
      <c r="J27" s="97"/>
      <c r="K27" s="97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spans="1:22" x14ac:dyDescent="0.25">
      <c r="A28" s="204" t="s">
        <v>22</v>
      </c>
      <c r="B28" s="40">
        <f>31647.06</f>
        <v>31647.06</v>
      </c>
      <c r="C28" s="40">
        <f>184454.52-43045.81</f>
        <v>141408.71</v>
      </c>
      <c r="D28" s="40">
        <f>155519.6+8345.39</f>
        <v>163864.99</v>
      </c>
      <c r="E28" s="42">
        <f t="shared" si="0"/>
        <v>9190.7800000000025</v>
      </c>
      <c r="F28" s="97"/>
      <c r="G28" s="97"/>
      <c r="H28" s="97"/>
      <c r="I28" s="97"/>
      <c r="J28" s="97"/>
      <c r="K28" s="97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205" t="s">
        <v>23</v>
      </c>
      <c r="B29" s="43">
        <f>23537.09</f>
        <v>23537.09</v>
      </c>
      <c r="C29" s="43">
        <f>115392.72+2945.83+5343.17-5343.17+3142.74</f>
        <v>121481.29000000001</v>
      </c>
      <c r="D29" s="43">
        <f>102873.12+1701.58+2171.24+1837.41+99.17</f>
        <v>108682.52</v>
      </c>
      <c r="E29" s="45">
        <f t="shared" si="0"/>
        <v>36335.86</v>
      </c>
      <c r="F29" s="97"/>
      <c r="G29" s="97"/>
      <c r="H29" s="97"/>
      <c r="I29" s="97"/>
      <c r="J29" s="97"/>
      <c r="K29" s="97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205" t="s">
        <v>24</v>
      </c>
      <c r="B30" s="43">
        <v>4463.26</v>
      </c>
      <c r="C30" s="43">
        <f>24496.15-0.31+445.62</f>
        <v>24941.46</v>
      </c>
      <c r="D30" s="43">
        <f>20631.74+338.58+260.5+14.04</f>
        <v>21244.860000000004</v>
      </c>
      <c r="E30" s="45">
        <f t="shared" si="0"/>
        <v>8159.8599999999951</v>
      </c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hidden="1" x14ac:dyDescent="0.25">
      <c r="A31" s="205" t="s">
        <v>72</v>
      </c>
      <c r="B31" s="43"/>
      <c r="C31" s="43"/>
      <c r="D31" s="43"/>
      <c r="E31" s="45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205" t="s">
        <v>25</v>
      </c>
      <c r="B32" s="43">
        <v>8444.0300000000007</v>
      </c>
      <c r="C32" s="43">
        <f>43071.32-577.72</f>
        <v>42493.599999999999</v>
      </c>
      <c r="D32" s="43">
        <f>36999.77+612.28</f>
        <v>37612.049999999996</v>
      </c>
      <c r="E32" s="45">
        <f t="shared" si="0"/>
        <v>13325.580000000004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hidden="1" x14ac:dyDescent="0.25">
      <c r="A33" s="205"/>
      <c r="B33" s="43"/>
      <c r="C33" s="44"/>
      <c r="D33" s="44"/>
      <c r="E33" s="45">
        <f t="shared" si="0"/>
        <v>0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x14ac:dyDescent="0.25">
      <c r="A34" s="13" t="s">
        <v>74</v>
      </c>
      <c r="B34" s="186">
        <f>-93.73+6988.04</f>
        <v>6894.31</v>
      </c>
      <c r="C34" s="55">
        <f>38848.92+98.58</f>
        <v>38947.5</v>
      </c>
      <c r="D34" s="55">
        <f>-0.08+35838.67+628.19</f>
        <v>36466.78</v>
      </c>
      <c r="E34" s="45">
        <f t="shared" si="0"/>
        <v>9375.0300000000025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hidden="1" x14ac:dyDescent="0.25">
      <c r="A35" s="13"/>
      <c r="B35" s="44"/>
      <c r="C35" s="44"/>
      <c r="D35" s="44"/>
      <c r="E35" s="45">
        <f>C35-D35+B35</f>
        <v>0</v>
      </c>
      <c r="J35" s="56"/>
      <c r="K35" s="56"/>
      <c r="L35" s="3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x14ac:dyDescent="0.25">
      <c r="A36" s="13" t="s">
        <v>155</v>
      </c>
      <c r="B36" s="44">
        <f>922.65+1421.14</f>
        <v>2343.79</v>
      </c>
      <c r="C36" s="44">
        <f>22972.14+1375.64+964.68-3735.87-3183.97-964.68</f>
        <v>17427.939999999999</v>
      </c>
      <c r="D36" s="44">
        <f>17324.93+2618.54+1763.1+657.47+60.82+161.95</f>
        <v>22586.81</v>
      </c>
      <c r="E36" s="45">
        <f t="shared" si="0"/>
        <v>-2815.0800000000027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ht="15.75" thickBot="1" x14ac:dyDescent="0.3">
      <c r="A37" s="16" t="s">
        <v>28</v>
      </c>
      <c r="B37" s="46"/>
      <c r="C37" s="46"/>
      <c r="D37" s="46"/>
      <c r="E37" s="47">
        <f t="shared" si="0"/>
        <v>0</v>
      </c>
      <c r="K37" s="3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57" t="s">
        <v>29</v>
      </c>
      <c r="B38" s="58">
        <f>B20+B21+B22+B23+B24+B25+B26+B27+B34+B35+B36+B37</f>
        <v>101565.4</v>
      </c>
      <c r="C38" s="58">
        <f>C20+C21+C22+C23+C24+C25+C26+C27+C34+C35+C36+C37</f>
        <v>499185.14</v>
      </c>
      <c r="D38" s="58">
        <f>D20+D21+D22+D23+D24+D25+D26+D27+D34+D35+D36+D37</f>
        <v>498244.26999999996</v>
      </c>
      <c r="E38" s="270">
        <f>E20+E21+E22+E23+E24+E25+E27+E34+E35+E36+E37+E26</f>
        <v>102506.27</v>
      </c>
      <c r="F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x14ac:dyDescent="0.25">
      <c r="A39" s="213"/>
      <c r="B39" s="214"/>
      <c r="C39" s="101"/>
      <c r="D39" s="101"/>
      <c r="E39" s="101"/>
      <c r="F39" s="123"/>
      <c r="G39" s="124"/>
      <c r="H39" s="124"/>
      <c r="I39" s="97"/>
      <c r="J39" s="97"/>
      <c r="K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ht="15.75" thickBot="1" x14ac:dyDescent="0.3">
      <c r="A40" s="59"/>
      <c r="B40" s="60"/>
      <c r="C40" s="56"/>
      <c r="D40" s="119"/>
      <c r="E40" s="119"/>
      <c r="F40" s="138"/>
      <c r="G40" s="115"/>
      <c r="H40" s="97"/>
      <c r="I40" s="97"/>
      <c r="J40" s="97"/>
    </row>
    <row r="41" spans="1:22" ht="15.75" thickBot="1" x14ac:dyDescent="0.3">
      <c r="A41" s="61" t="s">
        <v>30</v>
      </c>
      <c r="B41" s="62">
        <f>B43+B58+B59+B56+B61+B57+B60</f>
        <v>464862.16390581743</v>
      </c>
      <c r="C41" s="63" t="s">
        <v>31</v>
      </c>
      <c r="D41" s="119">
        <f>C38-B41-B61</f>
        <v>33579.076934518715</v>
      </c>
      <c r="E41" s="272" t="s">
        <v>32</v>
      </c>
      <c r="F41" s="273">
        <f>5512727.45</f>
        <v>5512727.4500000002</v>
      </c>
      <c r="G41" s="274">
        <f>F41/F47*C8</f>
        <v>22782.85176394958</v>
      </c>
      <c r="H41" s="97"/>
      <c r="I41" s="97"/>
      <c r="J41" s="115"/>
    </row>
    <row r="42" spans="1:22" x14ac:dyDescent="0.25">
      <c r="A42" s="59" t="s">
        <v>192</v>
      </c>
      <c r="B42" s="183">
        <f>24504.68</f>
        <v>24504.68</v>
      </c>
      <c r="C42" s="66"/>
      <c r="D42" s="119"/>
      <c r="E42" s="272" t="s">
        <v>33</v>
      </c>
      <c r="F42" s="273">
        <f>1264951.09</f>
        <v>1264951.0900000001</v>
      </c>
      <c r="G42" s="274">
        <f>F42/F47*C8</f>
        <v>5227.7558492605049</v>
      </c>
      <c r="H42" s="97"/>
      <c r="I42" s="97"/>
      <c r="J42" s="115"/>
    </row>
    <row r="43" spans="1:22" x14ac:dyDescent="0.25">
      <c r="A43" s="67" t="s">
        <v>34</v>
      </c>
      <c r="B43" s="160">
        <f>B44+B45+B47+B48+B49+B50+B51+B52+B53+B54+B55+B46</f>
        <v>102699.389059879</v>
      </c>
      <c r="C43" s="69" t="s">
        <v>31</v>
      </c>
      <c r="D43" s="119"/>
      <c r="E43" s="272" t="s">
        <v>35</v>
      </c>
      <c r="F43" s="273">
        <v>180000</v>
      </c>
      <c r="G43" s="274">
        <f>F43/F47*C8</f>
        <v>743.89915966386559</v>
      </c>
      <c r="H43" s="97"/>
      <c r="I43" s="97"/>
      <c r="J43" s="115"/>
    </row>
    <row r="44" spans="1:22" x14ac:dyDescent="0.25">
      <c r="A44" s="70" t="s">
        <v>76</v>
      </c>
      <c r="B44" s="184">
        <v>12636.36</v>
      </c>
      <c r="C44" s="71" t="s">
        <v>31</v>
      </c>
      <c r="D44" s="119"/>
      <c r="E44" s="272" t="s">
        <v>18</v>
      </c>
      <c r="F44" s="273">
        <f>299837.27</f>
        <v>299837.27</v>
      </c>
      <c r="G44" s="274">
        <f>F44/F47*C8</f>
        <v>1239.1594066050422</v>
      </c>
      <c r="H44" s="97"/>
      <c r="I44" s="97"/>
      <c r="J44" s="115"/>
    </row>
    <row r="45" spans="1:22" x14ac:dyDescent="0.25">
      <c r="A45" s="72" t="s">
        <v>37</v>
      </c>
      <c r="B45" s="184">
        <f>G41+G42</f>
        <v>28010.607613210086</v>
      </c>
      <c r="C45" s="71" t="s">
        <v>31</v>
      </c>
      <c r="D45" s="119"/>
      <c r="E45" s="275" t="s">
        <v>38</v>
      </c>
      <c r="F45" s="273">
        <f>7000+1260+30890+4200</f>
        <v>43350</v>
      </c>
      <c r="G45" s="274">
        <f>F45/F47*C8</f>
        <v>179.15571428571428</v>
      </c>
      <c r="H45" s="97"/>
      <c r="I45" s="97"/>
      <c r="J45" s="115"/>
    </row>
    <row r="46" spans="1:22" x14ac:dyDescent="0.25">
      <c r="A46" s="72" t="s">
        <v>39</v>
      </c>
      <c r="B46" s="184">
        <v>7680</v>
      </c>
      <c r="C46" s="71" t="s">
        <v>31</v>
      </c>
      <c r="D46" s="119"/>
      <c r="E46" s="274" t="s">
        <v>12</v>
      </c>
      <c r="F46" s="273">
        <f>8022857.59-F45</f>
        <v>7979507.5899999999</v>
      </c>
      <c r="G46" s="274">
        <f>F46/F47*C8</f>
        <v>32977.494392957982</v>
      </c>
      <c r="H46" s="97"/>
      <c r="I46" s="97"/>
      <c r="J46" s="115"/>
    </row>
    <row r="47" spans="1:22" x14ac:dyDescent="0.25">
      <c r="A47" s="70" t="s">
        <v>40</v>
      </c>
      <c r="B47" s="184">
        <f>G45+6095.98</f>
        <v>6275.1357142857141</v>
      </c>
      <c r="C47" s="71" t="s">
        <v>31</v>
      </c>
      <c r="D47" s="119"/>
      <c r="E47" s="276" t="s">
        <v>41</v>
      </c>
      <c r="F47" s="277">
        <f>119000</f>
        <v>119000</v>
      </c>
      <c r="G47" s="274"/>
      <c r="H47" s="97"/>
      <c r="I47" s="97"/>
      <c r="J47" s="115"/>
    </row>
    <row r="48" spans="1:22" x14ac:dyDescent="0.25">
      <c r="A48" s="70" t="s">
        <v>42</v>
      </c>
      <c r="B48" s="184">
        <f>G44</f>
        <v>1239.1594066050422</v>
      </c>
      <c r="C48" s="71" t="s">
        <v>31</v>
      </c>
      <c r="D48" s="119"/>
      <c r="E48" s="278"/>
      <c r="F48" s="274"/>
      <c r="G48" s="274"/>
      <c r="H48" s="97"/>
      <c r="I48" s="97"/>
      <c r="J48" s="115"/>
    </row>
    <row r="49" spans="1:10" x14ac:dyDescent="0.25">
      <c r="A49" s="70" t="s">
        <v>141</v>
      </c>
      <c r="B49" s="184">
        <f>G46</f>
        <v>32977.494392957982</v>
      </c>
      <c r="C49" s="71" t="s">
        <v>31</v>
      </c>
      <c r="D49" s="119"/>
      <c r="E49" s="279" t="s">
        <v>70</v>
      </c>
      <c r="F49" s="277">
        <f>1910.32</f>
        <v>1910.32</v>
      </c>
      <c r="G49" s="279">
        <f>F49/F47*C8</f>
        <v>7.8949191260504197</v>
      </c>
      <c r="H49" s="97"/>
      <c r="I49" s="97"/>
      <c r="J49" s="115"/>
    </row>
    <row r="50" spans="1:10" x14ac:dyDescent="0.25">
      <c r="A50" s="70" t="s">
        <v>44</v>
      </c>
      <c r="B50" s="184">
        <f>G51</f>
        <v>67.899809075630245</v>
      </c>
      <c r="C50" s="71" t="s">
        <v>31</v>
      </c>
      <c r="D50" s="119"/>
      <c r="E50" s="119"/>
      <c r="F50" s="120"/>
      <c r="G50" s="279"/>
      <c r="H50" s="97"/>
      <c r="I50" s="97"/>
      <c r="J50" s="115"/>
    </row>
    <row r="51" spans="1:10" x14ac:dyDescent="0.25">
      <c r="A51" s="70" t="s">
        <v>45</v>
      </c>
      <c r="B51" s="184">
        <f>G49</f>
        <v>7.8949191260504197</v>
      </c>
      <c r="C51" s="71" t="s">
        <v>31</v>
      </c>
      <c r="D51" s="119"/>
      <c r="E51" s="119" t="s">
        <v>125</v>
      </c>
      <c r="F51" s="280">
        <f>16429.6</f>
        <v>16429.599999999999</v>
      </c>
      <c r="G51" s="279">
        <f>F51/F47*C8</f>
        <v>67.899809075630245</v>
      </c>
      <c r="H51" s="97"/>
      <c r="I51" s="97"/>
      <c r="J51" s="115"/>
    </row>
    <row r="52" spans="1:10" x14ac:dyDescent="0.25">
      <c r="A52" s="70" t="s">
        <v>46</v>
      </c>
      <c r="B52" s="184">
        <v>4013.28</v>
      </c>
      <c r="C52" s="71" t="s">
        <v>31</v>
      </c>
      <c r="D52" s="101"/>
      <c r="E52" s="101"/>
      <c r="F52" s="131"/>
      <c r="G52" s="132"/>
      <c r="H52" s="97"/>
      <c r="I52" s="97"/>
      <c r="J52" s="115"/>
    </row>
    <row r="53" spans="1:10" x14ac:dyDescent="0.25">
      <c r="A53" s="70" t="s">
        <v>47</v>
      </c>
      <c r="B53" s="184"/>
      <c r="C53" s="71" t="s">
        <v>31</v>
      </c>
      <c r="D53" s="101"/>
      <c r="E53" s="101"/>
      <c r="F53" s="131"/>
      <c r="G53" s="132"/>
      <c r="H53" s="97"/>
      <c r="I53" s="97"/>
      <c r="J53" s="115"/>
    </row>
    <row r="54" spans="1:10" x14ac:dyDescent="0.25">
      <c r="A54" s="70" t="s">
        <v>48</v>
      </c>
      <c r="B54" s="184">
        <v>1771.2</v>
      </c>
      <c r="C54" s="71" t="s">
        <v>31</v>
      </c>
      <c r="D54" s="101"/>
      <c r="E54" s="101"/>
      <c r="F54" s="125"/>
      <c r="G54" s="97"/>
      <c r="H54" s="97"/>
      <c r="I54" s="97"/>
      <c r="J54" s="97"/>
    </row>
    <row r="55" spans="1:10" x14ac:dyDescent="0.25">
      <c r="A55" s="70" t="s">
        <v>49</v>
      </c>
      <c r="B55" s="184">
        <f>(B45+B46+B47+B48+B49+B51+B52+B53)*0.1</f>
        <v>8020.3572046184872</v>
      </c>
      <c r="C55" s="71" t="s">
        <v>31</v>
      </c>
      <c r="D55" s="101"/>
      <c r="E55" s="101"/>
      <c r="F55" s="125"/>
      <c r="G55" s="97"/>
      <c r="H55" s="97"/>
      <c r="I55" s="97"/>
      <c r="J55" s="97"/>
    </row>
    <row r="56" spans="1:10" x14ac:dyDescent="0.25">
      <c r="A56" s="67" t="s">
        <v>50</v>
      </c>
      <c r="B56" s="160">
        <f>C77</f>
        <v>29350</v>
      </c>
      <c r="C56" s="69" t="s">
        <v>31</v>
      </c>
      <c r="D56" s="122"/>
      <c r="E56" s="122"/>
      <c r="F56" s="123"/>
      <c r="G56" s="124"/>
      <c r="H56" s="124"/>
      <c r="I56" s="97"/>
      <c r="J56" s="97"/>
    </row>
    <row r="57" spans="1:10" x14ac:dyDescent="0.25">
      <c r="A57" s="67" t="s">
        <v>51</v>
      </c>
      <c r="B57" s="160"/>
      <c r="C57" s="69" t="s">
        <v>31</v>
      </c>
      <c r="D57" s="122"/>
      <c r="E57" s="122"/>
      <c r="F57" s="123"/>
      <c r="G57" s="124"/>
      <c r="H57" s="124"/>
    </row>
    <row r="58" spans="1:10" x14ac:dyDescent="0.25">
      <c r="A58" s="67" t="s">
        <v>52</v>
      </c>
      <c r="B58" s="160">
        <f>16957.69+27709+218055.05+18430.84</f>
        <v>281152.58</v>
      </c>
      <c r="C58" s="69" t="s">
        <v>31</v>
      </c>
      <c r="D58" s="56"/>
      <c r="E58" s="56"/>
      <c r="F58" s="3"/>
    </row>
    <row r="59" spans="1:10" x14ac:dyDescent="0.25">
      <c r="A59" s="67" t="s">
        <v>53</v>
      </c>
      <c r="B59" s="160">
        <f>33830.08</f>
        <v>33830.080000000002</v>
      </c>
      <c r="C59" s="69" t="s">
        <v>54</v>
      </c>
      <c r="D59" s="56"/>
      <c r="E59" s="56"/>
      <c r="F59" s="3"/>
    </row>
    <row r="60" spans="1:10" x14ac:dyDescent="0.25">
      <c r="A60" s="133" t="s">
        <v>154</v>
      </c>
      <c r="B60" s="134">
        <f>C36/1.02</f>
        <v>17086.215686274507</v>
      </c>
      <c r="C60" s="135"/>
      <c r="D60" s="56"/>
      <c r="E60" s="56"/>
      <c r="F60" s="3"/>
    </row>
    <row r="61" spans="1:10" ht="15.75" thickBot="1" x14ac:dyDescent="0.3">
      <c r="A61" s="73" t="s">
        <v>78</v>
      </c>
      <c r="B61" s="74">
        <f>G43</f>
        <v>743.89915966386559</v>
      </c>
      <c r="C61" s="75" t="s">
        <v>31</v>
      </c>
      <c r="D61" s="56"/>
      <c r="E61" s="56"/>
      <c r="F61" s="3"/>
    </row>
    <row r="62" spans="1:10" x14ac:dyDescent="0.25">
      <c r="A62" s="59"/>
      <c r="B62" s="60"/>
      <c r="C62" s="56"/>
      <c r="D62" s="56"/>
      <c r="E62" s="56"/>
      <c r="F62" s="3"/>
    </row>
    <row r="63" spans="1:10" x14ac:dyDescent="0.25">
      <c r="A63" s="59" t="s">
        <v>142</v>
      </c>
      <c r="B63" s="3">
        <f>C38+B42-B41</f>
        <v>58827.656094182574</v>
      </c>
      <c r="C63" s="56" t="s">
        <v>31</v>
      </c>
      <c r="D63" s="56"/>
      <c r="E63" s="56"/>
      <c r="F63" s="3"/>
    </row>
    <row r="64" spans="1:10" x14ac:dyDescent="0.25">
      <c r="A64" s="59" t="s">
        <v>130</v>
      </c>
      <c r="B64" s="2">
        <f>B65+B66+B67+B68+B69+B70</f>
        <v>34322.976094182603</v>
      </c>
      <c r="C64" s="56" t="s">
        <v>31</v>
      </c>
      <c r="D64" s="56"/>
      <c r="E64" s="56"/>
      <c r="F64" s="3"/>
    </row>
    <row r="65" spans="1:7" x14ac:dyDescent="0.25">
      <c r="A65" s="77" t="s">
        <v>56</v>
      </c>
      <c r="B65" s="78">
        <f>C20-B43-B61</f>
        <v>9041.3517804571311</v>
      </c>
      <c r="C65" s="56" t="s">
        <v>31</v>
      </c>
      <c r="D65" s="56"/>
      <c r="E65" s="56"/>
      <c r="F65" s="3"/>
    </row>
    <row r="66" spans="1:7" x14ac:dyDescent="0.25">
      <c r="A66" s="77" t="s">
        <v>57</v>
      </c>
      <c r="B66" s="78">
        <f>C22-B56</f>
        <v>-29350</v>
      </c>
      <c r="C66" s="56" t="s">
        <v>31</v>
      </c>
      <c r="D66" s="56"/>
      <c r="E66" s="56"/>
      <c r="F66" s="3"/>
    </row>
    <row r="67" spans="1:7" x14ac:dyDescent="0.25">
      <c r="A67" s="77" t="s">
        <v>58</v>
      </c>
      <c r="B67" s="78">
        <f>C26-B57</f>
        <v>0</v>
      </c>
      <c r="C67" s="56" t="s">
        <v>31</v>
      </c>
      <c r="D67" s="56"/>
      <c r="E67" s="56"/>
      <c r="F67" s="3"/>
    </row>
    <row r="68" spans="1:7" x14ac:dyDescent="0.25">
      <c r="A68" s="77" t="s">
        <v>59</v>
      </c>
      <c r="B68" s="78">
        <f>C27-B58</f>
        <v>49172.479999999981</v>
      </c>
      <c r="C68" s="56" t="s">
        <v>31</v>
      </c>
      <c r="D68" s="56"/>
      <c r="E68" s="56"/>
      <c r="F68" s="3"/>
    </row>
    <row r="69" spans="1:7" x14ac:dyDescent="0.25">
      <c r="A69" s="77" t="s">
        <v>60</v>
      </c>
      <c r="B69" s="78">
        <f>C34-B59</f>
        <v>5117.4199999999983</v>
      </c>
      <c r="C69" s="56" t="s">
        <v>31</v>
      </c>
      <c r="D69" s="56"/>
      <c r="E69" s="56"/>
      <c r="F69" s="3"/>
    </row>
    <row r="70" spans="1:7" x14ac:dyDescent="0.25">
      <c r="A70" s="77" t="s">
        <v>157</v>
      </c>
      <c r="B70" s="78">
        <f>C36-B60</f>
        <v>341.72431372549181</v>
      </c>
      <c r="C70" s="56" t="s">
        <v>31</v>
      </c>
    </row>
    <row r="71" spans="1:7" ht="15.75" thickBot="1" x14ac:dyDescent="0.3">
      <c r="A71" s="77"/>
      <c r="B71" s="78"/>
      <c r="C71" s="56"/>
      <c r="D71" s="98"/>
      <c r="E71" s="99"/>
      <c r="F71" s="100"/>
      <c r="G71" s="97"/>
    </row>
    <row r="72" spans="1:7" ht="15.75" thickBot="1" x14ac:dyDescent="0.3">
      <c r="A72" s="128" t="s">
        <v>146</v>
      </c>
      <c r="B72" s="129"/>
      <c r="C72" s="130"/>
      <c r="D72" s="101"/>
      <c r="E72" s="101"/>
      <c r="F72" s="101"/>
      <c r="G72" s="97"/>
    </row>
    <row r="73" spans="1:7" ht="51.75" thickBot="1" x14ac:dyDescent="0.3">
      <c r="A73" s="79" t="s">
        <v>80</v>
      </c>
      <c r="B73" s="80" t="s">
        <v>61</v>
      </c>
      <c r="C73" s="81" t="s">
        <v>67</v>
      </c>
      <c r="D73" s="102"/>
      <c r="E73" s="103"/>
      <c r="F73" s="104"/>
      <c r="G73" s="97"/>
    </row>
    <row r="74" spans="1:7" x14ac:dyDescent="0.25">
      <c r="A74" s="82" t="s">
        <v>62</v>
      </c>
      <c r="B74" s="113" t="s">
        <v>31</v>
      </c>
      <c r="C74" s="114" t="s">
        <v>31</v>
      </c>
      <c r="D74" s="102"/>
      <c r="E74" s="103"/>
      <c r="F74" s="104"/>
      <c r="G74" s="97"/>
    </row>
    <row r="75" spans="1:7" x14ac:dyDescent="0.25">
      <c r="A75" s="53" t="s">
        <v>213</v>
      </c>
      <c r="B75" s="43"/>
      <c r="C75" s="107">
        <v>4400</v>
      </c>
      <c r="D75" s="102"/>
      <c r="E75" s="103"/>
      <c r="F75" s="104"/>
      <c r="G75" s="97"/>
    </row>
    <row r="76" spans="1:7" ht="15.75" thickBot="1" x14ac:dyDescent="0.3">
      <c r="A76" s="140" t="s">
        <v>214</v>
      </c>
      <c r="B76" s="141"/>
      <c r="C76" s="142">
        <f>15375+8775+800</f>
        <v>24950</v>
      </c>
      <c r="D76" s="102"/>
      <c r="E76" s="103"/>
      <c r="F76" s="104"/>
      <c r="G76" s="97"/>
    </row>
    <row r="77" spans="1:7" ht="15.75" thickBot="1" x14ac:dyDescent="0.3">
      <c r="A77" s="83" t="s">
        <v>5</v>
      </c>
      <c r="B77" s="84">
        <f>B75</f>
        <v>0</v>
      </c>
      <c r="C77" s="283">
        <f>C75+C76</f>
        <v>29350</v>
      </c>
      <c r="D77" s="105"/>
      <c r="E77" s="103"/>
      <c r="F77" s="104"/>
      <c r="G77" s="97"/>
    </row>
    <row r="78" spans="1:7" x14ac:dyDescent="0.25">
      <c r="A78" s="31"/>
      <c r="B78" s="33"/>
      <c r="C78" s="87"/>
      <c r="D78" s="105"/>
      <c r="E78" s="103"/>
      <c r="F78" s="104"/>
      <c r="G78" s="97"/>
    </row>
    <row r="79" spans="1:7" x14ac:dyDescent="0.25">
      <c r="A79" s="164" t="s">
        <v>132</v>
      </c>
      <c r="B79" s="149"/>
      <c r="C79" s="215"/>
      <c r="D79" s="216"/>
      <c r="E79" s="89"/>
    </row>
    <row r="80" spans="1:7" x14ac:dyDescent="0.25">
      <c r="A80" s="217"/>
      <c r="B80" s="149"/>
      <c r="C80" s="215"/>
      <c r="D80" s="218"/>
      <c r="E80" s="89"/>
    </row>
    <row r="81" spans="1:6" x14ac:dyDescent="0.25">
      <c r="A81" s="165" t="s">
        <v>133</v>
      </c>
      <c r="B81" s="149" t="s">
        <v>134</v>
      </c>
      <c r="C81" s="219"/>
      <c r="D81" s="216"/>
      <c r="E81" s="89"/>
    </row>
    <row r="82" spans="1:6" x14ac:dyDescent="0.25">
      <c r="A82" s="165"/>
      <c r="B82" s="149"/>
      <c r="C82" s="219"/>
      <c r="D82" s="216"/>
      <c r="E82" s="89"/>
    </row>
    <row r="83" spans="1:6" x14ac:dyDescent="0.25">
      <c r="A83" s="220"/>
      <c r="B83" s="221"/>
      <c r="C83" s="219"/>
      <c r="D83" s="150"/>
      <c r="E83" s="56"/>
    </row>
    <row r="84" spans="1:6" ht="15.75" x14ac:dyDescent="0.25">
      <c r="A84" s="223" t="s">
        <v>63</v>
      </c>
      <c r="B84" s="224" t="s">
        <v>134</v>
      </c>
      <c r="C84" s="225"/>
      <c r="D84" s="226" t="s">
        <v>66</v>
      </c>
      <c r="E84" s="56"/>
    </row>
    <row r="85" spans="1:6" x14ac:dyDescent="0.25">
      <c r="A85" s="31"/>
      <c r="B85" s="33"/>
      <c r="C85" s="93"/>
      <c r="D85" s="105"/>
      <c r="E85" s="89"/>
    </row>
    <row r="86" spans="1:6" x14ac:dyDescent="0.25">
      <c r="A86" s="31"/>
      <c r="B86" s="33"/>
      <c r="C86" s="89"/>
      <c r="D86" s="88"/>
      <c r="E86" s="89"/>
    </row>
    <row r="87" spans="1:6" x14ac:dyDescent="0.25">
      <c r="A87" s="31"/>
      <c r="B87" s="33"/>
      <c r="C87" s="89"/>
      <c r="D87" s="93"/>
      <c r="E87" s="89"/>
    </row>
    <row r="88" spans="1:6" x14ac:dyDescent="0.25">
      <c r="A88" s="95"/>
      <c r="B88" s="96"/>
      <c r="C88" s="89"/>
      <c r="D88" s="93"/>
      <c r="E88" s="89"/>
    </row>
    <row r="89" spans="1:6" x14ac:dyDescent="0.25">
      <c r="A89" s="95"/>
      <c r="B89" s="96"/>
      <c r="C89" s="89"/>
      <c r="D89" s="93"/>
      <c r="E89" s="89"/>
      <c r="F89" s="94"/>
    </row>
    <row r="90" spans="1:6" x14ac:dyDescent="0.25">
      <c r="A90" s="31"/>
      <c r="B90" s="33"/>
      <c r="C90" s="89"/>
      <c r="D90" s="93"/>
      <c r="E90" s="89"/>
    </row>
    <row r="91" spans="1:6" x14ac:dyDescent="0.25">
      <c r="A91" s="31"/>
      <c r="B91" s="33"/>
      <c r="C91" s="56"/>
      <c r="D91" s="87"/>
      <c r="E91" s="89"/>
    </row>
    <row r="92" spans="1:6" x14ac:dyDescent="0.25">
      <c r="A92" s="19"/>
      <c r="B92" s="20"/>
      <c r="C92" s="89"/>
      <c r="D92" s="87"/>
      <c r="E92" s="89"/>
    </row>
    <row r="93" spans="1:6" x14ac:dyDescent="0.25">
      <c r="A93" s="31"/>
      <c r="B93" s="33"/>
      <c r="C93" s="89"/>
      <c r="D93" s="56"/>
      <c r="E93" s="56"/>
      <c r="F93" s="3"/>
    </row>
    <row r="94" spans="1:6" x14ac:dyDescent="0.25">
      <c r="A94" s="31"/>
      <c r="B94" s="33"/>
      <c r="C94" s="33"/>
      <c r="D94" s="56"/>
      <c r="E94" s="89"/>
    </row>
    <row r="95" spans="1:6" x14ac:dyDescent="0.25">
      <c r="A95" s="31"/>
      <c r="B95" s="33"/>
      <c r="C95" s="33"/>
      <c r="D95" s="56"/>
      <c r="E95" s="56"/>
    </row>
    <row r="96" spans="1:6" x14ac:dyDescent="0.25">
      <c r="A96" s="31"/>
      <c r="B96" s="33"/>
      <c r="C96" s="33"/>
      <c r="D96" s="89"/>
      <c r="E96" s="89"/>
    </row>
    <row r="97" spans="1:6" x14ac:dyDescent="0.25">
      <c r="A97" s="31"/>
      <c r="B97" s="33"/>
      <c r="D97" s="89"/>
      <c r="E97" s="89"/>
    </row>
    <row r="98" spans="1:6" x14ac:dyDescent="0.25">
      <c r="D98" s="89"/>
      <c r="E98" s="89"/>
    </row>
    <row r="99" spans="1:6" x14ac:dyDescent="0.25">
      <c r="D99" s="89"/>
      <c r="E99" s="89"/>
    </row>
    <row r="100" spans="1:6" x14ac:dyDescent="0.25">
      <c r="D100" s="89"/>
      <c r="E100" s="89"/>
    </row>
    <row r="101" spans="1:6" x14ac:dyDescent="0.25">
      <c r="D101" s="89"/>
      <c r="E101" s="89"/>
    </row>
    <row r="102" spans="1:6" x14ac:dyDescent="0.25">
      <c r="B102"/>
      <c r="C102"/>
      <c r="D102" s="56"/>
      <c r="E102" s="56"/>
      <c r="F102" s="3"/>
    </row>
    <row r="103" spans="1:6" x14ac:dyDescent="0.25">
      <c r="B103"/>
      <c r="C103"/>
      <c r="D103" s="89"/>
      <c r="E103" s="89"/>
      <c r="F103" s="3"/>
    </row>
    <row r="104" spans="1:6" x14ac:dyDescent="0.25">
      <c r="B104"/>
      <c r="C104"/>
      <c r="D104" s="89"/>
      <c r="E104" s="89"/>
    </row>
    <row r="105" spans="1:6" x14ac:dyDescent="0.25">
      <c r="B105"/>
      <c r="C105"/>
      <c r="D105" s="33"/>
      <c r="E105" s="33"/>
    </row>
    <row r="106" spans="1:6" x14ac:dyDescent="0.25">
      <c r="B106"/>
      <c r="C106"/>
      <c r="D106" s="33"/>
      <c r="E106" s="33"/>
    </row>
    <row r="107" spans="1:6" x14ac:dyDescent="0.25">
      <c r="D107" s="33"/>
      <c r="E107" s="33"/>
    </row>
  </sheetData>
  <pageMargins left="0.70866141732283472" right="0.70866141732283472" top="0.74803149606299213" bottom="0.74803149606299213" header="0.31496062992125984" footer="0.31496062992125984"/>
  <pageSetup paperSize="9" scale="5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V110"/>
  <sheetViews>
    <sheetView view="pageBreakPreview" topLeftCell="A55" zoomScale="60" zoomScaleNormal="100" workbookViewId="0">
      <selection activeCell="B43" sqref="B43:B61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190</v>
      </c>
      <c r="B2" s="2"/>
      <c r="C2" s="2"/>
      <c r="D2" s="2"/>
    </row>
    <row r="3" spans="1:22" ht="15.75" thickBot="1" x14ac:dyDescent="0.3">
      <c r="A3" s="1"/>
      <c r="B3" s="2"/>
      <c r="C3" s="2"/>
      <c r="D3" s="2"/>
      <c r="L3" s="108"/>
      <c r="M3" s="108"/>
      <c r="N3" s="108"/>
      <c r="O3" s="108"/>
    </row>
    <row r="4" spans="1:22" ht="15.75" thickBot="1" x14ac:dyDescent="0.3">
      <c r="A4" s="22" t="s">
        <v>0</v>
      </c>
      <c r="B4" s="126"/>
      <c r="C4" s="126"/>
      <c r="D4" s="127"/>
      <c r="L4" s="108"/>
      <c r="M4" s="108"/>
      <c r="N4" s="108"/>
      <c r="O4" s="108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L5" s="108"/>
      <c r="M5" s="108"/>
      <c r="N5" s="108"/>
      <c r="O5" s="108"/>
    </row>
    <row r="6" spans="1:22" x14ac:dyDescent="0.25">
      <c r="A6" s="10" t="s">
        <v>82</v>
      </c>
      <c r="B6" s="11"/>
      <c r="C6" s="11">
        <v>669.7</v>
      </c>
      <c r="D6" s="12">
        <v>47</v>
      </c>
      <c r="L6" s="108"/>
      <c r="M6" s="108"/>
      <c r="N6" s="108"/>
      <c r="O6" s="108"/>
    </row>
    <row r="7" spans="1:22" x14ac:dyDescent="0.25">
      <c r="A7" s="13"/>
      <c r="B7" s="14"/>
      <c r="C7" s="14"/>
      <c r="D7" s="15"/>
      <c r="L7" s="108"/>
      <c r="M7" s="108"/>
      <c r="N7" s="108"/>
      <c r="O7" s="108"/>
    </row>
    <row r="8" spans="1:22" ht="15.75" thickBot="1" x14ac:dyDescent="0.3">
      <c r="A8" s="16" t="s">
        <v>5</v>
      </c>
      <c r="B8" s="17"/>
      <c r="C8" s="17">
        <f>C6+C7</f>
        <v>669.7</v>
      </c>
      <c r="D8" s="18">
        <f>D6</f>
        <v>47</v>
      </c>
      <c r="L8" s="108"/>
      <c r="M8" s="108"/>
      <c r="N8" s="108"/>
      <c r="O8" s="108"/>
    </row>
    <row r="9" spans="1:22" ht="15.75" thickBot="1" x14ac:dyDescent="0.3">
      <c r="A9" s="19"/>
      <c r="B9" s="20"/>
      <c r="C9" s="20"/>
      <c r="D9" s="21"/>
      <c r="L9" s="108"/>
      <c r="M9" s="108"/>
      <c r="N9" s="108"/>
      <c r="O9" s="108"/>
    </row>
    <row r="10" spans="1:22" ht="15.75" thickBot="1" x14ac:dyDescent="0.3">
      <c r="A10" s="22" t="s">
        <v>191</v>
      </c>
      <c r="B10" s="23"/>
      <c r="C10" s="23"/>
      <c r="D10" s="24" t="s">
        <v>6</v>
      </c>
      <c r="F10" s="97"/>
      <c r="G10" s="97"/>
      <c r="H10" s="97"/>
      <c r="I10" s="97"/>
      <c r="J10" s="97"/>
      <c r="K10" s="97"/>
      <c r="L10" s="108"/>
      <c r="M10" s="108"/>
      <c r="N10" s="108"/>
      <c r="O10" s="108"/>
    </row>
    <row r="11" spans="1:22" x14ac:dyDescent="0.25">
      <c r="A11" s="25" t="s">
        <v>7</v>
      </c>
      <c r="B11" s="20"/>
      <c r="C11" s="20"/>
      <c r="D11" s="26">
        <v>17.059999999999999</v>
      </c>
      <c r="F11" s="97"/>
      <c r="G11" s="97"/>
      <c r="H11" s="97"/>
      <c r="I11" s="97"/>
      <c r="J11" s="97"/>
      <c r="K11" s="97"/>
      <c r="L11" s="108"/>
      <c r="M11" s="108"/>
      <c r="N11" s="108"/>
      <c r="O11" s="108"/>
    </row>
    <row r="12" spans="1:22" x14ac:dyDescent="0.25">
      <c r="A12" s="25" t="s">
        <v>8</v>
      </c>
      <c r="B12" s="20"/>
      <c r="C12" s="20"/>
      <c r="D12" s="27">
        <v>6.01</v>
      </c>
      <c r="F12" s="97"/>
      <c r="G12" s="97"/>
      <c r="H12" s="97"/>
      <c r="I12" s="97"/>
      <c r="J12" s="97"/>
      <c r="K12" s="97"/>
      <c r="L12" s="108"/>
      <c r="M12" s="108"/>
      <c r="N12" s="108"/>
      <c r="O12" s="108"/>
    </row>
    <row r="13" spans="1:22" x14ac:dyDescent="0.25">
      <c r="A13" s="25" t="s">
        <v>9</v>
      </c>
      <c r="B13" s="20"/>
      <c r="C13" s="20"/>
      <c r="D13" s="26"/>
      <c r="F13" s="97"/>
      <c r="G13" s="97"/>
      <c r="H13" s="97"/>
      <c r="I13" s="97"/>
      <c r="J13" s="97"/>
      <c r="K13" s="97"/>
      <c r="L13" s="108"/>
      <c r="M13" s="108"/>
      <c r="N13" s="108"/>
      <c r="O13" s="108"/>
    </row>
    <row r="14" spans="1:22" ht="15.75" thickBot="1" x14ac:dyDescent="0.3">
      <c r="A14" s="28" t="s">
        <v>10</v>
      </c>
      <c r="B14" s="29"/>
      <c r="C14" s="29"/>
      <c r="D14" s="30">
        <v>0</v>
      </c>
      <c r="F14" s="97"/>
      <c r="G14" s="97"/>
      <c r="H14" s="97"/>
      <c r="I14" s="97"/>
      <c r="J14" s="97"/>
      <c r="K14" s="97"/>
      <c r="L14" s="108"/>
      <c r="M14" s="108"/>
      <c r="N14" s="108"/>
      <c r="O14" s="108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97"/>
      <c r="G15" s="97"/>
      <c r="H15" s="97"/>
      <c r="I15" s="97"/>
      <c r="J15" s="97"/>
      <c r="K15" s="97"/>
      <c r="L15" s="108"/>
      <c r="M15" s="108"/>
      <c r="N15" s="108"/>
      <c r="O15" s="108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113</v>
      </c>
      <c r="B16" s="126"/>
      <c r="C16" s="126"/>
      <c r="D16" s="126"/>
      <c r="E16" s="127"/>
      <c r="F16" s="97"/>
      <c r="G16" s="97"/>
      <c r="H16" s="97"/>
      <c r="I16" s="97"/>
      <c r="J16" s="97"/>
      <c r="K16" s="97"/>
      <c r="L16" s="108"/>
      <c r="M16" s="109"/>
      <c r="N16" s="109"/>
      <c r="O16" s="108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39"/>
      <c r="F17" s="97"/>
      <c r="G17" s="97"/>
      <c r="H17" s="97"/>
      <c r="I17" s="97"/>
      <c r="J17" s="97"/>
      <c r="K17" s="97"/>
      <c r="L17" s="109"/>
      <c r="M17" s="110"/>
      <c r="N17" s="109"/>
      <c r="O17" s="108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39"/>
      <c r="F18" s="97"/>
      <c r="G18" s="97"/>
      <c r="H18" s="97"/>
      <c r="I18" s="97"/>
      <c r="J18" s="97"/>
      <c r="K18" s="97"/>
      <c r="L18" s="108"/>
      <c r="M18" s="108"/>
      <c r="N18" s="108"/>
      <c r="O18" s="108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114</v>
      </c>
      <c r="C19" s="38" t="s">
        <v>115</v>
      </c>
      <c r="D19" s="38" t="s">
        <v>116</v>
      </c>
      <c r="E19" s="39" t="s">
        <v>117</v>
      </c>
      <c r="F19" s="97"/>
      <c r="G19" s="97"/>
      <c r="H19" s="97"/>
      <c r="I19" s="97"/>
      <c r="J19" s="97"/>
      <c r="K19" s="97"/>
      <c r="L19" s="108"/>
      <c r="M19" s="111"/>
      <c r="N19" s="111"/>
      <c r="O19" s="108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171">
        <v>55216.37</v>
      </c>
      <c r="C20" s="171">
        <f>136923.08-13.82</f>
        <v>136909.25999999998</v>
      </c>
      <c r="D20" s="171">
        <f>112136.84+475.17</f>
        <v>112612.01</v>
      </c>
      <c r="E20" s="42">
        <f t="shared" ref="E20:E38" si="0">C20-D20+B20</f>
        <v>79513.62</v>
      </c>
      <c r="F20" s="116">
        <f>C20+F22</f>
        <v>156905.49999999997</v>
      </c>
      <c r="G20" s="117">
        <f>100</f>
        <v>100</v>
      </c>
      <c r="H20" s="115" t="s">
        <v>64</v>
      </c>
      <c r="I20" s="97"/>
      <c r="J20" s="97"/>
      <c r="K20" s="97"/>
      <c r="L20" s="108"/>
      <c r="M20" s="108"/>
      <c r="N20" s="108"/>
      <c r="O20" s="108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173"/>
      <c r="C21" s="173"/>
      <c r="D21" s="173"/>
      <c r="E21" s="45">
        <f t="shared" si="0"/>
        <v>0</v>
      </c>
      <c r="F21" s="116"/>
      <c r="G21" s="117"/>
      <c r="H21" s="115"/>
      <c r="I21" s="97"/>
      <c r="J21" s="97"/>
      <c r="K21" s="97"/>
      <c r="L21" s="108"/>
      <c r="M21" s="108"/>
      <c r="N21" s="108"/>
      <c r="O21" s="108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173">
        <v>7669.08</v>
      </c>
      <c r="C22" s="173">
        <f>20001.11-4.87</f>
        <v>19996.240000000002</v>
      </c>
      <c r="D22" s="173">
        <f>15479.66+167.39</f>
        <v>15647.05</v>
      </c>
      <c r="E22" s="45">
        <f t="shared" si="0"/>
        <v>12018.270000000002</v>
      </c>
      <c r="F22" s="116">
        <f>C22</f>
        <v>19996.240000000002</v>
      </c>
      <c r="G22" s="118">
        <f>F22*G20/F20</f>
        <v>12.744129428222724</v>
      </c>
      <c r="H22" s="115" t="s">
        <v>64</v>
      </c>
      <c r="I22" s="97"/>
      <c r="J22" s="97"/>
      <c r="K22" s="97"/>
      <c r="L22" s="108"/>
      <c r="M22" s="108"/>
      <c r="N22" s="111"/>
      <c r="O22" s="108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173"/>
      <c r="C23" s="173"/>
      <c r="D23" s="173"/>
      <c r="E23" s="45">
        <f t="shared" si="0"/>
        <v>0</v>
      </c>
      <c r="F23" s="97"/>
      <c r="G23" s="97"/>
      <c r="H23" s="97"/>
      <c r="I23" s="97"/>
      <c r="J23" s="97"/>
      <c r="K23" s="97"/>
      <c r="L23" s="108"/>
      <c r="M23" s="108"/>
      <c r="N23" s="108"/>
      <c r="O23" s="108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173"/>
      <c r="C24" s="173"/>
      <c r="D24" s="173"/>
      <c r="E24" s="45">
        <f t="shared" si="0"/>
        <v>0</v>
      </c>
      <c r="F24" s="97"/>
      <c r="G24" s="97"/>
      <c r="H24" s="97"/>
      <c r="I24" s="97"/>
      <c r="J24" s="97"/>
      <c r="K24" s="97"/>
      <c r="L24" s="108"/>
      <c r="M24" s="108"/>
      <c r="N24" s="108"/>
      <c r="O24" s="108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173"/>
      <c r="C25" s="173"/>
      <c r="D25" s="173"/>
      <c r="E25" s="45">
        <f t="shared" si="0"/>
        <v>0</v>
      </c>
      <c r="F25" s="97"/>
      <c r="G25" s="97"/>
      <c r="H25" s="97"/>
      <c r="I25" s="97"/>
      <c r="J25" s="97"/>
      <c r="K25" s="97"/>
      <c r="L25" s="108"/>
      <c r="M25" s="108"/>
      <c r="N25" s="108"/>
      <c r="O25" s="108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173"/>
      <c r="C26" s="173"/>
      <c r="D26" s="173"/>
      <c r="E26" s="45">
        <f t="shared" si="0"/>
        <v>0</v>
      </c>
      <c r="F26" s="97"/>
      <c r="G26" s="97"/>
      <c r="H26" s="97"/>
      <c r="I26" s="97"/>
      <c r="J26" s="97"/>
      <c r="K26" s="97"/>
      <c r="L26" s="108"/>
      <c r="M26" s="108"/>
      <c r="N26" s="108"/>
      <c r="O26" s="108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193</v>
      </c>
      <c r="B27" s="173">
        <f>-483.86+888.12</f>
        <v>404.26</v>
      </c>
      <c r="C27" s="173">
        <f>1920+3.86</f>
        <v>1923.86</v>
      </c>
      <c r="D27" s="173">
        <f>24.2+1494.42+16.2</f>
        <v>1534.8200000000002</v>
      </c>
      <c r="E27" s="45">
        <f t="shared" si="0"/>
        <v>793.29999999999973</v>
      </c>
      <c r="F27" s="97"/>
      <c r="G27" s="97"/>
      <c r="H27" s="97"/>
      <c r="I27" s="97"/>
      <c r="J27" s="97"/>
      <c r="K27" s="97"/>
      <c r="L27" s="108"/>
      <c r="M27" s="108"/>
      <c r="N27" s="108"/>
      <c r="O27" s="108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177">
        <f>B29+B30+B31+B33+B32</f>
        <v>164946.12</v>
      </c>
      <c r="C28" s="197">
        <f>C29+C30+C31+C33</f>
        <v>328389.53000000003</v>
      </c>
      <c r="D28" s="197">
        <f>D29+D30+D31+D33</f>
        <v>321721.46000000002</v>
      </c>
      <c r="E28" s="51">
        <f>C28-D28+B28</f>
        <v>171614.19</v>
      </c>
      <c r="F28" s="97"/>
      <c r="G28" s="97"/>
      <c r="H28" s="97"/>
      <c r="I28" s="97"/>
      <c r="J28" s="97"/>
      <c r="K28" s="97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171">
        <v>78344.08</v>
      </c>
      <c r="C29" s="171">
        <f>221690.93-44911.59</f>
        <v>176779.34</v>
      </c>
      <c r="D29" s="171">
        <f>173226.03+791.49</f>
        <v>174017.52</v>
      </c>
      <c r="E29" s="42">
        <f t="shared" si="0"/>
        <v>81105.900000000009</v>
      </c>
      <c r="F29" s="97"/>
      <c r="G29" s="97"/>
      <c r="H29" s="97"/>
      <c r="I29" s="97"/>
      <c r="J29" s="97"/>
      <c r="K29" s="97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23</v>
      </c>
      <c r="B30" s="43">
        <v>55553.38</v>
      </c>
      <c r="C30" s="43">
        <f>126394.64-49263.81+1605.1-963.06</f>
        <v>77772.87000000001</v>
      </c>
      <c r="D30" s="43">
        <f>86387.8+748.17+938.11+3.6</f>
        <v>88077.680000000008</v>
      </c>
      <c r="E30" s="45">
        <f t="shared" si="0"/>
        <v>45248.57</v>
      </c>
      <c r="F30" s="97"/>
      <c r="G30" s="97"/>
      <c r="H30" s="97"/>
      <c r="I30" s="97"/>
      <c r="J30" s="97"/>
      <c r="K30" s="97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43">
        <v>10831.66</v>
      </c>
      <c r="C31" s="43">
        <f>27773.95-866.4+280.89</f>
        <v>27188.44</v>
      </c>
      <c r="D31" s="43">
        <f>21273.35+151.54+136.82+0.53</f>
        <v>21562.239999999998</v>
      </c>
      <c r="E31" s="45">
        <f t="shared" si="0"/>
        <v>16457.86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hidden="1" x14ac:dyDescent="0.25">
      <c r="A32" s="53" t="s">
        <v>72</v>
      </c>
      <c r="B32" s="43"/>
      <c r="C32" s="43"/>
      <c r="D32" s="43"/>
      <c r="E32" s="45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43">
        <v>20217</v>
      </c>
      <c r="C33" s="43">
        <f>48047.33-1398.45</f>
        <v>46648.880000000005</v>
      </c>
      <c r="D33" s="43">
        <f>37794.9+269.12</f>
        <v>38064.020000000004</v>
      </c>
      <c r="E33" s="45">
        <f t="shared" si="0"/>
        <v>28801.86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74</v>
      </c>
      <c r="B35" s="54">
        <f>-4671.1+21707.1</f>
        <v>17036</v>
      </c>
      <c r="C35" s="55">
        <f>41644.14+858.38</f>
        <v>42502.52</v>
      </c>
      <c r="D35" s="55">
        <f>35986.02+267.18+199.99</f>
        <v>36453.189999999995</v>
      </c>
      <c r="E35" s="45">
        <f t="shared" si="0"/>
        <v>23085.33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155</v>
      </c>
      <c r="B37" s="44">
        <f>4165.87+3079.04</f>
        <v>7244.91</v>
      </c>
      <c r="C37" s="44">
        <f>12843.15+2060.74+1624.32-3981.99-2707.59-5160</f>
        <v>4678.6299999999992</v>
      </c>
      <c r="D37" s="44">
        <f>8097.12+3038.57+2379.26+52.02</f>
        <v>13566.970000000001</v>
      </c>
      <c r="E37" s="45">
        <f t="shared" si="0"/>
        <v>-1643.4300000000021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/>
      <c r="C38" s="46"/>
      <c r="D38" s="46"/>
      <c r="E38" s="47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252516.74000000002</v>
      </c>
      <c r="C39" s="58">
        <f>C20+C21+C22+C23+C24+C25+C26+C28+C35+C36+C37+C38+C27</f>
        <v>534400.04</v>
      </c>
      <c r="D39" s="58">
        <f>D20+D21+D22+D23+D24+D25+D26+D28+D35+D36+D37+D38+D27</f>
        <v>501535.50000000006</v>
      </c>
      <c r="E39" s="58">
        <f>E20+E21+E22+E23+E24+E25+E26+E28+E35+E36+E37+E38+E27</f>
        <v>285381.28000000003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59"/>
      <c r="B40" s="60"/>
      <c r="C40" s="56"/>
      <c r="D40" s="56"/>
      <c r="E40" s="56"/>
      <c r="F40" s="136"/>
      <c r="G40" s="137"/>
      <c r="H40" s="137"/>
      <c r="I40" s="137"/>
      <c r="J40" s="137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59"/>
      <c r="B41" s="60"/>
      <c r="C41" s="56"/>
      <c r="D41" s="119"/>
      <c r="E41" s="119"/>
      <c r="F41" s="138"/>
      <c r="G41" s="115"/>
      <c r="H41" s="97"/>
      <c r="I41" s="97"/>
      <c r="J41" s="137"/>
    </row>
    <row r="42" spans="1:22" ht="15.75" thickBot="1" x14ac:dyDescent="0.3">
      <c r="A42" s="61" t="s">
        <v>30</v>
      </c>
      <c r="B42" s="62">
        <f>B44+B59+B60+B57+B62+B58+B61</f>
        <v>464694.22294789128</v>
      </c>
      <c r="C42" s="63" t="s">
        <v>31</v>
      </c>
      <c r="D42" s="119">
        <f>C39-B42-B62</f>
        <v>68692.825455470098</v>
      </c>
      <c r="E42" s="272" t="s">
        <v>32</v>
      </c>
      <c r="F42" s="273">
        <f>5512727.45</f>
        <v>5512727.4500000002</v>
      </c>
      <c r="G42" s="274">
        <f>F42/F48*C8</f>
        <v>31024.147674495798</v>
      </c>
      <c r="H42" s="97"/>
      <c r="I42" s="97"/>
      <c r="J42" s="137"/>
    </row>
    <row r="43" spans="1:22" x14ac:dyDescent="0.25">
      <c r="A43" s="59" t="s">
        <v>192</v>
      </c>
      <c r="B43" s="285">
        <f>37188.51</f>
        <v>37188.51</v>
      </c>
      <c r="C43" s="66"/>
      <c r="D43" s="119"/>
      <c r="E43" s="272" t="s">
        <v>33</v>
      </c>
      <c r="F43" s="273">
        <f>1264951.09</f>
        <v>1264951.0900000001</v>
      </c>
      <c r="G43" s="274">
        <f>F43/F48*C8</f>
        <v>7118.8045796050437</v>
      </c>
      <c r="H43" s="97"/>
      <c r="I43" s="97"/>
      <c r="J43" s="137"/>
    </row>
    <row r="44" spans="1:22" x14ac:dyDescent="0.25">
      <c r="A44" s="67" t="s">
        <v>34</v>
      </c>
      <c r="B44" s="160">
        <f>B45+B46+B48+B49+B50+B51+B52+B53+B54+B55+B56+B47</f>
        <v>118047.40919438988</v>
      </c>
      <c r="C44" s="69" t="s">
        <v>31</v>
      </c>
      <c r="D44" s="119"/>
      <c r="E44" s="272" t="s">
        <v>35</v>
      </c>
      <c r="F44" s="273">
        <v>180000</v>
      </c>
      <c r="G44" s="274">
        <f>F44/F48*C8</f>
        <v>1012.9915966386556</v>
      </c>
      <c r="H44" s="97"/>
      <c r="I44" s="97"/>
      <c r="J44" s="137"/>
    </row>
    <row r="45" spans="1:22" x14ac:dyDescent="0.25">
      <c r="A45" s="70" t="s">
        <v>76</v>
      </c>
      <c r="B45" s="184">
        <v>12778.71</v>
      </c>
      <c r="C45" s="71" t="s">
        <v>31</v>
      </c>
      <c r="D45" s="119"/>
      <c r="E45" s="272" t="s">
        <v>18</v>
      </c>
      <c r="F45" s="273">
        <f>299837.27</f>
        <v>299837.27</v>
      </c>
      <c r="G45" s="274">
        <f>F45/F48*C8</f>
        <v>1687.4035270504205</v>
      </c>
      <c r="H45" s="97"/>
      <c r="I45" s="97"/>
      <c r="J45" s="137"/>
    </row>
    <row r="46" spans="1:22" x14ac:dyDescent="0.25">
      <c r="A46" s="72" t="s">
        <v>37</v>
      </c>
      <c r="B46" s="184">
        <f>G42+G43</f>
        <v>38142.952254100841</v>
      </c>
      <c r="C46" s="71" t="s">
        <v>31</v>
      </c>
      <c r="D46" s="119"/>
      <c r="E46" s="275" t="s">
        <v>38</v>
      </c>
      <c r="F46" s="273">
        <f>7000+1260+30890+4200</f>
        <v>43350</v>
      </c>
      <c r="G46" s="274">
        <f>F46/F48*C8</f>
        <v>243.96214285714285</v>
      </c>
      <c r="H46" s="97"/>
      <c r="I46" s="97"/>
      <c r="J46" s="137"/>
    </row>
    <row r="47" spans="1:22" x14ac:dyDescent="0.25">
      <c r="A47" s="72" t="s">
        <v>39</v>
      </c>
      <c r="B47" s="184">
        <v>2880</v>
      </c>
      <c r="C47" s="71" t="s">
        <v>31</v>
      </c>
      <c r="D47" s="119"/>
      <c r="E47" s="274" t="s">
        <v>12</v>
      </c>
      <c r="F47" s="273">
        <f>8022857.59-F46</f>
        <v>7979507.5899999999</v>
      </c>
      <c r="G47" s="274">
        <f>F47/F48*C8</f>
        <v>44906.522966579832</v>
      </c>
      <c r="H47" s="97"/>
      <c r="I47" s="97"/>
      <c r="J47" s="137"/>
    </row>
    <row r="48" spans="1:22" x14ac:dyDescent="0.25">
      <c r="A48" s="70" t="s">
        <v>40</v>
      </c>
      <c r="B48" s="184">
        <f>G46+1741.25</f>
        <v>1985.2121428571429</v>
      </c>
      <c r="C48" s="71" t="s">
        <v>31</v>
      </c>
      <c r="D48" s="119"/>
      <c r="E48" s="276" t="s">
        <v>41</v>
      </c>
      <c r="F48" s="277">
        <f>119000</f>
        <v>119000</v>
      </c>
      <c r="G48" s="274"/>
      <c r="H48" s="97"/>
      <c r="I48" s="97"/>
      <c r="J48" s="137"/>
    </row>
    <row r="49" spans="1:10" x14ac:dyDescent="0.25">
      <c r="A49" s="70" t="s">
        <v>42</v>
      </c>
      <c r="B49" s="184">
        <f>G45</f>
        <v>1687.4035270504205</v>
      </c>
      <c r="C49" s="71" t="s">
        <v>31</v>
      </c>
      <c r="D49" s="119"/>
      <c r="E49" s="278"/>
      <c r="F49" s="274"/>
      <c r="G49" s="274"/>
      <c r="H49" s="97"/>
      <c r="I49" s="97"/>
      <c r="J49" s="137"/>
    </row>
    <row r="50" spans="1:10" x14ac:dyDescent="0.25">
      <c r="A50" s="70" t="s">
        <v>141</v>
      </c>
      <c r="B50" s="184">
        <f>G47</f>
        <v>44906.522966579832</v>
      </c>
      <c r="C50" s="71" t="s">
        <v>31</v>
      </c>
      <c r="D50" s="119"/>
      <c r="E50" s="279" t="s">
        <v>70</v>
      </c>
      <c r="F50" s="277">
        <f>1910.32</f>
        <v>1910.32</v>
      </c>
      <c r="G50" s="279">
        <f>F50/F48*C8</f>
        <v>10.750767260504201</v>
      </c>
      <c r="H50" s="97"/>
      <c r="I50" s="97"/>
      <c r="J50" s="137"/>
    </row>
    <row r="51" spans="1:10" x14ac:dyDescent="0.25">
      <c r="A51" s="70" t="s">
        <v>44</v>
      </c>
      <c r="B51" s="184">
        <f>G52</f>
        <v>92.461370756302514</v>
      </c>
      <c r="C51" s="71" t="s">
        <v>31</v>
      </c>
      <c r="D51" s="119"/>
      <c r="E51" s="119"/>
      <c r="F51" s="120"/>
      <c r="G51" s="279"/>
      <c r="H51" s="97"/>
      <c r="I51" s="97"/>
      <c r="J51" s="137"/>
    </row>
    <row r="52" spans="1:10" x14ac:dyDescent="0.25">
      <c r="A52" s="70" t="s">
        <v>45</v>
      </c>
      <c r="B52" s="184">
        <f>G50</f>
        <v>10.750767260504201</v>
      </c>
      <c r="C52" s="71" t="s">
        <v>31</v>
      </c>
      <c r="D52" s="119"/>
      <c r="E52" s="119" t="s">
        <v>69</v>
      </c>
      <c r="F52" s="280">
        <f>16429.6</f>
        <v>16429.599999999999</v>
      </c>
      <c r="G52" s="279">
        <f>F52/F48*C8</f>
        <v>92.461370756302514</v>
      </c>
      <c r="H52" s="97"/>
      <c r="I52" s="97"/>
      <c r="J52" s="137"/>
    </row>
    <row r="53" spans="1:10" x14ac:dyDescent="0.25">
      <c r="A53" s="70" t="s">
        <v>46</v>
      </c>
      <c r="B53" s="184">
        <v>3813.12</v>
      </c>
      <c r="C53" s="71" t="s">
        <v>31</v>
      </c>
      <c r="D53" s="119"/>
      <c r="E53" s="119"/>
      <c r="F53" s="120"/>
      <c r="G53" s="121"/>
      <c r="H53" s="97"/>
      <c r="I53" s="97"/>
      <c r="J53" s="137"/>
    </row>
    <row r="54" spans="1:10" x14ac:dyDescent="0.25">
      <c r="A54" s="70" t="s">
        <v>47</v>
      </c>
      <c r="B54" s="184"/>
      <c r="C54" s="71" t="s">
        <v>31</v>
      </c>
      <c r="D54" s="119"/>
      <c r="E54" s="119"/>
      <c r="F54" s="120"/>
      <c r="G54" s="121"/>
      <c r="H54" s="97"/>
      <c r="I54" s="97"/>
      <c r="J54" s="137"/>
    </row>
    <row r="55" spans="1:10" x14ac:dyDescent="0.25">
      <c r="A55" s="70" t="s">
        <v>48</v>
      </c>
      <c r="B55" s="184">
        <v>2407.6799999999998</v>
      </c>
      <c r="C55" s="71" t="s">
        <v>31</v>
      </c>
      <c r="D55" s="119"/>
      <c r="E55" s="119"/>
      <c r="F55" s="138"/>
      <c r="G55" s="115"/>
      <c r="H55" s="97"/>
      <c r="I55" s="97"/>
      <c r="J55" s="137"/>
    </row>
    <row r="56" spans="1:10" x14ac:dyDescent="0.25">
      <c r="A56" s="70" t="s">
        <v>49</v>
      </c>
      <c r="B56" s="184">
        <f>(B46+B47+B48+B49+B50+B52+B53+B54)*0.1</f>
        <v>9342.5961657848729</v>
      </c>
      <c r="C56" s="71" t="s">
        <v>31</v>
      </c>
      <c r="D56" s="101"/>
      <c r="E56" s="101"/>
      <c r="F56" s="125"/>
      <c r="G56" s="97"/>
      <c r="H56" s="97"/>
      <c r="I56" s="97"/>
      <c r="J56" s="137"/>
    </row>
    <row r="57" spans="1:10" x14ac:dyDescent="0.25">
      <c r="A57" s="67" t="s">
        <v>50</v>
      </c>
      <c r="B57" s="160">
        <f>C78</f>
        <v>21764</v>
      </c>
      <c r="C57" s="69" t="s">
        <v>31</v>
      </c>
      <c r="D57" s="122"/>
      <c r="E57" s="122"/>
      <c r="F57" s="123"/>
      <c r="G57" s="124"/>
      <c r="H57" s="124"/>
      <c r="I57" s="97"/>
      <c r="J57" s="97"/>
    </row>
    <row r="58" spans="1:10" x14ac:dyDescent="0.25">
      <c r="A58" s="67" t="s">
        <v>51</v>
      </c>
      <c r="B58" s="160"/>
      <c r="C58" s="69" t="s">
        <v>31</v>
      </c>
      <c r="D58" s="122"/>
      <c r="E58" s="122"/>
      <c r="F58" s="123"/>
      <c r="G58" s="124"/>
      <c r="H58" s="124"/>
    </row>
    <row r="59" spans="1:10" x14ac:dyDescent="0.25">
      <c r="A59" s="67" t="s">
        <v>52</v>
      </c>
      <c r="B59" s="160">
        <f>4527.11+20530.85+238999.9+19313.94</f>
        <v>283371.8</v>
      </c>
      <c r="C59" s="69" t="s">
        <v>31</v>
      </c>
      <c r="D59" s="56"/>
      <c r="E59" s="56"/>
      <c r="F59" s="3"/>
    </row>
    <row r="60" spans="1:10" x14ac:dyDescent="0.25">
      <c r="A60" s="67" t="s">
        <v>53</v>
      </c>
      <c r="B60" s="160">
        <v>35911.129999999997</v>
      </c>
      <c r="C60" s="69" t="s">
        <v>54</v>
      </c>
      <c r="D60" s="56"/>
      <c r="E60" s="56"/>
      <c r="F60" s="3"/>
    </row>
    <row r="61" spans="1:10" x14ac:dyDescent="0.25">
      <c r="A61" s="133" t="s">
        <v>154</v>
      </c>
      <c r="B61" s="258">
        <f>C37/1.02</f>
        <v>4586.8921568627438</v>
      </c>
      <c r="C61" s="135"/>
      <c r="D61" s="56"/>
      <c r="E61" s="56"/>
      <c r="F61" s="3"/>
    </row>
    <row r="62" spans="1:10" ht="15.75" thickBot="1" x14ac:dyDescent="0.3">
      <c r="A62" s="73" t="s">
        <v>78</v>
      </c>
      <c r="B62" s="74">
        <f>G44</f>
        <v>1012.9915966386556</v>
      </c>
      <c r="C62" s="75" t="s">
        <v>31</v>
      </c>
      <c r="D62" s="56"/>
      <c r="E62" s="56"/>
      <c r="F62" s="3"/>
    </row>
    <row r="63" spans="1:10" x14ac:dyDescent="0.25">
      <c r="A63" s="59"/>
      <c r="B63" s="60"/>
      <c r="C63" s="56"/>
      <c r="D63" s="56"/>
      <c r="E63" s="56"/>
      <c r="F63" s="3"/>
    </row>
    <row r="64" spans="1:10" x14ac:dyDescent="0.25">
      <c r="A64" s="59" t="s">
        <v>194</v>
      </c>
      <c r="B64" s="3">
        <f>C39+B43-B42</f>
        <v>106894.32705210877</v>
      </c>
      <c r="C64" s="56" t="s">
        <v>31</v>
      </c>
      <c r="D64" s="56"/>
      <c r="E64" s="56"/>
      <c r="F64" s="3"/>
    </row>
    <row r="65" spans="1:7" x14ac:dyDescent="0.25">
      <c r="A65" s="59" t="s">
        <v>130</v>
      </c>
      <c r="B65" s="2">
        <f>B66+B67+B68+B69+B70+B71</f>
        <v>67781.95705210873</v>
      </c>
      <c r="C65" s="56" t="s">
        <v>31</v>
      </c>
      <c r="D65" s="56"/>
      <c r="E65" s="56"/>
      <c r="F65" s="3"/>
    </row>
    <row r="66" spans="1:7" x14ac:dyDescent="0.25">
      <c r="A66" s="77" t="s">
        <v>56</v>
      </c>
      <c r="B66" s="78">
        <f>C20-B44-B62</f>
        <v>17848.859208971444</v>
      </c>
      <c r="C66" s="56" t="s">
        <v>31</v>
      </c>
      <c r="D66" s="56"/>
      <c r="E66" s="56"/>
      <c r="F66" s="3"/>
    </row>
    <row r="67" spans="1:7" x14ac:dyDescent="0.25">
      <c r="A67" s="77" t="s">
        <v>57</v>
      </c>
      <c r="B67" s="78">
        <f>C22-B57</f>
        <v>-1767.7599999999984</v>
      </c>
      <c r="C67" s="56" t="s">
        <v>31</v>
      </c>
      <c r="D67" s="56"/>
      <c r="E67" s="56"/>
      <c r="F67" s="3"/>
    </row>
    <row r="68" spans="1:7" x14ac:dyDescent="0.25">
      <c r="A68" s="77" t="s">
        <v>58</v>
      </c>
      <c r="B68" s="78">
        <f>C26-B58</f>
        <v>0</v>
      </c>
      <c r="C68" s="56" t="s">
        <v>31</v>
      </c>
      <c r="D68" s="56"/>
      <c r="E68" s="56"/>
      <c r="F68" s="3"/>
    </row>
    <row r="69" spans="1:7" x14ac:dyDescent="0.25">
      <c r="A69" s="77" t="s">
        <v>59</v>
      </c>
      <c r="B69" s="78">
        <f>C28-B59</f>
        <v>45017.73000000004</v>
      </c>
      <c r="C69" s="56" t="s">
        <v>31</v>
      </c>
      <c r="D69" s="56"/>
      <c r="E69" s="56"/>
      <c r="F69" s="3"/>
    </row>
    <row r="70" spans="1:7" x14ac:dyDescent="0.25">
      <c r="A70" s="77" t="s">
        <v>60</v>
      </c>
      <c r="B70" s="78">
        <f>C35-B60</f>
        <v>6591.3899999999994</v>
      </c>
      <c r="C70" s="56" t="s">
        <v>31</v>
      </c>
      <c r="D70" s="56"/>
      <c r="E70" s="56"/>
      <c r="F70" s="3"/>
    </row>
    <row r="71" spans="1:7" x14ac:dyDescent="0.25">
      <c r="A71" s="77" t="s">
        <v>157</v>
      </c>
      <c r="B71" s="78">
        <f>C37-B61</f>
        <v>91.737843137255368</v>
      </c>
      <c r="C71" s="56" t="s">
        <v>31</v>
      </c>
    </row>
    <row r="72" spans="1:7" ht="15.75" thickBot="1" x14ac:dyDescent="0.3">
      <c r="A72" s="77"/>
      <c r="B72" s="78"/>
      <c r="C72" s="56"/>
      <c r="D72" s="98"/>
      <c r="E72" s="99"/>
      <c r="F72" s="100"/>
      <c r="G72" s="97"/>
    </row>
    <row r="73" spans="1:7" ht="15.75" thickBot="1" x14ac:dyDescent="0.3">
      <c r="A73" s="128" t="s">
        <v>146</v>
      </c>
      <c r="B73" s="129"/>
      <c r="C73" s="130"/>
      <c r="D73" s="101"/>
      <c r="E73" s="101"/>
      <c r="F73" s="101"/>
      <c r="G73" s="97"/>
    </row>
    <row r="74" spans="1:7" ht="51.75" thickBot="1" x14ac:dyDescent="0.3">
      <c r="A74" s="79" t="s">
        <v>80</v>
      </c>
      <c r="B74" s="80" t="s">
        <v>61</v>
      </c>
      <c r="C74" s="81" t="s">
        <v>67</v>
      </c>
      <c r="D74" s="102"/>
      <c r="E74" s="103"/>
      <c r="F74" s="104"/>
      <c r="G74" s="97"/>
    </row>
    <row r="75" spans="1:7" x14ac:dyDescent="0.25">
      <c r="A75" s="82" t="s">
        <v>62</v>
      </c>
      <c r="B75" s="113" t="s">
        <v>31</v>
      </c>
      <c r="C75" s="114" t="s">
        <v>31</v>
      </c>
      <c r="D75" s="102"/>
      <c r="E75" s="103"/>
      <c r="F75" s="104"/>
      <c r="G75" s="97"/>
    </row>
    <row r="76" spans="1:7" x14ac:dyDescent="0.25">
      <c r="A76" s="53" t="s">
        <v>106</v>
      </c>
      <c r="B76" s="43"/>
      <c r="C76" s="107">
        <v>9212</v>
      </c>
      <c r="D76" s="102"/>
      <c r="E76" s="103"/>
      <c r="F76" s="104"/>
      <c r="G76" s="97"/>
    </row>
    <row r="77" spans="1:7" ht="15.75" thickBot="1" x14ac:dyDescent="0.3">
      <c r="A77" s="140" t="s">
        <v>107</v>
      </c>
      <c r="B77" s="141"/>
      <c r="C77" s="142">
        <v>12552</v>
      </c>
      <c r="D77" s="105"/>
      <c r="E77" s="103"/>
      <c r="F77" s="104"/>
      <c r="G77" s="97"/>
    </row>
    <row r="78" spans="1:7" ht="15.75" thickBot="1" x14ac:dyDescent="0.3">
      <c r="A78" s="83" t="s">
        <v>5</v>
      </c>
      <c r="B78" s="84">
        <f>B76</f>
        <v>0</v>
      </c>
      <c r="C78" s="85">
        <f>C76+C77</f>
        <v>21764</v>
      </c>
      <c r="D78" s="105"/>
      <c r="E78" s="103"/>
      <c r="F78" s="104"/>
      <c r="G78" s="97"/>
    </row>
    <row r="79" spans="1:7" x14ac:dyDescent="0.25">
      <c r="A79" s="31"/>
      <c r="B79" s="33"/>
      <c r="C79" s="87"/>
      <c r="D79" s="105"/>
      <c r="E79" s="103"/>
      <c r="F79" s="104"/>
      <c r="G79" s="97"/>
    </row>
    <row r="80" spans="1:7" x14ac:dyDescent="0.25">
      <c r="A80" s="164" t="s">
        <v>132</v>
      </c>
      <c r="B80" s="149"/>
      <c r="C80" s="215"/>
      <c r="D80" s="216"/>
      <c r="E80" s="103"/>
      <c r="F80" s="104"/>
      <c r="G80" s="97"/>
    </row>
    <row r="81" spans="1:6" x14ac:dyDescent="0.25">
      <c r="A81" s="217"/>
      <c r="B81" s="149"/>
      <c r="C81" s="215"/>
      <c r="D81" s="218"/>
      <c r="E81" s="89"/>
    </row>
    <row r="82" spans="1:6" x14ac:dyDescent="0.25">
      <c r="A82" s="165" t="s">
        <v>133</v>
      </c>
      <c r="B82" s="149" t="s">
        <v>134</v>
      </c>
      <c r="C82" s="219"/>
      <c r="D82" s="216"/>
      <c r="E82" s="89"/>
    </row>
    <row r="83" spans="1:6" x14ac:dyDescent="0.25">
      <c r="A83" s="165"/>
      <c r="B83" s="149"/>
      <c r="C83" s="219"/>
      <c r="D83" s="216"/>
      <c r="E83" s="89"/>
    </row>
    <row r="84" spans="1:6" x14ac:dyDescent="0.25">
      <c r="A84" s="220"/>
      <c r="B84" s="221"/>
      <c r="C84" s="219"/>
      <c r="D84" s="150"/>
      <c r="E84" s="89"/>
    </row>
    <row r="85" spans="1:6" ht="15.75" x14ac:dyDescent="0.25">
      <c r="A85" s="223" t="s">
        <v>63</v>
      </c>
      <c r="B85" s="224" t="s">
        <v>134</v>
      </c>
      <c r="C85" s="225"/>
      <c r="D85" s="226" t="s">
        <v>66</v>
      </c>
      <c r="E85" s="89"/>
    </row>
    <row r="86" spans="1:6" x14ac:dyDescent="0.25">
      <c r="A86" s="91"/>
      <c r="B86" s="92"/>
      <c r="C86" s="87"/>
      <c r="D86" s="88"/>
      <c r="E86" s="56"/>
    </row>
    <row r="87" spans="1:6" x14ac:dyDescent="0.25">
      <c r="A87" s="19"/>
      <c r="B87" s="20"/>
      <c r="C87" s="87"/>
      <c r="D87" s="112"/>
      <c r="E87" s="56"/>
    </row>
    <row r="88" spans="1:6" x14ac:dyDescent="0.25">
      <c r="A88" s="19"/>
      <c r="B88" s="20"/>
      <c r="C88" s="56"/>
      <c r="D88" s="88"/>
      <c r="E88" s="89"/>
    </row>
    <row r="89" spans="1:6" x14ac:dyDescent="0.25">
      <c r="A89" s="19"/>
      <c r="B89" s="20"/>
      <c r="C89" s="89"/>
      <c r="D89" s="88"/>
      <c r="E89" s="89"/>
    </row>
    <row r="90" spans="1:6" x14ac:dyDescent="0.25">
      <c r="A90" s="31"/>
      <c r="B90" s="33"/>
      <c r="C90" s="89"/>
      <c r="D90" s="93"/>
      <c r="E90" s="89"/>
    </row>
    <row r="91" spans="1:6" x14ac:dyDescent="0.25">
      <c r="A91" s="31"/>
      <c r="B91" s="33"/>
      <c r="C91" s="89"/>
      <c r="D91" s="93"/>
      <c r="E91" s="89"/>
    </row>
    <row r="92" spans="1:6" x14ac:dyDescent="0.25">
      <c r="A92" s="95"/>
      <c r="B92" s="96"/>
      <c r="C92" s="89"/>
      <c r="D92" s="93"/>
      <c r="E92" s="89"/>
      <c r="F92" s="94"/>
    </row>
    <row r="93" spans="1:6" x14ac:dyDescent="0.25">
      <c r="A93" s="95"/>
      <c r="B93" s="96"/>
      <c r="C93" s="89"/>
      <c r="D93" s="93"/>
      <c r="E93" s="89"/>
    </row>
    <row r="94" spans="1:6" x14ac:dyDescent="0.25">
      <c r="A94" s="31"/>
      <c r="B94" s="33"/>
      <c r="C94" s="89"/>
      <c r="D94" s="87"/>
      <c r="E94" s="89"/>
    </row>
    <row r="95" spans="1:6" x14ac:dyDescent="0.25">
      <c r="A95" s="31"/>
      <c r="B95" s="33"/>
      <c r="C95" s="56"/>
      <c r="D95" s="87"/>
      <c r="E95" s="89"/>
    </row>
    <row r="96" spans="1:6" x14ac:dyDescent="0.25">
      <c r="A96" s="19"/>
      <c r="B96" s="20"/>
      <c r="C96" s="89"/>
      <c r="D96" s="56"/>
      <c r="E96" s="56"/>
      <c r="F96" s="3"/>
    </row>
    <row r="97" spans="1:6" x14ac:dyDescent="0.25">
      <c r="A97" s="31"/>
      <c r="B97" s="33"/>
      <c r="C97" s="89"/>
      <c r="D97" s="56"/>
      <c r="E97" s="89"/>
    </row>
    <row r="98" spans="1:6" x14ac:dyDescent="0.25">
      <c r="A98" s="31"/>
      <c r="B98" s="33"/>
      <c r="C98" s="33"/>
      <c r="D98" s="56"/>
      <c r="E98" s="56"/>
    </row>
    <row r="99" spans="1:6" x14ac:dyDescent="0.25">
      <c r="A99" s="31"/>
      <c r="B99" s="33"/>
      <c r="C99" s="33"/>
      <c r="D99" s="89"/>
      <c r="E99" s="89"/>
    </row>
    <row r="100" spans="1:6" x14ac:dyDescent="0.25">
      <c r="A100" s="31"/>
      <c r="B100" s="33"/>
      <c r="C100" s="33"/>
      <c r="D100" s="89"/>
      <c r="E100" s="89"/>
    </row>
    <row r="101" spans="1:6" x14ac:dyDescent="0.25">
      <c r="A101" s="31"/>
      <c r="B101" s="33"/>
      <c r="D101" s="89"/>
      <c r="E101" s="89"/>
    </row>
    <row r="102" spans="1:6" x14ac:dyDescent="0.25">
      <c r="D102" s="89"/>
      <c r="E102" s="89"/>
    </row>
    <row r="103" spans="1:6" x14ac:dyDescent="0.25">
      <c r="D103" s="89"/>
      <c r="E103" s="89"/>
    </row>
    <row r="104" spans="1:6" x14ac:dyDescent="0.25">
      <c r="D104" s="89"/>
      <c r="E104" s="89"/>
    </row>
    <row r="105" spans="1:6" x14ac:dyDescent="0.25">
      <c r="D105" s="56"/>
      <c r="E105" s="56"/>
      <c r="F105" s="3"/>
    </row>
    <row r="106" spans="1:6" x14ac:dyDescent="0.25">
      <c r="B106"/>
      <c r="C106"/>
      <c r="D106" s="89"/>
      <c r="E106" s="89"/>
      <c r="F106" s="3"/>
    </row>
    <row r="107" spans="1:6" x14ac:dyDescent="0.25">
      <c r="B107"/>
      <c r="C107"/>
      <c r="D107" s="89"/>
      <c r="E107" s="89"/>
    </row>
    <row r="108" spans="1:6" x14ac:dyDescent="0.25">
      <c r="B108"/>
      <c r="C108"/>
      <c r="D108" s="33"/>
      <c r="E108" s="33"/>
    </row>
    <row r="109" spans="1:6" x14ac:dyDescent="0.25">
      <c r="B109"/>
      <c r="C109"/>
      <c r="D109" s="33"/>
      <c r="E109" s="33"/>
    </row>
    <row r="110" spans="1:6" x14ac:dyDescent="0.25">
      <c r="B110"/>
      <c r="C110"/>
      <c r="D110" s="33"/>
      <c r="E110" s="33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V104"/>
  <sheetViews>
    <sheetView view="pageBreakPreview" topLeftCell="A73" zoomScale="75" zoomScaleNormal="100" zoomScaleSheetLayoutView="75" workbookViewId="0">
      <selection activeCell="C76" sqref="C76:C77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199</v>
      </c>
      <c r="B2" s="2"/>
      <c r="C2" s="2"/>
      <c r="D2" s="2"/>
    </row>
    <row r="3" spans="1:22" ht="15.75" thickBot="1" x14ac:dyDescent="0.3">
      <c r="A3" s="1"/>
      <c r="B3" s="2"/>
      <c r="C3" s="2"/>
      <c r="D3" s="2"/>
      <c r="L3" s="108"/>
      <c r="M3" s="108"/>
      <c r="N3" s="108"/>
      <c r="O3" s="108"/>
    </row>
    <row r="4" spans="1:22" ht="15.75" thickBot="1" x14ac:dyDescent="0.3">
      <c r="A4" s="22" t="s">
        <v>0</v>
      </c>
      <c r="B4" s="126"/>
      <c r="C4" s="126"/>
      <c r="D4" s="127"/>
      <c r="L4" s="108"/>
      <c r="M4" s="108"/>
      <c r="N4" s="108"/>
      <c r="O4" s="108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L5" s="108"/>
      <c r="M5" s="108"/>
      <c r="N5" s="108"/>
      <c r="O5" s="108"/>
    </row>
    <row r="6" spans="1:22" x14ac:dyDescent="0.25">
      <c r="A6" s="10" t="s">
        <v>84</v>
      </c>
      <c r="B6" s="11"/>
      <c r="C6" s="11">
        <v>2950.35</v>
      </c>
      <c r="D6" s="12">
        <v>317</v>
      </c>
      <c r="L6" s="108"/>
      <c r="M6" s="108"/>
      <c r="N6" s="108"/>
      <c r="O6" s="108"/>
    </row>
    <row r="7" spans="1:22" x14ac:dyDescent="0.25">
      <c r="A7" s="13"/>
      <c r="B7" s="14"/>
      <c r="C7" s="14"/>
      <c r="D7" s="15"/>
      <c r="L7" s="108"/>
      <c r="M7" s="108"/>
      <c r="N7" s="108"/>
      <c r="O7" s="108"/>
    </row>
    <row r="8" spans="1:22" ht="15.75" thickBot="1" x14ac:dyDescent="0.3">
      <c r="A8" s="16" t="s">
        <v>5</v>
      </c>
      <c r="B8" s="17"/>
      <c r="C8" s="17">
        <f>C6+C7</f>
        <v>2950.35</v>
      </c>
      <c r="D8" s="18">
        <f>D6</f>
        <v>317</v>
      </c>
      <c r="L8" s="108"/>
      <c r="M8" s="108"/>
      <c r="N8" s="108"/>
      <c r="O8" s="108"/>
    </row>
    <row r="9" spans="1:22" ht="15.75" thickBot="1" x14ac:dyDescent="0.3">
      <c r="A9" s="19"/>
      <c r="B9" s="20"/>
      <c r="C9" s="20"/>
      <c r="D9" s="21"/>
      <c r="L9" s="108"/>
      <c r="M9" s="108"/>
      <c r="N9" s="108"/>
      <c r="O9" s="108"/>
    </row>
    <row r="10" spans="1:22" ht="15.75" thickBot="1" x14ac:dyDescent="0.3">
      <c r="A10" s="22" t="s">
        <v>112</v>
      </c>
      <c r="B10" s="23"/>
      <c r="C10" s="23"/>
      <c r="D10" s="24" t="s">
        <v>6</v>
      </c>
      <c r="F10" s="97"/>
      <c r="G10" s="97"/>
      <c r="H10" s="97"/>
      <c r="I10" s="97"/>
      <c r="J10" s="97"/>
      <c r="K10" s="97"/>
      <c r="L10" s="108"/>
      <c r="M10" s="108"/>
      <c r="N10" s="108"/>
      <c r="O10" s="108"/>
    </row>
    <row r="11" spans="1:22" x14ac:dyDescent="0.25">
      <c r="A11" s="25" t="s">
        <v>7</v>
      </c>
      <c r="B11" s="20"/>
      <c r="C11" s="20"/>
      <c r="D11" s="26">
        <v>18.93</v>
      </c>
      <c r="F11" s="97"/>
      <c r="G11" s="97"/>
      <c r="H11" s="97"/>
      <c r="I11" s="97"/>
      <c r="J11" s="97"/>
      <c r="K11" s="97"/>
      <c r="L11" s="108"/>
      <c r="M11" s="108"/>
      <c r="N11" s="108"/>
      <c r="O11" s="108"/>
    </row>
    <row r="12" spans="1:22" x14ac:dyDescent="0.25">
      <c r="A12" s="25" t="s">
        <v>8</v>
      </c>
      <c r="B12" s="20"/>
      <c r="C12" s="20"/>
      <c r="D12" s="27"/>
      <c r="F12" s="97"/>
      <c r="G12" s="97"/>
      <c r="H12" s="97"/>
      <c r="I12" s="97"/>
      <c r="J12" s="97"/>
      <c r="K12" s="97"/>
      <c r="L12" s="108"/>
      <c r="M12" s="108"/>
      <c r="N12" s="108"/>
      <c r="O12" s="108"/>
    </row>
    <row r="13" spans="1:22" x14ac:dyDescent="0.25">
      <c r="A13" s="25" t="s">
        <v>9</v>
      </c>
      <c r="B13" s="20"/>
      <c r="C13" s="20"/>
      <c r="D13" s="26"/>
      <c r="F13" s="97"/>
      <c r="G13" s="97"/>
      <c r="H13" s="97"/>
      <c r="I13" s="97"/>
      <c r="J13" s="97"/>
      <c r="K13" s="97"/>
      <c r="L13" s="108"/>
      <c r="M13" s="108"/>
      <c r="N13" s="108"/>
      <c r="O13" s="108"/>
    </row>
    <row r="14" spans="1:22" ht="15.75" thickBot="1" x14ac:dyDescent="0.3">
      <c r="A14" s="28" t="s">
        <v>10</v>
      </c>
      <c r="B14" s="29"/>
      <c r="C14" s="29"/>
      <c r="D14" s="30">
        <v>0</v>
      </c>
      <c r="F14" s="97"/>
      <c r="G14" s="97"/>
      <c r="H14" s="97"/>
      <c r="I14" s="97"/>
      <c r="J14" s="97"/>
      <c r="K14" s="97"/>
      <c r="L14" s="108"/>
      <c r="M14" s="108"/>
      <c r="N14" s="108"/>
      <c r="O14" s="108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97"/>
      <c r="G15" s="97"/>
      <c r="H15" s="97"/>
      <c r="I15" s="97"/>
      <c r="J15" s="97"/>
      <c r="K15" s="97"/>
      <c r="L15" s="108"/>
      <c r="M15" s="108"/>
      <c r="N15" s="108"/>
      <c r="O15" s="108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113</v>
      </c>
      <c r="B16" s="126"/>
      <c r="C16" s="126"/>
      <c r="D16" s="126"/>
      <c r="E16" s="127"/>
      <c r="F16" s="97"/>
      <c r="G16" s="97"/>
      <c r="H16" s="97"/>
      <c r="I16" s="97"/>
      <c r="J16" s="97"/>
      <c r="K16" s="97"/>
      <c r="L16" s="108"/>
      <c r="M16" s="109"/>
      <c r="N16" s="109"/>
      <c r="O16" s="108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39"/>
      <c r="F17" s="97"/>
      <c r="G17" s="97"/>
      <c r="H17" s="97"/>
      <c r="I17" s="97"/>
      <c r="J17" s="97"/>
      <c r="K17" s="97"/>
      <c r="L17" s="109"/>
      <c r="M17" s="110"/>
      <c r="N17" s="109"/>
      <c r="O17" s="108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39"/>
      <c r="F18" s="97"/>
      <c r="G18" s="97"/>
      <c r="H18" s="97"/>
      <c r="I18" s="97"/>
      <c r="J18" s="97"/>
      <c r="K18" s="97"/>
      <c r="L18" s="108"/>
      <c r="M18" s="108"/>
      <c r="N18" s="108"/>
      <c r="O18" s="108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114</v>
      </c>
      <c r="C19" s="38" t="s">
        <v>115</v>
      </c>
      <c r="D19" s="38" t="s">
        <v>116</v>
      </c>
      <c r="E19" s="39" t="s">
        <v>117</v>
      </c>
      <c r="F19" s="97"/>
      <c r="G19" s="97"/>
      <c r="H19" s="97"/>
      <c r="I19" s="97"/>
      <c r="J19" s="97"/>
      <c r="K19" s="97"/>
      <c r="L19" s="108"/>
      <c r="M19" s="111"/>
      <c r="N19" s="111"/>
      <c r="O19" s="108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171">
        <v>247235.18</v>
      </c>
      <c r="C20" s="171">
        <f>669070.52+337.53+89.92</f>
        <v>669497.97000000009</v>
      </c>
      <c r="D20" s="171">
        <f>580007.27+12173.77</f>
        <v>592181.04</v>
      </c>
      <c r="E20" s="172">
        <f t="shared" ref="E20:E38" si="0">C20-D20+B20</f>
        <v>324552.11000000004</v>
      </c>
      <c r="F20" s="116">
        <f>C20+F22</f>
        <v>669497.97000000009</v>
      </c>
      <c r="G20" s="117">
        <f>100</f>
        <v>100</v>
      </c>
      <c r="H20" s="115" t="s">
        <v>64</v>
      </c>
      <c r="I20" s="97"/>
      <c r="J20" s="97"/>
      <c r="K20" s="97"/>
      <c r="L20" s="108"/>
      <c r="M20" s="108"/>
      <c r="N20" s="108"/>
      <c r="O20" s="108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173"/>
      <c r="C21" s="173"/>
      <c r="D21" s="173"/>
      <c r="E21" s="174">
        <f t="shared" si="0"/>
        <v>0</v>
      </c>
      <c r="F21" s="116"/>
      <c r="G21" s="117"/>
      <c r="H21" s="115"/>
      <c r="I21" s="97"/>
      <c r="J21" s="97"/>
      <c r="K21" s="97"/>
      <c r="L21" s="108"/>
      <c r="M21" s="108"/>
      <c r="N21" s="108"/>
      <c r="O21" s="108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173">
        <f>-1002.01</f>
        <v>-1002.01</v>
      </c>
      <c r="C22" s="173"/>
      <c r="D22" s="173">
        <f>-11.47</f>
        <v>-11.47</v>
      </c>
      <c r="E22" s="174">
        <f t="shared" si="0"/>
        <v>-990.54</v>
      </c>
      <c r="F22" s="116">
        <f>C22</f>
        <v>0</v>
      </c>
      <c r="G22" s="118">
        <f>F22*G20/F20</f>
        <v>0</v>
      </c>
      <c r="H22" s="115" t="s">
        <v>64</v>
      </c>
      <c r="I22" s="97"/>
      <c r="J22" s="97"/>
      <c r="K22" s="97"/>
      <c r="L22" s="108"/>
      <c r="M22" s="108"/>
      <c r="N22" s="111"/>
      <c r="O22" s="108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173"/>
      <c r="C23" s="173"/>
      <c r="D23" s="173"/>
      <c r="E23" s="174">
        <f t="shared" si="0"/>
        <v>0</v>
      </c>
      <c r="F23" s="97"/>
      <c r="G23" s="97"/>
      <c r="H23" s="97"/>
      <c r="I23" s="97"/>
      <c r="J23" s="97"/>
      <c r="K23" s="97"/>
      <c r="L23" s="108"/>
      <c r="M23" s="108"/>
      <c r="N23" s="108"/>
      <c r="O23" s="108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173"/>
      <c r="C24" s="173"/>
      <c r="D24" s="173"/>
      <c r="E24" s="174">
        <f t="shared" si="0"/>
        <v>0</v>
      </c>
      <c r="F24" s="97"/>
      <c r="G24" s="97"/>
      <c r="H24" s="97"/>
      <c r="I24" s="97"/>
      <c r="J24" s="97"/>
      <c r="K24" s="97"/>
      <c r="L24" s="108"/>
      <c r="M24" s="108"/>
      <c r="N24" s="108"/>
      <c r="O24" s="108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173"/>
      <c r="C25" s="173"/>
      <c r="D25" s="173"/>
      <c r="E25" s="174">
        <f t="shared" si="0"/>
        <v>0</v>
      </c>
      <c r="F25" s="97"/>
      <c r="G25" s="97"/>
      <c r="H25" s="97"/>
      <c r="I25" s="97"/>
      <c r="J25" s="97"/>
      <c r="K25" s="97"/>
      <c r="L25" s="108"/>
      <c r="M25" s="108"/>
      <c r="N25" s="108"/>
      <c r="O25" s="108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173"/>
      <c r="C26" s="173"/>
      <c r="D26" s="173"/>
      <c r="E26" s="174">
        <f t="shared" si="0"/>
        <v>0</v>
      </c>
      <c r="F26" s="97"/>
      <c r="G26" s="97"/>
      <c r="H26" s="97"/>
      <c r="I26" s="97"/>
      <c r="J26" s="97"/>
      <c r="K26" s="97"/>
      <c r="L26" s="108"/>
      <c r="M26" s="108"/>
      <c r="N26" s="108"/>
      <c r="O26" s="108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83</v>
      </c>
      <c r="B27" s="173"/>
      <c r="C27" s="173"/>
      <c r="D27" s="173"/>
      <c r="E27" s="174">
        <f t="shared" si="0"/>
        <v>0</v>
      </c>
      <c r="F27" s="97"/>
      <c r="G27" s="97"/>
      <c r="H27" s="97"/>
      <c r="I27" s="97"/>
      <c r="J27" s="97"/>
      <c r="K27" s="97"/>
      <c r="L27" s="108"/>
      <c r="M27" s="108"/>
      <c r="N27" s="108"/>
      <c r="O27" s="108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177">
        <f>B29+B30+B31+B33+B32</f>
        <v>751863.66999999993</v>
      </c>
      <c r="C28" s="197">
        <f>C29+C30+C31+C33</f>
        <v>2399372.3499999996</v>
      </c>
      <c r="D28" s="197">
        <f>D29+D30+D31+D33</f>
        <v>1976563.6500000001</v>
      </c>
      <c r="E28" s="178">
        <f>C28-D28+B28</f>
        <v>1174672.3699999994</v>
      </c>
      <c r="F28" s="97"/>
      <c r="G28" s="97"/>
      <c r="H28" s="97"/>
      <c r="I28" s="97"/>
      <c r="J28" s="97"/>
      <c r="K28" s="97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171">
        <f>315581.56</f>
        <v>315581.56</v>
      </c>
      <c r="C29" s="171">
        <f>1080236.76+430.26+119.23</f>
        <v>1080786.25</v>
      </c>
      <c r="D29" s="171">
        <f>856309.88+18930.31</f>
        <v>875240.19000000006</v>
      </c>
      <c r="E29" s="172">
        <f t="shared" si="0"/>
        <v>521127.61999999994</v>
      </c>
      <c r="F29" s="97"/>
      <c r="G29" s="97"/>
      <c r="H29" s="97"/>
      <c r="I29" s="97"/>
      <c r="J29" s="97"/>
      <c r="K29" s="97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23</v>
      </c>
      <c r="B30" s="173">
        <f>858.4+280183.67</f>
        <v>281042.07</v>
      </c>
      <c r="C30" s="173">
        <f>70658.7-55636.95+774690-5927.2-6840.43+10551.55-175.5</f>
        <v>787320.17</v>
      </c>
      <c r="D30" s="173">
        <f>651676.65+14878.24+40967.72+1352.68+5215.48+189.03</f>
        <v>714279.8</v>
      </c>
      <c r="E30" s="174">
        <f t="shared" si="0"/>
        <v>354082.44</v>
      </c>
      <c r="F30" s="97"/>
      <c r="G30" s="97"/>
      <c r="H30" s="97"/>
      <c r="I30" s="97"/>
      <c r="J30" s="97"/>
      <c r="K30" s="97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173">
        <v>54513.48</v>
      </c>
      <c r="C31" s="173">
        <f>226663.14-17872.36-1272.77+1588.08-26.4</f>
        <v>209079.69000000003</v>
      </c>
      <c r="D31" s="173">
        <f>134923.32+3605.08+785+28.46</f>
        <v>139341.85999999999</v>
      </c>
      <c r="E31" s="174">
        <f t="shared" si="0"/>
        <v>124251.31000000006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hidden="1" x14ac:dyDescent="0.25">
      <c r="A32" s="53" t="s">
        <v>72</v>
      </c>
      <c r="B32" s="173"/>
      <c r="C32" s="173"/>
      <c r="D32" s="173"/>
      <c r="E32" s="174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173">
        <v>100726.56</v>
      </c>
      <c r="C33" s="173">
        <f>350521.35-25923.9-2411.21</f>
        <v>322186.23999999993</v>
      </c>
      <c r="D33" s="173">
        <f>241587.19+6114.61</f>
        <v>247701.8</v>
      </c>
      <c r="E33" s="174">
        <f t="shared" si="0"/>
        <v>175210.99999999994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173"/>
      <c r="C34" s="173"/>
      <c r="D34" s="173"/>
      <c r="E34" s="174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74</v>
      </c>
      <c r="B35" s="179">
        <f>-2311.46+117926.2</f>
        <v>115614.73999999999</v>
      </c>
      <c r="C35" s="180">
        <f>375982.18-2144.59-3014.26</f>
        <v>370823.32999999996</v>
      </c>
      <c r="D35" s="180">
        <f>0.02+324005.01+8101.03</f>
        <v>332106.06000000006</v>
      </c>
      <c r="E35" s="174">
        <f t="shared" si="0"/>
        <v>154332.00999999989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173"/>
      <c r="C36" s="173"/>
      <c r="D36" s="173"/>
      <c r="E36" s="174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155</v>
      </c>
      <c r="B37" s="173">
        <f>13368.59-4787.49</f>
        <v>8581.1</v>
      </c>
      <c r="C37" s="173">
        <f>11232.32+830.2-13713.5-830.2-574.93+81654.03+2068.75</f>
        <v>80666.67</v>
      </c>
      <c r="D37" s="173">
        <f>19951.79+1711.84+443.42+51456.96+1841.05</f>
        <v>75405.06</v>
      </c>
      <c r="E37" s="174">
        <f t="shared" si="0"/>
        <v>13842.710000000001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175"/>
      <c r="C38" s="175"/>
      <c r="D38" s="175"/>
      <c r="E38" s="176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1122292.68</v>
      </c>
      <c r="C39" s="58">
        <f>C20+C21+C22+C23+C24+C25+C26+C28+C35+C36+C37+C38</f>
        <v>3520360.32</v>
      </c>
      <c r="D39" s="58">
        <f>D20+D21+D22+D23+D24+D25+D26+D28+D35+D36+D37+D38+D27</f>
        <v>2976244.3400000003</v>
      </c>
      <c r="E39" s="58">
        <f>E20+E21+E22+E23+E24+E25+E26+E28+E35+E36+E37+E38+E27</f>
        <v>1666408.6599999992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59"/>
      <c r="B40" s="60"/>
      <c r="C40" s="56"/>
      <c r="D40" s="122"/>
      <c r="E40" s="122"/>
      <c r="F40" s="123"/>
      <c r="G40" s="124"/>
      <c r="H40" s="124"/>
      <c r="I40" s="124"/>
      <c r="J40" s="137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59"/>
      <c r="B41" s="60"/>
      <c r="C41" s="56"/>
      <c r="D41" s="119"/>
      <c r="E41" s="119"/>
      <c r="F41" s="138"/>
      <c r="G41" s="115"/>
      <c r="H41" s="97"/>
      <c r="I41" s="97"/>
      <c r="J41" s="137"/>
    </row>
    <row r="42" spans="1:22" ht="15.75" thickBot="1" x14ac:dyDescent="0.3">
      <c r="A42" s="61" t="s">
        <v>30</v>
      </c>
      <c r="B42" s="62">
        <f>B44+B59+B60+B57+B62+B58+B61</f>
        <v>3320278.7596806069</v>
      </c>
      <c r="C42" s="63" t="s">
        <v>31</v>
      </c>
      <c r="D42" s="119">
        <f>C39-B42-B62</f>
        <v>195618.84603367865</v>
      </c>
      <c r="E42" s="272" t="s">
        <v>32</v>
      </c>
      <c r="F42" s="273">
        <f>5512727.45</f>
        <v>5512727.4500000002</v>
      </c>
      <c r="G42" s="274">
        <f>F42/F48*C8</f>
        <v>136676.26413535714</v>
      </c>
      <c r="H42" s="97"/>
      <c r="I42" s="97"/>
      <c r="J42" s="137"/>
    </row>
    <row r="43" spans="1:22" x14ac:dyDescent="0.25">
      <c r="A43" s="59" t="s">
        <v>192</v>
      </c>
      <c r="B43" s="183">
        <f>-238425.65</f>
        <v>-238425.65</v>
      </c>
      <c r="C43" s="66"/>
      <c r="D43" s="119"/>
      <c r="E43" s="272" t="s">
        <v>33</v>
      </c>
      <c r="F43" s="273">
        <f>1264951.09</f>
        <v>1264951.0900000001</v>
      </c>
      <c r="G43" s="274">
        <f>F43/F48*C8</f>
        <v>31361.751667071432</v>
      </c>
      <c r="H43" s="97"/>
      <c r="I43" s="97"/>
      <c r="J43" s="137"/>
    </row>
    <row r="44" spans="1:22" x14ac:dyDescent="0.25">
      <c r="A44" s="67" t="s">
        <v>34</v>
      </c>
      <c r="B44" s="160">
        <f>B45+B46+B48+B49+B50+B51+B52+B53+B54+B55+B56+B47</f>
        <v>584274.68480665702</v>
      </c>
      <c r="C44" s="69" t="s">
        <v>31</v>
      </c>
      <c r="D44" s="119"/>
      <c r="E44" s="272" t="s">
        <v>35</v>
      </c>
      <c r="F44" s="273">
        <v>180000</v>
      </c>
      <c r="G44" s="274">
        <f>F44/F48*C8</f>
        <v>4462.7142857142853</v>
      </c>
      <c r="H44" s="97"/>
      <c r="I44" s="97"/>
      <c r="J44" s="137"/>
    </row>
    <row r="45" spans="1:22" x14ac:dyDescent="0.25">
      <c r="A45" s="70" t="s">
        <v>76</v>
      </c>
      <c r="B45" s="184">
        <v>93052.9</v>
      </c>
      <c r="C45" s="71" t="s">
        <v>31</v>
      </c>
      <c r="D45" s="119"/>
      <c r="E45" s="272" t="s">
        <v>18</v>
      </c>
      <c r="F45" s="273">
        <f>299837.27</f>
        <v>299837.27</v>
      </c>
      <c r="G45" s="274">
        <f>F45/F48*C8</f>
        <v>7433.8226012142859</v>
      </c>
      <c r="H45" s="97"/>
      <c r="I45" s="97"/>
      <c r="J45" s="137"/>
    </row>
    <row r="46" spans="1:22" x14ac:dyDescent="0.25">
      <c r="A46" s="72" t="s">
        <v>37</v>
      </c>
      <c r="B46" s="184">
        <f>G42+G43</f>
        <v>168038.01580242856</v>
      </c>
      <c r="C46" s="71" t="s">
        <v>31</v>
      </c>
      <c r="D46" s="119"/>
      <c r="E46" s="275" t="s">
        <v>38</v>
      </c>
      <c r="F46" s="273">
        <f>7000+1260+30890+4200</f>
        <v>43350</v>
      </c>
      <c r="G46" s="274">
        <f>F46/F48*C8</f>
        <v>1074.7703571428572</v>
      </c>
      <c r="H46" s="97"/>
      <c r="I46" s="97"/>
      <c r="J46" s="137"/>
    </row>
    <row r="47" spans="1:22" x14ac:dyDescent="0.25">
      <c r="A47" s="72" t="s">
        <v>39</v>
      </c>
      <c r="B47" s="184">
        <v>6240</v>
      </c>
      <c r="C47" s="71" t="s">
        <v>31</v>
      </c>
      <c r="D47" s="119"/>
      <c r="E47" s="274" t="s">
        <v>12</v>
      </c>
      <c r="F47" s="273">
        <f>8022857.59-F46</f>
        <v>7979507.5899999999</v>
      </c>
      <c r="G47" s="274">
        <f>F47/F48*C8</f>
        <v>197834.79174921426</v>
      </c>
      <c r="H47" s="97"/>
      <c r="I47" s="97"/>
      <c r="J47" s="137"/>
    </row>
    <row r="48" spans="1:22" x14ac:dyDescent="0.25">
      <c r="A48" s="70" t="s">
        <v>40</v>
      </c>
      <c r="B48" s="184">
        <f>G46+55566.83</f>
        <v>56641.600357142859</v>
      </c>
      <c r="C48" s="71" t="s">
        <v>31</v>
      </c>
      <c r="D48" s="119"/>
      <c r="E48" s="276" t="s">
        <v>41</v>
      </c>
      <c r="F48" s="277">
        <f>119000</f>
        <v>119000</v>
      </c>
      <c r="G48" s="274"/>
      <c r="H48" s="97"/>
      <c r="I48" s="97"/>
      <c r="J48" s="137"/>
    </row>
    <row r="49" spans="1:10" x14ac:dyDescent="0.25">
      <c r="A49" s="70" t="s">
        <v>42</v>
      </c>
      <c r="B49" s="184">
        <f>G45+380.96</f>
        <v>7814.7826012142859</v>
      </c>
      <c r="C49" s="71" t="s">
        <v>31</v>
      </c>
      <c r="D49" s="119"/>
      <c r="E49" s="278"/>
      <c r="F49" s="274"/>
      <c r="G49" s="274"/>
      <c r="H49" s="97"/>
      <c r="I49" s="97"/>
      <c r="J49" s="137"/>
    </row>
    <row r="50" spans="1:10" x14ac:dyDescent="0.25">
      <c r="A50" s="70" t="s">
        <v>141</v>
      </c>
      <c r="B50" s="184">
        <f>G47</f>
        <v>197834.79174921426</v>
      </c>
      <c r="C50" s="71" t="s">
        <v>31</v>
      </c>
      <c r="D50" s="119"/>
      <c r="E50" s="279" t="s">
        <v>70</v>
      </c>
      <c r="F50" s="277">
        <f>1910.32</f>
        <v>1910.32</v>
      </c>
      <c r="G50" s="279">
        <f>F50/F48*C8</f>
        <v>47.362290857142852</v>
      </c>
      <c r="H50" s="97"/>
      <c r="I50" s="97"/>
      <c r="J50" s="137"/>
    </row>
    <row r="51" spans="1:10" x14ac:dyDescent="0.25">
      <c r="A51" s="70" t="s">
        <v>44</v>
      </c>
      <c r="B51" s="184">
        <f>G52</f>
        <v>407.33672571428565</v>
      </c>
      <c r="C51" s="71" t="s">
        <v>31</v>
      </c>
      <c r="D51" s="119"/>
      <c r="E51" s="119"/>
      <c r="F51" s="120"/>
      <c r="G51" s="121"/>
      <c r="H51" s="97"/>
      <c r="I51" s="97"/>
      <c r="J51" s="137"/>
    </row>
    <row r="52" spans="1:10" x14ac:dyDescent="0.25">
      <c r="A52" s="70" t="s">
        <v>45</v>
      </c>
      <c r="B52" s="184">
        <f>G50+168</f>
        <v>215.36229085714285</v>
      </c>
      <c r="C52" s="71" t="s">
        <v>31</v>
      </c>
      <c r="D52" s="119"/>
      <c r="E52" s="119" t="s">
        <v>125</v>
      </c>
      <c r="F52" s="280">
        <f>16429.6</f>
        <v>16429.599999999999</v>
      </c>
      <c r="G52" s="279">
        <f>F52/F48*C8</f>
        <v>407.33672571428565</v>
      </c>
      <c r="H52" s="97"/>
      <c r="I52" s="97"/>
      <c r="J52" s="137"/>
    </row>
    <row r="53" spans="1:10" x14ac:dyDescent="0.25">
      <c r="A53" s="70" t="s">
        <v>46</v>
      </c>
      <c r="B53" s="184"/>
      <c r="C53" s="71" t="s">
        <v>31</v>
      </c>
      <c r="D53" s="119"/>
      <c r="E53" s="119"/>
      <c r="F53" s="120"/>
      <c r="G53" s="121"/>
      <c r="H53" s="97"/>
      <c r="I53" s="97"/>
      <c r="J53" s="137"/>
    </row>
    <row r="54" spans="1:10" x14ac:dyDescent="0.25">
      <c r="A54" s="70" t="s">
        <v>47</v>
      </c>
      <c r="B54" s="184"/>
      <c r="C54" s="71" t="s">
        <v>31</v>
      </c>
      <c r="D54" s="119"/>
      <c r="E54" s="119"/>
      <c r="F54" s="120"/>
      <c r="G54" s="121"/>
      <c r="H54" s="97"/>
      <c r="I54" s="97"/>
      <c r="J54" s="137"/>
    </row>
    <row r="55" spans="1:10" x14ac:dyDescent="0.25">
      <c r="A55" s="70" t="s">
        <v>48</v>
      </c>
      <c r="B55" s="184">
        <v>10351.44</v>
      </c>
      <c r="C55" s="71" t="s">
        <v>31</v>
      </c>
      <c r="D55" s="119"/>
      <c r="E55" s="119"/>
      <c r="F55" s="138"/>
      <c r="G55" s="115"/>
      <c r="H55" s="97"/>
      <c r="I55" s="97"/>
      <c r="J55" s="137"/>
    </row>
    <row r="56" spans="1:10" x14ac:dyDescent="0.25">
      <c r="A56" s="70" t="s">
        <v>49</v>
      </c>
      <c r="B56" s="184">
        <f>(B46+B47+B48+B49+B50+B52+B53+B54)*0.1</f>
        <v>43678.455280085713</v>
      </c>
      <c r="C56" s="71" t="s">
        <v>31</v>
      </c>
      <c r="D56" s="119"/>
      <c r="E56" s="119"/>
      <c r="F56" s="138"/>
      <c r="G56" s="115"/>
      <c r="H56" s="137"/>
      <c r="I56" s="97"/>
      <c r="J56" s="137"/>
    </row>
    <row r="57" spans="1:10" x14ac:dyDescent="0.25">
      <c r="A57" s="67" t="s">
        <v>50</v>
      </c>
      <c r="B57" s="160">
        <f>C78</f>
        <v>96508.22</v>
      </c>
      <c r="C57" s="69" t="s">
        <v>31</v>
      </c>
      <c r="D57" s="122"/>
      <c r="E57" s="122"/>
      <c r="F57" s="123"/>
      <c r="G57" s="124"/>
      <c r="H57" s="124"/>
      <c r="I57" s="97"/>
      <c r="J57" s="137"/>
    </row>
    <row r="58" spans="1:10" x14ac:dyDescent="0.25">
      <c r="A58" s="67" t="s">
        <v>51</v>
      </c>
      <c r="B58" s="160"/>
      <c r="C58" s="69" t="s">
        <v>31</v>
      </c>
      <c r="D58" s="122"/>
      <c r="E58" s="122"/>
      <c r="F58" s="123"/>
      <c r="G58" s="124"/>
      <c r="H58" s="124"/>
      <c r="I58" s="97"/>
      <c r="J58" s="137"/>
    </row>
    <row r="59" spans="1:10" x14ac:dyDescent="0.25">
      <c r="A59" s="67" t="s">
        <v>52</v>
      </c>
      <c r="B59" s="68">
        <f>147003.63+325266.44+1506676.56+206007.44</f>
        <v>2184954.0700000003</v>
      </c>
      <c r="C59" s="69" t="s">
        <v>31</v>
      </c>
      <c r="D59" s="56"/>
      <c r="E59" s="56"/>
      <c r="F59" s="3"/>
      <c r="I59" s="97"/>
      <c r="J59" s="137"/>
    </row>
    <row r="60" spans="1:10" x14ac:dyDescent="0.25">
      <c r="A60" s="67" t="s">
        <v>53</v>
      </c>
      <c r="B60" s="68">
        <f>370994.1</f>
        <v>370994.1</v>
      </c>
      <c r="C60" s="69" t="s">
        <v>54</v>
      </c>
      <c r="D60" s="56"/>
      <c r="E60" s="56"/>
      <c r="F60" s="3"/>
      <c r="I60" s="97"/>
      <c r="J60" s="137"/>
    </row>
    <row r="61" spans="1:10" x14ac:dyDescent="0.25">
      <c r="A61" s="133" t="s">
        <v>77</v>
      </c>
      <c r="B61" s="134">
        <f>C37/1.02</f>
        <v>79084.970588235286</v>
      </c>
      <c r="C61" s="135"/>
      <c r="D61" s="56"/>
      <c r="E61" s="56"/>
      <c r="F61" s="3"/>
      <c r="I61" s="97"/>
      <c r="J61" s="137"/>
    </row>
    <row r="62" spans="1:10" ht="15.75" thickBot="1" x14ac:dyDescent="0.3">
      <c r="A62" s="73" t="s">
        <v>78</v>
      </c>
      <c r="B62" s="74">
        <f>G44</f>
        <v>4462.7142857142853</v>
      </c>
      <c r="C62" s="75" t="s">
        <v>31</v>
      </c>
      <c r="D62" s="56"/>
      <c r="E62" s="56"/>
      <c r="F62" s="3"/>
      <c r="I62" s="97"/>
      <c r="J62" s="137"/>
    </row>
    <row r="63" spans="1:10" x14ac:dyDescent="0.25">
      <c r="A63" s="59"/>
      <c r="B63" s="60"/>
      <c r="C63" s="56"/>
      <c r="D63" s="56"/>
      <c r="E63" s="56"/>
      <c r="F63" s="3"/>
      <c r="I63" s="97"/>
      <c r="J63" s="137"/>
    </row>
    <row r="64" spans="1:10" x14ac:dyDescent="0.25">
      <c r="A64" s="59" t="s">
        <v>142</v>
      </c>
      <c r="B64" s="3">
        <f>C39+B43-B42</f>
        <v>-38344.089680606965</v>
      </c>
      <c r="C64" s="56" t="s">
        <v>31</v>
      </c>
      <c r="D64" s="56"/>
      <c r="E64" s="56"/>
      <c r="F64" s="3"/>
      <c r="I64" s="97"/>
      <c r="J64" s="137"/>
    </row>
    <row r="65" spans="1:10" x14ac:dyDescent="0.25">
      <c r="A65" s="59" t="s">
        <v>130</v>
      </c>
      <c r="B65" s="2">
        <f>B66+B67+B68+B69+B70+B71</f>
        <v>200081.5603193928</v>
      </c>
      <c r="C65" s="56" t="s">
        <v>31</v>
      </c>
      <c r="D65" s="56"/>
      <c r="E65" s="56"/>
      <c r="F65" s="3"/>
      <c r="I65" s="97"/>
      <c r="J65" s="137"/>
    </row>
    <row r="66" spans="1:10" x14ac:dyDescent="0.25">
      <c r="A66" s="77" t="s">
        <v>56</v>
      </c>
      <c r="B66" s="78">
        <f>C20-B44-B62</f>
        <v>80760.570907628775</v>
      </c>
      <c r="C66" s="56" t="s">
        <v>31</v>
      </c>
      <c r="D66" s="56"/>
      <c r="E66" s="56"/>
      <c r="F66" s="3"/>
      <c r="I66" s="97"/>
      <c r="J66" s="137"/>
    </row>
    <row r="67" spans="1:10" x14ac:dyDescent="0.25">
      <c r="A67" s="77" t="s">
        <v>57</v>
      </c>
      <c r="B67" s="78">
        <f>C22-B57</f>
        <v>-96508.22</v>
      </c>
      <c r="C67" s="56" t="s">
        <v>31</v>
      </c>
      <c r="D67" s="56"/>
      <c r="E67" s="56"/>
      <c r="F67" s="3"/>
      <c r="I67" s="97"/>
      <c r="J67" s="137"/>
    </row>
    <row r="68" spans="1:10" x14ac:dyDescent="0.25">
      <c r="A68" s="77" t="s">
        <v>58</v>
      </c>
      <c r="B68" s="78">
        <f>C26-B58</f>
        <v>0</v>
      </c>
      <c r="C68" s="56" t="s">
        <v>31</v>
      </c>
      <c r="D68" s="56"/>
      <c r="E68" s="56"/>
      <c r="F68" s="3"/>
      <c r="I68" s="97"/>
      <c r="J68" s="137"/>
    </row>
    <row r="69" spans="1:10" x14ac:dyDescent="0.25">
      <c r="A69" s="77" t="s">
        <v>59</v>
      </c>
      <c r="B69" s="78">
        <f>C28-B59</f>
        <v>214418.27999999933</v>
      </c>
      <c r="C69" s="56" t="s">
        <v>31</v>
      </c>
      <c r="D69" s="56"/>
      <c r="E69" s="56"/>
      <c r="F69" s="3"/>
      <c r="I69" s="97"/>
      <c r="J69" s="137"/>
    </row>
    <row r="70" spans="1:10" x14ac:dyDescent="0.25">
      <c r="A70" s="77" t="s">
        <v>60</v>
      </c>
      <c r="B70" s="78">
        <f>C35-B60</f>
        <v>-170.77000000001863</v>
      </c>
      <c r="C70" s="56" t="s">
        <v>31</v>
      </c>
      <c r="D70" s="56"/>
      <c r="E70" s="56"/>
      <c r="F70" s="3"/>
      <c r="I70" s="97"/>
      <c r="J70" s="137"/>
    </row>
    <row r="71" spans="1:10" x14ac:dyDescent="0.25">
      <c r="A71" s="77" t="s">
        <v>79</v>
      </c>
      <c r="B71" s="78">
        <f>C37-B61</f>
        <v>1581.6994117647118</v>
      </c>
      <c r="C71" s="56" t="s">
        <v>31</v>
      </c>
      <c r="I71" s="97"/>
      <c r="J71" s="137"/>
    </row>
    <row r="72" spans="1:10" ht="15.75" thickBot="1" x14ac:dyDescent="0.3">
      <c r="A72" s="77"/>
      <c r="B72" s="78"/>
      <c r="C72" s="56"/>
      <c r="D72" s="98"/>
      <c r="E72" s="99"/>
      <c r="F72" s="100"/>
      <c r="G72" s="97"/>
      <c r="I72" s="97"/>
      <c r="J72" s="137"/>
    </row>
    <row r="73" spans="1:10" ht="15.75" thickBot="1" x14ac:dyDescent="0.3">
      <c r="A73" s="128" t="s">
        <v>146</v>
      </c>
      <c r="B73" s="129"/>
      <c r="C73" s="130"/>
      <c r="D73" s="101"/>
      <c r="E73" s="101"/>
      <c r="F73" s="101"/>
      <c r="G73" s="97"/>
      <c r="I73" s="97"/>
      <c r="J73" s="137"/>
    </row>
    <row r="74" spans="1:10" ht="54" customHeight="1" thickBot="1" x14ac:dyDescent="0.3">
      <c r="A74" s="79" t="s">
        <v>80</v>
      </c>
      <c r="B74" s="80" t="s">
        <v>61</v>
      </c>
      <c r="C74" s="81" t="s">
        <v>67</v>
      </c>
      <c r="D74" s="102"/>
      <c r="E74" s="103"/>
      <c r="F74" s="104"/>
      <c r="G74" s="97"/>
      <c r="I74" s="97"/>
      <c r="J74" s="137"/>
    </row>
    <row r="75" spans="1:10" x14ac:dyDescent="0.25">
      <c r="A75" s="82" t="s">
        <v>62</v>
      </c>
      <c r="B75" s="113" t="s">
        <v>31</v>
      </c>
      <c r="C75" s="114" t="s">
        <v>31</v>
      </c>
      <c r="D75" s="102"/>
      <c r="E75" s="103"/>
      <c r="F75" s="104"/>
      <c r="G75" s="97"/>
      <c r="I75" s="97"/>
      <c r="J75" s="137"/>
    </row>
    <row r="76" spans="1:10" ht="30" x14ac:dyDescent="0.25">
      <c r="A76" s="201" t="s">
        <v>145</v>
      </c>
      <c r="B76" s="43"/>
      <c r="C76" s="185">
        <f>95077.52</f>
        <v>95077.52</v>
      </c>
      <c r="D76" s="102"/>
      <c r="E76" s="103"/>
      <c r="F76" s="104"/>
      <c r="G76" s="97"/>
      <c r="I76" s="97"/>
      <c r="J76" s="137"/>
    </row>
    <row r="77" spans="1:10" x14ac:dyDescent="0.25">
      <c r="A77" s="76" t="s">
        <v>200</v>
      </c>
      <c r="B77" s="43"/>
      <c r="C77" s="281">
        <v>1430.7</v>
      </c>
      <c r="D77" s="102"/>
      <c r="E77" s="103"/>
      <c r="F77" s="104"/>
      <c r="G77" s="97"/>
    </row>
    <row r="78" spans="1:10" ht="15.75" thickBot="1" x14ac:dyDescent="0.3">
      <c r="A78" s="145" t="s">
        <v>5</v>
      </c>
      <c r="B78" s="146">
        <f>B76</f>
        <v>0</v>
      </c>
      <c r="C78" s="147">
        <f>SUM(C76:C77)</f>
        <v>96508.22</v>
      </c>
      <c r="D78" s="105"/>
      <c r="E78" s="103"/>
      <c r="F78" s="104"/>
      <c r="G78" s="97"/>
    </row>
    <row r="79" spans="1:10" x14ac:dyDescent="0.25">
      <c r="A79" s="31"/>
      <c r="B79" s="33"/>
      <c r="C79" s="87"/>
      <c r="D79" s="105"/>
      <c r="E79" s="103"/>
      <c r="F79" s="104"/>
      <c r="G79" s="97"/>
    </row>
    <row r="80" spans="1:10" x14ac:dyDescent="0.25">
      <c r="A80" s="31"/>
      <c r="B80" s="33"/>
      <c r="C80" s="56"/>
      <c r="D80" s="88"/>
      <c r="E80" s="89"/>
    </row>
    <row r="81" spans="1:6" x14ac:dyDescent="0.25">
      <c r="A81" s="164" t="s">
        <v>132</v>
      </c>
      <c r="B81" s="149"/>
      <c r="C81" s="215"/>
      <c r="D81" s="216"/>
      <c r="E81" s="89"/>
    </row>
    <row r="82" spans="1:6" x14ac:dyDescent="0.25">
      <c r="A82" s="217"/>
      <c r="B82" s="149"/>
      <c r="C82" s="215"/>
      <c r="D82" s="218"/>
      <c r="E82" s="89"/>
    </row>
    <row r="83" spans="1:6" x14ac:dyDescent="0.25">
      <c r="A83" s="165" t="s">
        <v>133</v>
      </c>
      <c r="B83" s="149" t="s">
        <v>134</v>
      </c>
      <c r="C83" s="219"/>
      <c r="D83" s="216"/>
      <c r="E83" s="89"/>
    </row>
    <row r="84" spans="1:6" x14ac:dyDescent="0.25">
      <c r="A84" s="165"/>
      <c r="B84" s="149"/>
      <c r="C84" s="219"/>
      <c r="D84" s="216"/>
      <c r="E84" s="89"/>
      <c r="F84" s="94"/>
    </row>
    <row r="85" spans="1:6" x14ac:dyDescent="0.25">
      <c r="A85" s="220"/>
      <c r="B85" s="221"/>
      <c r="C85" s="219"/>
      <c r="D85" s="150"/>
      <c r="E85" s="89"/>
    </row>
    <row r="86" spans="1:6" ht="15.75" x14ac:dyDescent="0.25">
      <c r="A86" s="223" t="s">
        <v>63</v>
      </c>
      <c r="B86" s="224" t="s">
        <v>134</v>
      </c>
      <c r="C86" s="225"/>
      <c r="D86" s="226" t="s">
        <v>66</v>
      </c>
      <c r="E86" s="89"/>
    </row>
    <row r="87" spans="1:6" x14ac:dyDescent="0.25">
      <c r="A87" s="91"/>
      <c r="B87" s="92"/>
      <c r="C87" s="87"/>
      <c r="D87" s="88"/>
      <c r="E87" s="89"/>
    </row>
    <row r="88" spans="1:6" x14ac:dyDescent="0.25">
      <c r="A88" s="31"/>
      <c r="B88" s="33"/>
      <c r="C88" s="89"/>
      <c r="D88" s="56"/>
      <c r="E88" s="56"/>
      <c r="F88" s="3"/>
    </row>
    <row r="89" spans="1:6" x14ac:dyDescent="0.25">
      <c r="A89" s="31"/>
      <c r="B89" s="33"/>
      <c r="C89" s="56"/>
      <c r="D89" s="56"/>
      <c r="E89" s="89"/>
    </row>
    <row r="90" spans="1:6" x14ac:dyDescent="0.25">
      <c r="A90" s="19"/>
      <c r="B90" s="20"/>
      <c r="C90" s="89"/>
      <c r="D90" s="56"/>
      <c r="E90" s="56"/>
    </row>
    <row r="91" spans="1:6" x14ac:dyDescent="0.25">
      <c r="A91" s="31"/>
      <c r="B91" s="33"/>
      <c r="C91" s="89"/>
      <c r="D91" s="89"/>
      <c r="E91" s="89"/>
    </row>
    <row r="92" spans="1:6" x14ac:dyDescent="0.25">
      <c r="A92" s="31"/>
      <c r="B92" s="33"/>
      <c r="C92" s="33"/>
      <c r="D92" s="89"/>
      <c r="E92" s="89"/>
    </row>
    <row r="93" spans="1:6" x14ac:dyDescent="0.25">
      <c r="A93" s="31"/>
      <c r="B93" s="33"/>
      <c r="C93" s="33"/>
      <c r="D93" s="89"/>
      <c r="E93" s="89"/>
    </row>
    <row r="94" spans="1:6" x14ac:dyDescent="0.25">
      <c r="A94" s="31"/>
      <c r="B94" s="33"/>
      <c r="C94" s="33"/>
      <c r="D94" s="89"/>
      <c r="E94" s="89"/>
    </row>
    <row r="95" spans="1:6" x14ac:dyDescent="0.25">
      <c r="A95" s="31"/>
      <c r="B95" s="33"/>
      <c r="D95" s="89"/>
      <c r="E95" s="89"/>
    </row>
    <row r="96" spans="1:6" x14ac:dyDescent="0.25">
      <c r="D96" s="89"/>
      <c r="E96" s="89"/>
    </row>
    <row r="97" spans="2:6" x14ac:dyDescent="0.25">
      <c r="D97" s="56"/>
      <c r="E97" s="56"/>
      <c r="F97" s="3"/>
    </row>
    <row r="98" spans="2:6" x14ac:dyDescent="0.25">
      <c r="D98" s="89"/>
      <c r="E98" s="89"/>
      <c r="F98" s="3"/>
    </row>
    <row r="99" spans="2:6" x14ac:dyDescent="0.25">
      <c r="D99" s="89"/>
      <c r="E99" s="89"/>
    </row>
    <row r="100" spans="2:6" x14ac:dyDescent="0.25">
      <c r="B100"/>
      <c r="C100"/>
      <c r="D100" s="33"/>
      <c r="E100" s="33"/>
    </row>
    <row r="101" spans="2:6" x14ac:dyDescent="0.25">
      <c r="B101"/>
      <c r="C101"/>
      <c r="D101" s="33"/>
      <c r="E101" s="33"/>
    </row>
    <row r="102" spans="2:6" x14ac:dyDescent="0.25">
      <c r="B102"/>
      <c r="C102"/>
      <c r="D102" s="33"/>
      <c r="E102" s="33"/>
    </row>
    <row r="103" spans="2:6" x14ac:dyDescent="0.25">
      <c r="B103"/>
      <c r="C103"/>
    </row>
    <row r="104" spans="2:6" x14ac:dyDescent="0.25">
      <c r="B104"/>
      <c r="C104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V119"/>
  <sheetViews>
    <sheetView view="pageBreakPreview" topLeftCell="A46" zoomScale="60" zoomScaleNormal="100" workbookViewId="0">
      <selection activeCell="B78" sqref="B78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143</v>
      </c>
      <c r="B2" s="2"/>
      <c r="C2" s="2"/>
      <c r="D2" s="2"/>
    </row>
    <row r="3" spans="1:22" ht="15.75" thickBot="1" x14ac:dyDescent="0.3">
      <c r="A3" s="1"/>
      <c r="B3" s="2"/>
      <c r="C3" s="2"/>
      <c r="D3" s="2"/>
      <c r="L3" s="108"/>
      <c r="M3" s="108"/>
      <c r="N3" s="108"/>
      <c r="O3" s="108"/>
    </row>
    <row r="4" spans="1:22" ht="15.75" thickBot="1" x14ac:dyDescent="0.3">
      <c r="A4" s="22" t="s">
        <v>0</v>
      </c>
      <c r="B4" s="126"/>
      <c r="C4" s="126"/>
      <c r="D4" s="127"/>
      <c r="L4" s="108"/>
      <c r="M4" s="108"/>
      <c r="N4" s="108"/>
      <c r="O4" s="108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L5" s="108"/>
      <c r="M5" s="108"/>
      <c r="N5" s="108"/>
      <c r="O5" s="108"/>
    </row>
    <row r="6" spans="1:22" x14ac:dyDescent="0.25">
      <c r="A6" s="10" t="s">
        <v>85</v>
      </c>
      <c r="B6" s="11"/>
      <c r="C6" s="11">
        <v>1068.5</v>
      </c>
      <c r="D6" s="12">
        <v>62</v>
      </c>
      <c r="L6" s="108"/>
      <c r="M6" s="108"/>
      <c r="N6" s="108"/>
      <c r="O6" s="108"/>
    </row>
    <row r="7" spans="1:22" x14ac:dyDescent="0.25">
      <c r="A7" s="13"/>
      <c r="B7" s="14"/>
      <c r="C7" s="14"/>
      <c r="D7" s="15"/>
      <c r="L7" s="108"/>
      <c r="M7" s="108"/>
      <c r="N7" s="108"/>
      <c r="O7" s="108"/>
    </row>
    <row r="8" spans="1:22" ht="15.75" thickBot="1" x14ac:dyDescent="0.3">
      <c r="A8" s="16" t="s">
        <v>5</v>
      </c>
      <c r="B8" s="17"/>
      <c r="C8" s="17">
        <f>C6+C7</f>
        <v>1068.5</v>
      </c>
      <c r="D8" s="18">
        <f>D6</f>
        <v>62</v>
      </c>
      <c r="L8" s="108"/>
      <c r="M8" s="108"/>
      <c r="N8" s="108"/>
      <c r="O8" s="108"/>
    </row>
    <row r="9" spans="1:22" ht="15.75" thickBot="1" x14ac:dyDescent="0.3">
      <c r="A9" s="19"/>
      <c r="B9" s="20"/>
      <c r="C9" s="20"/>
      <c r="D9" s="21"/>
      <c r="L9" s="108"/>
      <c r="M9" s="108"/>
      <c r="N9" s="108"/>
      <c r="O9" s="108"/>
    </row>
    <row r="10" spans="1:22" ht="15.75" thickBot="1" x14ac:dyDescent="0.3">
      <c r="A10" s="22" t="s">
        <v>112</v>
      </c>
      <c r="B10" s="23"/>
      <c r="C10" s="23"/>
      <c r="D10" s="24" t="s">
        <v>6</v>
      </c>
      <c r="F10" s="97"/>
      <c r="G10" s="97"/>
      <c r="H10" s="97"/>
      <c r="I10" s="97"/>
      <c r="J10" s="97"/>
      <c r="K10" s="97"/>
      <c r="L10" s="108"/>
      <c r="M10" s="108"/>
      <c r="N10" s="108"/>
      <c r="O10" s="108"/>
    </row>
    <row r="11" spans="1:22" x14ac:dyDescent="0.25">
      <c r="A11" s="25" t="s">
        <v>7</v>
      </c>
      <c r="B11" s="20"/>
      <c r="C11" s="20"/>
      <c r="D11" s="26">
        <v>16.52</v>
      </c>
      <c r="F11" s="97"/>
      <c r="G11" s="97"/>
      <c r="H11" s="97"/>
      <c r="I11" s="97"/>
      <c r="J11" s="97"/>
      <c r="K11" s="97"/>
      <c r="L11" s="108"/>
      <c r="M11" s="108"/>
      <c r="N11" s="108"/>
      <c r="O11" s="108"/>
    </row>
    <row r="12" spans="1:22" x14ac:dyDescent="0.25">
      <c r="A12" s="25" t="s">
        <v>8</v>
      </c>
      <c r="B12" s="20"/>
      <c r="C12" s="20"/>
      <c r="D12" s="27">
        <v>6.4</v>
      </c>
      <c r="F12" s="97"/>
      <c r="G12" s="97"/>
      <c r="H12" s="97"/>
      <c r="I12" s="97"/>
      <c r="J12" s="97"/>
      <c r="K12" s="97"/>
      <c r="L12" s="108"/>
      <c r="M12" s="108"/>
      <c r="N12" s="108"/>
      <c r="O12" s="108"/>
    </row>
    <row r="13" spans="1:22" x14ac:dyDescent="0.25">
      <c r="A13" s="25" t="s">
        <v>9</v>
      </c>
      <c r="B13" s="20"/>
      <c r="C13" s="20"/>
      <c r="D13" s="26"/>
      <c r="F13" s="97"/>
      <c r="G13" s="97"/>
      <c r="H13" s="97"/>
      <c r="I13" s="97"/>
      <c r="J13" s="97"/>
      <c r="K13" s="97"/>
      <c r="L13" s="108"/>
      <c r="M13" s="108"/>
      <c r="N13" s="108"/>
      <c r="O13" s="108"/>
    </row>
    <row r="14" spans="1:22" ht="15.75" thickBot="1" x14ac:dyDescent="0.3">
      <c r="A14" s="28" t="s">
        <v>10</v>
      </c>
      <c r="B14" s="29"/>
      <c r="C14" s="29"/>
      <c r="D14" s="30">
        <v>0</v>
      </c>
      <c r="F14" s="97"/>
      <c r="G14" s="97"/>
      <c r="H14" s="97"/>
      <c r="I14" s="97"/>
      <c r="J14" s="97"/>
      <c r="K14" s="97"/>
      <c r="L14" s="108"/>
      <c r="M14" s="108"/>
      <c r="N14" s="108"/>
      <c r="O14" s="108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97"/>
      <c r="G15" s="97"/>
      <c r="H15" s="97"/>
      <c r="I15" s="97"/>
      <c r="J15" s="97"/>
      <c r="K15" s="97"/>
      <c r="L15" s="108"/>
      <c r="M15" s="108"/>
      <c r="N15" s="108"/>
      <c r="O15" s="108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113</v>
      </c>
      <c r="B16" s="126"/>
      <c r="C16" s="126"/>
      <c r="D16" s="126"/>
      <c r="E16" s="127"/>
      <c r="F16" s="97"/>
      <c r="G16" s="97"/>
      <c r="H16" s="97"/>
      <c r="I16" s="97"/>
      <c r="J16" s="97"/>
      <c r="K16" s="97"/>
      <c r="L16" s="108"/>
      <c r="M16" s="109"/>
      <c r="N16" s="109"/>
      <c r="O16" s="108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39"/>
      <c r="F17" s="97"/>
      <c r="G17" s="97"/>
      <c r="H17" s="97"/>
      <c r="I17" s="97"/>
      <c r="J17" s="97"/>
      <c r="K17" s="97"/>
      <c r="L17" s="109"/>
      <c r="M17" s="110"/>
      <c r="N17" s="109"/>
      <c r="O17" s="108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39"/>
      <c r="F18" s="97"/>
      <c r="G18" s="97"/>
      <c r="H18" s="97"/>
      <c r="I18" s="97"/>
      <c r="J18" s="97"/>
      <c r="K18" s="97"/>
      <c r="L18" s="108"/>
      <c r="M18" s="108"/>
      <c r="N18" s="108"/>
      <c r="O18" s="108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114</v>
      </c>
      <c r="C19" s="38" t="s">
        <v>115</v>
      </c>
      <c r="D19" s="38" t="s">
        <v>116</v>
      </c>
      <c r="E19" s="39" t="s">
        <v>117</v>
      </c>
      <c r="F19" s="97"/>
      <c r="G19" s="97"/>
      <c r="H19" s="97"/>
      <c r="I19" s="97"/>
      <c r="J19" s="97"/>
      <c r="K19" s="97"/>
      <c r="L19" s="108"/>
      <c r="M19" s="111"/>
      <c r="N19" s="111"/>
      <c r="O19" s="108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40">
        <f>34428.78</f>
        <v>34428.78</v>
      </c>
      <c r="C20" s="41">
        <f>211819.32</f>
        <v>211819.32</v>
      </c>
      <c r="D20" s="40">
        <f>207197.47+2323.16</f>
        <v>209520.63</v>
      </c>
      <c r="E20" s="42">
        <f t="shared" ref="E20:E38" si="0">C20-D20+B20</f>
        <v>36727.47</v>
      </c>
      <c r="F20" s="116">
        <f>C20+F22</f>
        <v>293880.12</v>
      </c>
      <c r="G20" s="117">
        <f>100</f>
        <v>100</v>
      </c>
      <c r="H20" s="115" t="s">
        <v>64</v>
      </c>
      <c r="I20" s="97"/>
      <c r="J20" s="97"/>
      <c r="K20" s="97"/>
      <c r="L20" s="108"/>
      <c r="M20" s="108"/>
      <c r="N20" s="108"/>
      <c r="O20" s="108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43"/>
      <c r="C21" s="44"/>
      <c r="D21" s="43"/>
      <c r="E21" s="45">
        <f t="shared" si="0"/>
        <v>0</v>
      </c>
      <c r="F21" s="116"/>
      <c r="G21" s="117"/>
      <c r="H21" s="115"/>
      <c r="I21" s="97"/>
      <c r="J21" s="97"/>
      <c r="K21" s="97"/>
      <c r="L21" s="108"/>
      <c r="M21" s="108"/>
      <c r="N21" s="108"/>
      <c r="O21" s="108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43">
        <f>13073.38</f>
        <v>13073.38</v>
      </c>
      <c r="C22" s="44">
        <f>82060.8</f>
        <v>82060.800000000003</v>
      </c>
      <c r="D22" s="43">
        <f>80034.44+900.01</f>
        <v>80934.45</v>
      </c>
      <c r="E22" s="45">
        <f t="shared" si="0"/>
        <v>14199.730000000005</v>
      </c>
      <c r="F22" s="116">
        <f>C22</f>
        <v>82060.800000000003</v>
      </c>
      <c r="G22" s="118">
        <f>F22*G20/F20</f>
        <v>27.92322257116269</v>
      </c>
      <c r="H22" s="115" t="s">
        <v>64</v>
      </c>
      <c r="I22" s="97"/>
      <c r="J22" s="97"/>
      <c r="K22" s="97"/>
      <c r="L22" s="108"/>
      <c r="M22" s="108"/>
      <c r="N22" s="111"/>
      <c r="O22" s="108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43"/>
      <c r="C23" s="44"/>
      <c r="D23" s="44"/>
      <c r="E23" s="45">
        <f t="shared" si="0"/>
        <v>0</v>
      </c>
      <c r="F23" s="97"/>
      <c r="G23" s="97"/>
      <c r="H23" s="97"/>
      <c r="I23" s="97"/>
      <c r="J23" s="97"/>
      <c r="K23" s="97"/>
      <c r="L23" s="108"/>
      <c r="M23" s="108"/>
      <c r="N23" s="108"/>
      <c r="O23" s="108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44"/>
      <c r="C24" s="44"/>
      <c r="D24" s="44"/>
      <c r="E24" s="45">
        <f t="shared" si="0"/>
        <v>0</v>
      </c>
      <c r="F24" s="97"/>
      <c r="G24" s="97"/>
      <c r="H24" s="97"/>
      <c r="I24" s="97"/>
      <c r="J24" s="97"/>
      <c r="K24" s="97"/>
      <c r="L24" s="108"/>
      <c r="M24" s="108"/>
      <c r="N24" s="108"/>
      <c r="O24" s="108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44"/>
      <c r="C25" s="44"/>
      <c r="D25" s="44"/>
      <c r="E25" s="45">
        <f t="shared" si="0"/>
        <v>0</v>
      </c>
      <c r="F25" s="97"/>
      <c r="G25" s="97"/>
      <c r="H25" s="97"/>
      <c r="I25" s="97"/>
      <c r="J25" s="97"/>
      <c r="K25" s="97"/>
      <c r="L25" s="108"/>
      <c r="M25" s="108"/>
      <c r="N25" s="108"/>
      <c r="O25" s="108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44"/>
      <c r="C26" s="44"/>
      <c r="D26" s="44"/>
      <c r="E26" s="45">
        <f t="shared" si="0"/>
        <v>0</v>
      </c>
      <c r="F26" s="97"/>
      <c r="G26" s="97"/>
      <c r="H26" s="97"/>
      <c r="I26" s="97"/>
      <c r="J26" s="97"/>
      <c r="K26" s="97"/>
      <c r="L26" s="108"/>
      <c r="M26" s="108"/>
      <c r="N26" s="108"/>
      <c r="O26" s="108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83</v>
      </c>
      <c r="B27" s="44"/>
      <c r="C27" s="44"/>
      <c r="D27" s="44"/>
      <c r="E27" s="45">
        <f t="shared" si="0"/>
        <v>0</v>
      </c>
      <c r="F27" s="97"/>
      <c r="G27" s="97"/>
      <c r="H27" s="97"/>
      <c r="I27" s="97"/>
      <c r="J27" s="97"/>
      <c r="K27" s="97"/>
      <c r="L27" s="108"/>
      <c r="M27" s="108"/>
      <c r="N27" s="108"/>
      <c r="O27" s="108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83568.62999999999</v>
      </c>
      <c r="C28" s="50">
        <f>C29+C30+C31+C33</f>
        <v>553330.22</v>
      </c>
      <c r="D28" s="50">
        <f>D29+D30+D31+D33</f>
        <v>601702.24</v>
      </c>
      <c r="E28" s="51">
        <f>C28-D28+B28</f>
        <v>35196.609999999971</v>
      </c>
      <c r="F28" s="97"/>
      <c r="G28" s="97"/>
      <c r="H28" s="97"/>
      <c r="I28" s="97"/>
      <c r="J28" s="97"/>
      <c r="K28" s="97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40">
        <f>51981.71</f>
        <v>51981.71</v>
      </c>
      <c r="C29" s="40">
        <f>330487-57100.62</f>
        <v>273386.38</v>
      </c>
      <c r="D29" s="40">
        <f>321740.1+2674.47</f>
        <v>324414.56999999995</v>
      </c>
      <c r="E29" s="42">
        <f t="shared" si="0"/>
        <v>953.52000000005501</v>
      </c>
      <c r="F29" s="97"/>
      <c r="G29" s="97"/>
      <c r="H29" s="97"/>
      <c r="I29" s="97"/>
      <c r="J29" s="97"/>
      <c r="K29" s="97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ht="15.75" customHeight="1" x14ac:dyDescent="0.25">
      <c r="A30" s="53" t="s">
        <v>23</v>
      </c>
      <c r="B30" s="43">
        <f>2268.49+17024.86</f>
        <v>19293.349999999999</v>
      </c>
      <c r="C30" s="43">
        <f>27134.44+150768.68+833.7+65.14-3755.03</f>
        <v>175046.93000000002</v>
      </c>
      <c r="D30" s="43">
        <f>27195.08+145311.78+581.45+199.78+72.39+9.72</f>
        <v>173370.2</v>
      </c>
      <c r="E30" s="45">
        <f>C30-D30+B30</f>
        <v>20970.080000000009</v>
      </c>
      <c r="F30" s="97"/>
      <c r="G30" s="97"/>
      <c r="H30" s="97"/>
      <c r="I30" s="97"/>
      <c r="J30" s="97"/>
      <c r="K30" s="97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43">
        <f>4291.53</f>
        <v>4291.53</v>
      </c>
      <c r="C31" s="43">
        <f>39368.09-941.78+128.16</f>
        <v>38554.47</v>
      </c>
      <c r="D31" s="43">
        <f>37518.12+58.71+89.35+1.49</f>
        <v>37667.67</v>
      </c>
      <c r="E31" s="45">
        <f t="shared" si="0"/>
        <v>5178.3300000000027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hidden="1" x14ac:dyDescent="0.25">
      <c r="A32" s="53" t="s">
        <v>72</v>
      </c>
      <c r="B32" s="43"/>
      <c r="C32" s="43"/>
      <c r="D32" s="43"/>
      <c r="E32" s="45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43">
        <f>8002.04</f>
        <v>8002.04</v>
      </c>
      <c r="C33" s="43">
        <f>67866.32-1523.88</f>
        <v>66342.44</v>
      </c>
      <c r="D33" s="43">
        <f>66141.46+108.34</f>
        <v>66249.8</v>
      </c>
      <c r="E33" s="45">
        <f t="shared" si="0"/>
        <v>8094.6799999999994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43"/>
      <c r="C34" s="44"/>
      <c r="D34" s="44"/>
      <c r="E34" s="45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74</v>
      </c>
      <c r="B35" s="54">
        <f>-595.61-2315.06</f>
        <v>-2910.67</v>
      </c>
      <c r="C35" s="55">
        <f>67442.63-962.2</f>
        <v>66480.430000000008</v>
      </c>
      <c r="D35" s="55">
        <f>58718.92+0.07+785.19</f>
        <v>59504.18</v>
      </c>
      <c r="E35" s="45">
        <f t="shared" si="0"/>
        <v>4065.5800000000072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44"/>
      <c r="C36" s="44"/>
      <c r="D36" s="44"/>
      <c r="E36" s="45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155</v>
      </c>
      <c r="B37" s="44">
        <f>-3296.11-1109.99</f>
        <v>-4406.1000000000004</v>
      </c>
      <c r="C37" s="44">
        <f>2783.93+456.42-3282.48-456.42+13303.89+4434.63</f>
        <v>17239.97</v>
      </c>
      <c r="D37" s="44">
        <f>3879.95+608.11+1.5+14823.1</f>
        <v>19312.66</v>
      </c>
      <c r="E37" s="45">
        <f t="shared" si="0"/>
        <v>-6478.7899999999991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46"/>
      <c r="C38" s="46"/>
      <c r="D38" s="46"/>
      <c r="E38" s="47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123754.01999999997</v>
      </c>
      <c r="C39" s="58">
        <f>C20+C21+C22+C23+C24+C25+C26+C28+C35+C36+C37+C38</f>
        <v>930930.74</v>
      </c>
      <c r="D39" s="58">
        <f>D20+D21+D22+D23+D24+D25+D26+D28+D35+D36+D37+D38+D27</f>
        <v>970974.16000000015</v>
      </c>
      <c r="E39" s="58">
        <f>E20+E21+E22+E23+E24+E25+E26+E28+E35+E36+E37+E38+E27</f>
        <v>83710.599999999977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59"/>
      <c r="B40" s="60"/>
      <c r="C40" s="56"/>
      <c r="D40" s="122"/>
      <c r="E40" s="122"/>
      <c r="F40" s="123"/>
      <c r="G40" s="124"/>
      <c r="H40" s="124"/>
      <c r="I40" s="124"/>
      <c r="J40" s="137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59"/>
      <c r="B41" s="60"/>
      <c r="C41" s="56"/>
      <c r="D41" s="119"/>
      <c r="E41" s="119"/>
      <c r="F41" s="138"/>
      <c r="G41" s="115"/>
      <c r="H41" s="137"/>
      <c r="I41" s="137"/>
      <c r="J41" s="137"/>
    </row>
    <row r="42" spans="1:22" ht="15.75" thickBot="1" x14ac:dyDescent="0.3">
      <c r="A42" s="61" t="s">
        <v>30</v>
      </c>
      <c r="B42" s="62">
        <f>B44+B59+B60+B57+B62+B58+B61</f>
        <v>824422.55257340625</v>
      </c>
      <c r="C42" s="63" t="s">
        <v>31</v>
      </c>
      <c r="D42" s="119">
        <f>C39-B42-B62</f>
        <v>104891.96893919878</v>
      </c>
      <c r="E42" s="272" t="s">
        <v>32</v>
      </c>
      <c r="F42" s="273">
        <f>5512727.45</f>
        <v>5512727.4500000002</v>
      </c>
      <c r="G42" s="274">
        <f>F42/F48*C8</f>
        <v>49498.73344810924</v>
      </c>
      <c r="H42" s="137"/>
      <c r="I42" s="137"/>
      <c r="J42" s="137"/>
    </row>
    <row r="43" spans="1:22" x14ac:dyDescent="0.25">
      <c r="A43" s="59" t="s">
        <v>147</v>
      </c>
      <c r="B43" s="86">
        <f>100319.57</f>
        <v>100319.57</v>
      </c>
      <c r="C43" s="66"/>
      <c r="D43" s="119"/>
      <c r="E43" s="272" t="s">
        <v>33</v>
      </c>
      <c r="F43" s="273">
        <f>1264951.09</f>
        <v>1264951.0900000001</v>
      </c>
      <c r="G43" s="274">
        <f>F43/F48*C8</f>
        <v>11357.985207268908</v>
      </c>
      <c r="H43" s="137"/>
      <c r="I43" s="137"/>
      <c r="J43" s="137"/>
    </row>
    <row r="44" spans="1:22" x14ac:dyDescent="0.25">
      <c r="A44" s="67" t="s">
        <v>34</v>
      </c>
      <c r="B44" s="160">
        <f>B45+B46+B48+B49+B50+B51+B52+B53+B54+B55+B56+B47</f>
        <v>196592.62271346216</v>
      </c>
      <c r="C44" s="69" t="s">
        <v>31</v>
      </c>
      <c r="D44" s="119"/>
      <c r="E44" s="272" t="s">
        <v>35</v>
      </c>
      <c r="F44" s="273">
        <v>180000</v>
      </c>
      <c r="G44" s="274">
        <f>F44/F48*C8</f>
        <v>1616.2184873949579</v>
      </c>
      <c r="H44" s="137"/>
      <c r="I44" s="137"/>
      <c r="J44" s="137"/>
    </row>
    <row r="45" spans="1:22" x14ac:dyDescent="0.25">
      <c r="A45" s="70" t="s">
        <v>76</v>
      </c>
      <c r="B45" s="184">
        <f>18671.28</f>
        <v>18671.28</v>
      </c>
      <c r="C45" s="71" t="s">
        <v>31</v>
      </c>
      <c r="D45" s="119"/>
      <c r="E45" s="272" t="s">
        <v>18</v>
      </c>
      <c r="F45" s="273">
        <f>299837.27</f>
        <v>299837.27</v>
      </c>
      <c r="G45" s="274">
        <f>F45/F48*C8</f>
        <v>2692.236327689076</v>
      </c>
      <c r="H45" s="137"/>
      <c r="I45" s="137"/>
      <c r="J45" s="137"/>
    </row>
    <row r="46" spans="1:22" x14ac:dyDescent="0.25">
      <c r="A46" s="72" t="s">
        <v>37</v>
      </c>
      <c r="B46" s="184">
        <f>G42+G43</f>
        <v>60856.71865537815</v>
      </c>
      <c r="C46" s="71" t="s">
        <v>31</v>
      </c>
      <c r="D46" s="119"/>
      <c r="E46" s="275" t="s">
        <v>38</v>
      </c>
      <c r="F46" s="273">
        <f>7000+1260+30890+4200</f>
        <v>43350</v>
      </c>
      <c r="G46" s="274">
        <f>F46/F48*C8</f>
        <v>389.2392857142857</v>
      </c>
      <c r="H46" s="137"/>
      <c r="I46" s="137"/>
      <c r="J46" s="137"/>
    </row>
    <row r="47" spans="1:22" x14ac:dyDescent="0.25">
      <c r="A47" s="72" t="s">
        <v>39</v>
      </c>
      <c r="B47" s="184">
        <v>7200</v>
      </c>
      <c r="C47" s="71" t="s">
        <v>31</v>
      </c>
      <c r="D47" s="119"/>
      <c r="E47" s="274" t="s">
        <v>12</v>
      </c>
      <c r="F47" s="273">
        <f>8022857.59-F46</f>
        <v>7979507.5899999999</v>
      </c>
      <c r="G47" s="274">
        <f>F47/F48*C8</f>
        <v>71647.931595924369</v>
      </c>
      <c r="H47" s="137"/>
      <c r="I47" s="137"/>
      <c r="J47" s="137"/>
    </row>
    <row r="48" spans="1:22" x14ac:dyDescent="0.25">
      <c r="A48" s="70" t="s">
        <v>40</v>
      </c>
      <c r="B48" s="184">
        <f>G46+15312.05</f>
        <v>15701.289285714285</v>
      </c>
      <c r="C48" s="71" t="s">
        <v>31</v>
      </c>
      <c r="D48" s="119"/>
      <c r="E48" s="276" t="s">
        <v>41</v>
      </c>
      <c r="F48" s="277">
        <f>119000</f>
        <v>119000</v>
      </c>
      <c r="G48" s="274"/>
      <c r="H48" s="137"/>
      <c r="I48" s="137"/>
      <c r="J48" s="137"/>
    </row>
    <row r="49" spans="1:10" x14ac:dyDescent="0.25">
      <c r="A49" s="70" t="s">
        <v>42</v>
      </c>
      <c r="B49" s="184">
        <f>G45</f>
        <v>2692.236327689076</v>
      </c>
      <c r="C49" s="71" t="s">
        <v>31</v>
      </c>
      <c r="D49" s="119"/>
      <c r="E49" s="278"/>
      <c r="F49" s="274"/>
      <c r="G49" s="274"/>
      <c r="H49" s="137"/>
      <c r="I49" s="137"/>
      <c r="J49" s="137"/>
    </row>
    <row r="50" spans="1:10" x14ac:dyDescent="0.25">
      <c r="A50" s="70" t="s">
        <v>141</v>
      </c>
      <c r="B50" s="184">
        <f>G47</f>
        <v>71647.931595924369</v>
      </c>
      <c r="C50" s="71" t="s">
        <v>31</v>
      </c>
      <c r="D50" s="119"/>
      <c r="E50" s="279" t="s">
        <v>70</v>
      </c>
      <c r="F50" s="277">
        <f>1910.32</f>
        <v>1910.32</v>
      </c>
      <c r="G50" s="279">
        <f>F50/F48*C8</f>
        <v>17.152747226890757</v>
      </c>
      <c r="H50" s="137"/>
      <c r="I50" s="137"/>
      <c r="J50" s="137"/>
    </row>
    <row r="51" spans="1:10" x14ac:dyDescent="0.25">
      <c r="A51" s="70" t="s">
        <v>44</v>
      </c>
      <c r="B51" s="184">
        <f>G52</f>
        <v>147.52124033613444</v>
      </c>
      <c r="C51" s="71" t="s">
        <v>31</v>
      </c>
      <c r="D51" s="119"/>
      <c r="E51" s="119"/>
      <c r="F51" s="120"/>
      <c r="G51" s="121"/>
      <c r="H51" s="137"/>
      <c r="I51" s="137"/>
      <c r="J51" s="137"/>
    </row>
    <row r="52" spans="1:10" x14ac:dyDescent="0.25">
      <c r="A52" s="70" t="s">
        <v>45</v>
      </c>
      <c r="B52" s="184">
        <f>G50</f>
        <v>17.152747226890757</v>
      </c>
      <c r="C52" s="71" t="s">
        <v>31</v>
      </c>
      <c r="D52" s="119"/>
      <c r="E52" s="119" t="s">
        <v>125</v>
      </c>
      <c r="F52" s="280">
        <f>16429.6</f>
        <v>16429.599999999999</v>
      </c>
      <c r="G52" s="279">
        <f>F52/F48*C8</f>
        <v>147.52124033613444</v>
      </c>
      <c r="H52" s="137"/>
      <c r="I52" s="137"/>
      <c r="J52" s="137"/>
    </row>
    <row r="53" spans="1:10" x14ac:dyDescent="0.25">
      <c r="A53" s="70" t="s">
        <v>46</v>
      </c>
      <c r="B53" s="184"/>
      <c r="C53" s="71" t="s">
        <v>31</v>
      </c>
      <c r="D53" s="119"/>
      <c r="E53" s="119" t="s">
        <v>65</v>
      </c>
      <c r="F53" s="120">
        <v>30234.54</v>
      </c>
      <c r="G53" s="121"/>
      <c r="H53" s="137"/>
      <c r="I53" s="124"/>
      <c r="J53" s="137"/>
    </row>
    <row r="54" spans="1:10" x14ac:dyDescent="0.25">
      <c r="A54" s="70" t="s">
        <v>47</v>
      </c>
      <c r="B54" s="184"/>
      <c r="C54" s="71" t="s">
        <v>31</v>
      </c>
      <c r="D54" s="119"/>
      <c r="E54" s="119" t="s">
        <v>86</v>
      </c>
      <c r="F54" s="120">
        <f>F52/F53*C8</f>
        <v>580.62823512446357</v>
      </c>
      <c r="G54" s="121"/>
      <c r="H54" s="137"/>
      <c r="I54" s="124"/>
      <c r="J54" s="137"/>
    </row>
    <row r="55" spans="1:10" x14ac:dyDescent="0.25">
      <c r="A55" s="70" t="s">
        <v>48</v>
      </c>
      <c r="B55" s="184">
        <v>3846.96</v>
      </c>
      <c r="C55" s="71" t="s">
        <v>31</v>
      </c>
      <c r="D55" s="119"/>
      <c r="E55" s="119"/>
      <c r="F55" s="138"/>
      <c r="G55" s="115"/>
      <c r="H55" s="137"/>
      <c r="I55" s="124"/>
      <c r="J55" s="137"/>
    </row>
    <row r="56" spans="1:10" x14ac:dyDescent="0.25">
      <c r="A56" s="70" t="s">
        <v>49</v>
      </c>
      <c r="B56" s="184">
        <f>(B46+B47+B48+B49+B50+B52+B53+B54)*0.1</f>
        <v>15811.532861193276</v>
      </c>
      <c r="C56" s="71" t="s">
        <v>31</v>
      </c>
      <c r="D56" s="56"/>
      <c r="E56" s="56"/>
      <c r="F56" s="136"/>
      <c r="G56" s="137"/>
      <c r="H56" s="137"/>
      <c r="I56" s="124"/>
      <c r="J56" s="137"/>
    </row>
    <row r="57" spans="1:10" x14ac:dyDescent="0.25">
      <c r="A57" s="67" t="s">
        <v>50</v>
      </c>
      <c r="B57" s="160">
        <f>C77</f>
        <v>75833.919999999998</v>
      </c>
      <c r="C57" s="69" t="s">
        <v>31</v>
      </c>
      <c r="D57" s="122"/>
      <c r="E57" s="122"/>
      <c r="F57" s="123"/>
      <c r="G57" s="124"/>
      <c r="H57" s="124"/>
      <c r="I57" s="124"/>
      <c r="J57" s="137"/>
    </row>
    <row r="58" spans="1:10" x14ac:dyDescent="0.25">
      <c r="A58" s="67" t="s">
        <v>51</v>
      </c>
      <c r="B58" s="160"/>
      <c r="C58" s="69" t="s">
        <v>31</v>
      </c>
      <c r="D58" s="122"/>
      <c r="E58" s="122"/>
      <c r="F58" s="123"/>
      <c r="G58" s="124"/>
      <c r="H58" s="124"/>
      <c r="I58" s="124"/>
      <c r="J58" s="137"/>
    </row>
    <row r="59" spans="1:10" x14ac:dyDescent="0.25">
      <c r="A59" s="67" t="s">
        <v>52</v>
      </c>
      <c r="B59" s="160">
        <f>23613.53+52308.43+357766.3+33315.99</f>
        <v>467004.25</v>
      </c>
      <c r="C59" s="69" t="s">
        <v>31</v>
      </c>
      <c r="D59" s="56"/>
      <c r="E59" s="56"/>
      <c r="F59" s="3"/>
      <c r="I59" s="124"/>
      <c r="J59" s="137"/>
    </row>
    <row r="60" spans="1:10" x14ac:dyDescent="0.25">
      <c r="A60" s="67" t="s">
        <v>53</v>
      </c>
      <c r="B60" s="160">
        <f>66473.61</f>
        <v>66473.61</v>
      </c>
      <c r="C60" s="69" t="s">
        <v>54</v>
      </c>
      <c r="D60" s="56"/>
      <c r="E60" s="56"/>
      <c r="F60" s="3"/>
      <c r="I60" s="124"/>
      <c r="J60" s="137"/>
    </row>
    <row r="61" spans="1:10" x14ac:dyDescent="0.25">
      <c r="A61" s="133" t="s">
        <v>154</v>
      </c>
      <c r="B61" s="258">
        <f>C37/1.02</f>
        <v>16901.931372549021</v>
      </c>
      <c r="C61" s="135"/>
      <c r="D61" s="56"/>
      <c r="E61" s="56"/>
      <c r="F61" s="3"/>
      <c r="I61" s="124"/>
      <c r="J61" s="137"/>
    </row>
    <row r="62" spans="1:10" ht="15.75" thickBot="1" x14ac:dyDescent="0.3">
      <c r="A62" s="73" t="s">
        <v>78</v>
      </c>
      <c r="B62" s="162">
        <f>G44</f>
        <v>1616.2184873949579</v>
      </c>
      <c r="C62" s="75" t="s">
        <v>31</v>
      </c>
      <c r="D62" s="56"/>
      <c r="E62" s="56"/>
      <c r="F62" s="3"/>
      <c r="I62" s="124"/>
      <c r="J62" s="137"/>
    </row>
    <row r="63" spans="1:10" x14ac:dyDescent="0.25">
      <c r="A63" s="59"/>
      <c r="B63" s="60"/>
      <c r="C63" s="56"/>
      <c r="D63" s="56"/>
      <c r="E63" s="56"/>
      <c r="F63" s="3"/>
      <c r="I63" s="124"/>
      <c r="J63" s="137"/>
    </row>
    <row r="64" spans="1:10" x14ac:dyDescent="0.25">
      <c r="A64" s="59" t="s">
        <v>142</v>
      </c>
      <c r="B64" s="3">
        <f>C39+B43-B42</f>
        <v>206827.7574265938</v>
      </c>
      <c r="C64" s="56" t="s">
        <v>31</v>
      </c>
      <c r="D64" s="56"/>
      <c r="E64" s="56"/>
      <c r="F64" s="3"/>
      <c r="I64" s="124"/>
      <c r="J64" s="137"/>
    </row>
    <row r="65" spans="1:10" x14ac:dyDescent="0.25">
      <c r="A65" s="59" t="s">
        <v>130</v>
      </c>
      <c r="B65" s="2">
        <f>B66+B67+B68+B69+B70+B71</f>
        <v>106508.18742659385</v>
      </c>
      <c r="C65" s="56" t="s">
        <v>31</v>
      </c>
      <c r="D65" s="56"/>
      <c r="E65" s="56"/>
      <c r="F65" s="3"/>
      <c r="I65" s="124"/>
      <c r="J65" s="137"/>
    </row>
    <row r="66" spans="1:10" x14ac:dyDescent="0.25">
      <c r="A66" s="77" t="s">
        <v>56</v>
      </c>
      <c r="B66" s="78">
        <f>C20-B44-B62</f>
        <v>13610.478799142891</v>
      </c>
      <c r="C66" s="56" t="s">
        <v>31</v>
      </c>
      <c r="D66" s="56"/>
      <c r="E66" s="56"/>
      <c r="F66" s="3"/>
      <c r="I66" s="124"/>
      <c r="J66" s="137"/>
    </row>
    <row r="67" spans="1:10" x14ac:dyDescent="0.25">
      <c r="A67" s="77" t="s">
        <v>57</v>
      </c>
      <c r="B67" s="78">
        <f>C22-B57</f>
        <v>6226.8800000000047</v>
      </c>
      <c r="C67" s="56" t="s">
        <v>31</v>
      </c>
      <c r="D67" s="56"/>
      <c r="E67" s="56"/>
      <c r="F67" s="3"/>
      <c r="I67" s="124"/>
      <c r="J67" s="137"/>
    </row>
    <row r="68" spans="1:10" x14ac:dyDescent="0.25">
      <c r="A68" s="77" t="s">
        <v>58</v>
      </c>
      <c r="B68" s="78">
        <f>C26-B58</f>
        <v>0</v>
      </c>
      <c r="C68" s="56" t="s">
        <v>31</v>
      </c>
      <c r="D68" s="56"/>
      <c r="E68" s="56"/>
      <c r="F68" s="3"/>
      <c r="I68" s="124"/>
      <c r="J68" s="137"/>
    </row>
    <row r="69" spans="1:10" x14ac:dyDescent="0.25">
      <c r="A69" s="77" t="s">
        <v>59</v>
      </c>
      <c r="B69" s="78">
        <f>C28-B59</f>
        <v>86325.969999999972</v>
      </c>
      <c r="C69" s="56" t="s">
        <v>31</v>
      </c>
      <c r="D69" s="56"/>
      <c r="E69" s="56"/>
      <c r="F69" s="3"/>
      <c r="I69" s="124"/>
      <c r="J69" s="137"/>
    </row>
    <row r="70" spans="1:10" x14ac:dyDescent="0.25">
      <c r="A70" s="77" t="s">
        <v>60</v>
      </c>
      <c r="B70" s="78">
        <f>C35-B60</f>
        <v>6.8200000000069849</v>
      </c>
      <c r="C70" s="56" t="s">
        <v>31</v>
      </c>
      <c r="D70" s="56"/>
      <c r="E70" s="56"/>
      <c r="F70" s="3"/>
      <c r="I70" s="124"/>
      <c r="J70" s="137"/>
    </row>
    <row r="71" spans="1:10" x14ac:dyDescent="0.25">
      <c r="A71" s="77" t="s">
        <v>157</v>
      </c>
      <c r="B71" s="78">
        <f>C37-B61</f>
        <v>338.03862745098013</v>
      </c>
      <c r="C71" s="56" t="s">
        <v>31</v>
      </c>
      <c r="I71" s="124"/>
      <c r="J71" s="137"/>
    </row>
    <row r="72" spans="1:10" ht="15.75" thickBot="1" x14ac:dyDescent="0.3">
      <c r="A72" s="77"/>
      <c r="B72" s="78"/>
      <c r="C72" s="56"/>
      <c r="D72" s="98"/>
      <c r="E72" s="99"/>
      <c r="F72" s="100"/>
      <c r="G72" s="97"/>
      <c r="I72" s="124"/>
      <c r="J72" s="137"/>
    </row>
    <row r="73" spans="1:10" ht="15.75" thickBot="1" x14ac:dyDescent="0.3">
      <c r="A73" s="128" t="s">
        <v>146</v>
      </c>
      <c r="B73" s="129"/>
      <c r="C73" s="130"/>
      <c r="D73" s="101"/>
      <c r="E73" s="101"/>
      <c r="F73" s="101"/>
      <c r="G73" s="97"/>
      <c r="I73" s="124"/>
      <c r="J73" s="137"/>
    </row>
    <row r="74" spans="1:10" ht="51.75" thickBot="1" x14ac:dyDescent="0.3">
      <c r="A74" s="79" t="s">
        <v>80</v>
      </c>
      <c r="B74" s="80" t="s">
        <v>61</v>
      </c>
      <c r="C74" s="81" t="s">
        <v>67</v>
      </c>
      <c r="D74" s="102"/>
      <c r="E74" s="103"/>
      <c r="F74" s="104"/>
      <c r="G74" s="97"/>
      <c r="I74" s="124"/>
      <c r="J74" s="137"/>
    </row>
    <row r="75" spans="1:10" x14ac:dyDescent="0.25">
      <c r="A75" s="82" t="s">
        <v>62</v>
      </c>
      <c r="B75" s="113" t="s">
        <v>31</v>
      </c>
      <c r="C75" s="114" t="s">
        <v>31</v>
      </c>
      <c r="D75" s="102"/>
      <c r="E75" s="103"/>
      <c r="F75" s="104"/>
      <c r="G75" s="97"/>
      <c r="I75" s="124"/>
      <c r="J75" s="137"/>
    </row>
    <row r="76" spans="1:10" ht="30.75" thickBot="1" x14ac:dyDescent="0.3">
      <c r="A76" s="192" t="s">
        <v>145</v>
      </c>
      <c r="B76" s="141"/>
      <c r="C76" s="286">
        <f>75833.92</f>
        <v>75833.919999999998</v>
      </c>
      <c r="D76" s="102"/>
      <c r="E76" s="103"/>
      <c r="F76" s="104"/>
      <c r="G76" s="97"/>
      <c r="I76" s="124"/>
      <c r="J76" s="137"/>
    </row>
    <row r="77" spans="1:10" ht="15.75" thickBot="1" x14ac:dyDescent="0.3">
      <c r="A77" s="83" t="s">
        <v>5</v>
      </c>
      <c r="B77" s="84"/>
      <c r="C77" s="85">
        <f>C76</f>
        <v>75833.919999999998</v>
      </c>
      <c r="D77" s="105"/>
      <c r="E77" s="103"/>
      <c r="F77" s="104"/>
      <c r="G77" s="97"/>
      <c r="I77" s="124"/>
      <c r="J77" s="137"/>
    </row>
    <row r="78" spans="1:10" x14ac:dyDescent="0.25">
      <c r="A78" s="31"/>
      <c r="B78" s="33"/>
      <c r="C78" s="87"/>
      <c r="D78" s="105"/>
      <c r="E78" s="103"/>
      <c r="F78" s="104"/>
      <c r="G78" s="97"/>
      <c r="I78" s="124"/>
      <c r="J78" s="137"/>
    </row>
    <row r="79" spans="1:10" x14ac:dyDescent="0.25">
      <c r="A79" s="59"/>
      <c r="B79" s="33"/>
      <c r="C79" s="87"/>
      <c r="D79" s="105"/>
      <c r="E79" s="103"/>
      <c r="F79" s="104"/>
      <c r="G79" s="97"/>
      <c r="I79" s="124"/>
      <c r="J79" s="137"/>
    </row>
    <row r="80" spans="1:10" x14ac:dyDescent="0.25">
      <c r="A80" s="164" t="s">
        <v>132</v>
      </c>
      <c r="B80" s="149"/>
      <c r="C80" s="215"/>
      <c r="D80" s="216"/>
      <c r="E80" s="103"/>
      <c r="F80" s="104"/>
      <c r="G80" s="97"/>
      <c r="I80" s="124"/>
      <c r="J80" s="137"/>
    </row>
    <row r="81" spans="1:10" x14ac:dyDescent="0.25">
      <c r="A81" s="217"/>
      <c r="B81" s="149"/>
      <c r="C81" s="215"/>
      <c r="D81" s="218"/>
      <c r="E81" s="103"/>
      <c r="F81" s="104"/>
      <c r="G81" s="97"/>
      <c r="I81" s="124"/>
      <c r="J81" s="137"/>
    </row>
    <row r="82" spans="1:10" x14ac:dyDescent="0.25">
      <c r="A82" s="165" t="s">
        <v>133</v>
      </c>
      <c r="B82" s="149" t="s">
        <v>134</v>
      </c>
      <c r="C82" s="219"/>
      <c r="D82" s="216"/>
      <c r="E82" s="103"/>
      <c r="F82" s="104"/>
      <c r="G82" s="97"/>
      <c r="I82" s="124"/>
      <c r="J82" s="137"/>
    </row>
    <row r="83" spans="1:10" x14ac:dyDescent="0.25">
      <c r="A83" s="165"/>
      <c r="B83" s="149"/>
      <c r="C83" s="219"/>
      <c r="D83" s="216"/>
      <c r="E83" s="103"/>
      <c r="F83" s="104"/>
      <c r="G83" s="97"/>
      <c r="I83" s="124"/>
      <c r="J83" s="137"/>
    </row>
    <row r="84" spans="1:10" x14ac:dyDescent="0.25">
      <c r="A84" s="220"/>
      <c r="B84" s="221"/>
      <c r="C84" s="219"/>
      <c r="D84" s="150"/>
      <c r="E84" s="89"/>
      <c r="F84" s="104"/>
      <c r="G84" s="97"/>
      <c r="I84" s="124"/>
      <c r="J84" s="137"/>
    </row>
    <row r="85" spans="1:10" ht="15.75" x14ac:dyDescent="0.25">
      <c r="A85" s="223" t="s">
        <v>63</v>
      </c>
      <c r="B85" s="224" t="s">
        <v>134</v>
      </c>
      <c r="C85" s="225"/>
      <c r="D85" s="226" t="s">
        <v>66</v>
      </c>
      <c r="E85" s="89"/>
      <c r="F85" s="106"/>
      <c r="G85" s="97"/>
      <c r="I85" s="124"/>
      <c r="J85" s="137"/>
    </row>
    <row r="86" spans="1:10" x14ac:dyDescent="0.25">
      <c r="A86" s="91"/>
      <c r="B86" s="92"/>
      <c r="C86" s="87"/>
      <c r="D86" s="88"/>
      <c r="E86" s="89"/>
      <c r="F86" s="97"/>
      <c r="G86" s="97"/>
      <c r="I86" s="124"/>
      <c r="J86" s="137"/>
    </row>
    <row r="87" spans="1:10" x14ac:dyDescent="0.25">
      <c r="A87" s="19"/>
      <c r="B87" s="20"/>
      <c r="C87" s="87"/>
      <c r="D87" s="112"/>
      <c r="E87" s="103"/>
      <c r="F87" s="97"/>
      <c r="G87" s="97"/>
    </row>
    <row r="88" spans="1:10" x14ac:dyDescent="0.25">
      <c r="A88" s="31"/>
      <c r="B88" s="33"/>
      <c r="C88" s="93"/>
      <c r="E88" s="103"/>
      <c r="F88" s="97"/>
      <c r="G88" s="97"/>
    </row>
    <row r="89" spans="1:10" x14ac:dyDescent="0.25">
      <c r="A89" s="91"/>
      <c r="B89" s="92"/>
      <c r="C89" s="93"/>
      <c r="D89" s="105"/>
      <c r="E89" s="103"/>
      <c r="F89" s="97"/>
      <c r="G89" s="97"/>
    </row>
    <row r="90" spans="1:10" x14ac:dyDescent="0.25">
      <c r="A90" s="91"/>
      <c r="B90" s="92"/>
      <c r="C90" s="93"/>
      <c r="D90" s="88"/>
      <c r="E90" s="89"/>
    </row>
    <row r="91" spans="1:10" x14ac:dyDescent="0.25">
      <c r="A91" s="91"/>
      <c r="B91" s="92"/>
      <c r="C91" s="93"/>
      <c r="D91" s="88"/>
      <c r="E91" s="89"/>
    </row>
    <row r="92" spans="1:10" x14ac:dyDescent="0.25">
      <c r="A92" s="91"/>
      <c r="B92" s="92"/>
      <c r="C92" s="87"/>
      <c r="D92" s="88"/>
      <c r="E92" s="89"/>
    </row>
    <row r="93" spans="1:10" x14ac:dyDescent="0.25">
      <c r="A93" s="31"/>
      <c r="B93" s="33"/>
      <c r="C93" s="87"/>
      <c r="D93" s="88"/>
      <c r="E93" s="89"/>
    </row>
    <row r="94" spans="1:10" x14ac:dyDescent="0.25">
      <c r="A94" s="31"/>
      <c r="B94" s="33"/>
      <c r="C94" s="56"/>
      <c r="D94" s="88"/>
      <c r="E94" s="89"/>
    </row>
    <row r="95" spans="1:10" x14ac:dyDescent="0.25">
      <c r="A95" s="19"/>
      <c r="B95" s="20"/>
      <c r="C95" s="56"/>
      <c r="D95" s="56"/>
      <c r="E95" s="56"/>
    </row>
    <row r="96" spans="1:10" x14ac:dyDescent="0.25">
      <c r="A96" s="19"/>
      <c r="B96" s="20"/>
      <c r="C96" s="56"/>
      <c r="D96" s="90"/>
      <c r="E96" s="56"/>
    </row>
    <row r="97" spans="1:6" x14ac:dyDescent="0.25">
      <c r="A97" s="19"/>
      <c r="B97" s="20"/>
      <c r="C97" s="89"/>
      <c r="D97" s="88"/>
      <c r="E97" s="89"/>
    </row>
    <row r="98" spans="1:6" x14ac:dyDescent="0.25">
      <c r="A98" s="31"/>
      <c r="B98" s="33"/>
      <c r="C98" s="89"/>
      <c r="D98" s="88"/>
      <c r="E98" s="89"/>
    </row>
    <row r="99" spans="1:6" x14ac:dyDescent="0.25">
      <c r="A99" s="31"/>
      <c r="B99" s="33"/>
      <c r="C99" s="89"/>
      <c r="D99" s="93"/>
      <c r="E99" s="89"/>
    </row>
    <row r="100" spans="1:6" x14ac:dyDescent="0.25">
      <c r="A100" s="95"/>
      <c r="B100" s="96"/>
      <c r="C100" s="89"/>
      <c r="D100" s="93"/>
      <c r="E100" s="89"/>
    </row>
    <row r="101" spans="1:6" x14ac:dyDescent="0.25">
      <c r="A101" s="95"/>
      <c r="B101" s="96"/>
      <c r="C101" s="89"/>
      <c r="D101" s="93"/>
      <c r="E101" s="89"/>
      <c r="F101" s="94"/>
    </row>
    <row r="102" spans="1:6" x14ac:dyDescent="0.25">
      <c r="A102" s="31"/>
      <c r="B102" s="33"/>
      <c r="C102" s="89"/>
      <c r="D102" s="93"/>
      <c r="E102" s="89"/>
    </row>
    <row r="103" spans="1:6" x14ac:dyDescent="0.25">
      <c r="A103" s="31"/>
      <c r="B103" s="33"/>
      <c r="C103" s="56"/>
      <c r="D103" s="87"/>
      <c r="E103" s="89"/>
    </row>
    <row r="104" spans="1:6" x14ac:dyDescent="0.25">
      <c r="A104" s="19"/>
      <c r="B104" s="20"/>
      <c r="C104" s="89"/>
      <c r="D104" s="87"/>
      <c r="E104" s="89"/>
    </row>
    <row r="105" spans="1:6" x14ac:dyDescent="0.25">
      <c r="A105" s="31"/>
      <c r="B105" s="33"/>
      <c r="C105" s="89"/>
      <c r="D105" s="56"/>
      <c r="E105" s="56"/>
      <c r="F105" s="3"/>
    </row>
    <row r="106" spans="1:6" x14ac:dyDescent="0.25">
      <c r="A106" s="31"/>
      <c r="B106" s="33"/>
      <c r="C106" s="33"/>
      <c r="D106" s="56"/>
      <c r="E106" s="89"/>
    </row>
    <row r="107" spans="1:6" x14ac:dyDescent="0.25">
      <c r="A107" s="31"/>
      <c r="B107" s="33"/>
      <c r="C107" s="33"/>
      <c r="D107" s="56"/>
      <c r="E107" s="56"/>
    </row>
    <row r="108" spans="1:6" x14ac:dyDescent="0.25">
      <c r="A108" s="31"/>
      <c r="B108" s="33"/>
      <c r="C108" s="33"/>
      <c r="D108" s="89"/>
      <c r="E108" s="89"/>
    </row>
    <row r="109" spans="1:6" x14ac:dyDescent="0.25">
      <c r="A109" s="31"/>
      <c r="B109" s="33"/>
      <c r="D109" s="89"/>
      <c r="E109" s="89"/>
    </row>
    <row r="110" spans="1:6" x14ac:dyDescent="0.25">
      <c r="D110" s="89"/>
      <c r="E110" s="89"/>
    </row>
    <row r="111" spans="1:6" x14ac:dyDescent="0.25">
      <c r="D111" s="89"/>
      <c r="E111" s="89"/>
    </row>
    <row r="112" spans="1:6" x14ac:dyDescent="0.25">
      <c r="D112" s="89"/>
      <c r="E112" s="89"/>
    </row>
    <row r="113" spans="2:6" x14ac:dyDescent="0.25">
      <c r="D113" s="89"/>
      <c r="E113" s="89"/>
    </row>
    <row r="114" spans="2:6" x14ac:dyDescent="0.25">
      <c r="B114"/>
      <c r="C114"/>
      <c r="D114" s="56"/>
      <c r="E114" s="56"/>
      <c r="F114" s="3"/>
    </row>
    <row r="115" spans="2:6" x14ac:dyDescent="0.25">
      <c r="B115"/>
      <c r="C115"/>
      <c r="D115" s="89"/>
      <c r="E115" s="89"/>
      <c r="F115" s="3"/>
    </row>
    <row r="116" spans="2:6" x14ac:dyDescent="0.25">
      <c r="B116"/>
      <c r="C116"/>
      <c r="D116" s="89"/>
      <c r="E116" s="89"/>
    </row>
    <row r="117" spans="2:6" x14ac:dyDescent="0.25">
      <c r="B117"/>
      <c r="C117"/>
      <c r="D117" s="33"/>
      <c r="E117" s="33"/>
    </row>
    <row r="118" spans="2:6" x14ac:dyDescent="0.25">
      <c r="B118"/>
      <c r="C118"/>
      <c r="D118" s="33"/>
      <c r="E118" s="33"/>
    </row>
    <row r="119" spans="2:6" x14ac:dyDescent="0.25">
      <c r="D119" s="33"/>
      <c r="E119" s="33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V107"/>
  <sheetViews>
    <sheetView view="pageBreakPreview" topLeftCell="A64" zoomScale="60" zoomScaleNormal="100" workbookViewId="0">
      <selection activeCell="B81" sqref="B81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169</v>
      </c>
      <c r="B2" s="2"/>
      <c r="C2" s="2"/>
      <c r="D2" s="2"/>
    </row>
    <row r="3" spans="1:22" ht="15.75" thickBot="1" x14ac:dyDescent="0.3">
      <c r="A3" s="1"/>
      <c r="B3" s="2"/>
      <c r="C3" s="2"/>
      <c r="D3" s="2"/>
      <c r="L3" s="108"/>
      <c r="M3" s="108"/>
      <c r="N3" s="108"/>
      <c r="O3" s="108"/>
    </row>
    <row r="4" spans="1:22" ht="15.75" thickBot="1" x14ac:dyDescent="0.3">
      <c r="A4" s="22" t="s">
        <v>0</v>
      </c>
      <c r="B4" s="126"/>
      <c r="C4" s="126"/>
      <c r="D4" s="127"/>
      <c r="L4" s="108"/>
      <c r="M4" s="108"/>
      <c r="N4" s="108"/>
      <c r="O4" s="108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L5" s="108"/>
      <c r="M5" s="108"/>
      <c r="N5" s="108"/>
      <c r="O5" s="108"/>
    </row>
    <row r="6" spans="1:22" x14ac:dyDescent="0.25">
      <c r="A6" s="10" t="s">
        <v>87</v>
      </c>
      <c r="B6" s="11"/>
      <c r="C6" s="158">
        <v>1311.4</v>
      </c>
      <c r="D6" s="12">
        <v>37</v>
      </c>
      <c r="L6" s="108"/>
      <c r="M6" s="108"/>
      <c r="N6" s="108"/>
      <c r="O6" s="108"/>
    </row>
    <row r="7" spans="1:22" x14ac:dyDescent="0.25">
      <c r="A7" s="13"/>
      <c r="B7" s="14"/>
      <c r="C7" s="160"/>
      <c r="D7" s="15"/>
      <c r="L7" s="108"/>
      <c r="M7" s="108"/>
      <c r="N7" s="108"/>
      <c r="O7" s="108"/>
    </row>
    <row r="8" spans="1:22" ht="15.75" thickBot="1" x14ac:dyDescent="0.3">
      <c r="A8" s="16" t="s">
        <v>5</v>
      </c>
      <c r="B8" s="17"/>
      <c r="C8" s="162">
        <f>C6+C7</f>
        <v>1311.4</v>
      </c>
      <c r="D8" s="18">
        <f>D6</f>
        <v>37</v>
      </c>
      <c r="L8" s="108"/>
      <c r="M8" s="108"/>
      <c r="N8" s="108"/>
      <c r="O8" s="108"/>
    </row>
    <row r="9" spans="1:22" ht="15.75" thickBot="1" x14ac:dyDescent="0.3">
      <c r="A9" s="19"/>
      <c r="B9" s="20"/>
      <c r="C9" s="20"/>
      <c r="D9" s="21"/>
      <c r="L9" s="108"/>
      <c r="M9" s="108"/>
      <c r="N9" s="108"/>
      <c r="O9" s="108"/>
    </row>
    <row r="10" spans="1:22" ht="15.75" thickBot="1" x14ac:dyDescent="0.3">
      <c r="A10" s="22" t="s">
        <v>112</v>
      </c>
      <c r="B10" s="23"/>
      <c r="C10" s="23"/>
      <c r="D10" s="24" t="s">
        <v>6</v>
      </c>
      <c r="F10" s="97"/>
      <c r="G10" s="97"/>
      <c r="H10" s="97"/>
      <c r="I10" s="97"/>
      <c r="J10" s="97"/>
      <c r="K10" s="97"/>
      <c r="L10" s="108"/>
      <c r="M10" s="108"/>
      <c r="N10" s="108"/>
      <c r="O10" s="108"/>
    </row>
    <row r="11" spans="1:22" x14ac:dyDescent="0.25">
      <c r="A11" s="25" t="s">
        <v>7</v>
      </c>
      <c r="B11" s="20"/>
      <c r="C11" s="20"/>
      <c r="D11" s="27" t="s">
        <v>88</v>
      </c>
      <c r="F11" s="97"/>
      <c r="G11" s="97"/>
      <c r="H11" s="97"/>
      <c r="I11" s="97"/>
      <c r="J11" s="97"/>
      <c r="K11" s="97"/>
      <c r="L11" s="108"/>
      <c r="M11" s="108"/>
      <c r="N11" s="108"/>
      <c r="O11" s="108"/>
    </row>
    <row r="12" spans="1:22" x14ac:dyDescent="0.25">
      <c r="A12" s="25" t="s">
        <v>8</v>
      </c>
      <c r="B12" s="20"/>
      <c r="C12" s="20"/>
      <c r="D12" s="27">
        <v>3.66</v>
      </c>
      <c r="F12" s="97"/>
      <c r="G12" s="97"/>
      <c r="H12" s="97"/>
      <c r="I12" s="97"/>
      <c r="J12" s="97"/>
      <c r="K12" s="97"/>
      <c r="L12" s="108"/>
      <c r="M12" s="108"/>
      <c r="N12" s="108"/>
      <c r="O12" s="108"/>
    </row>
    <row r="13" spans="1:22" x14ac:dyDescent="0.25">
      <c r="A13" s="25" t="s">
        <v>9</v>
      </c>
      <c r="B13" s="20"/>
      <c r="C13" s="20"/>
      <c r="D13" s="26"/>
      <c r="F13" s="97"/>
      <c r="G13" s="97"/>
      <c r="H13" s="97"/>
      <c r="I13" s="97"/>
      <c r="J13" s="97"/>
      <c r="K13" s="97"/>
      <c r="L13" s="108"/>
      <c r="M13" s="108"/>
      <c r="N13" s="108"/>
      <c r="O13" s="108"/>
    </row>
    <row r="14" spans="1:22" ht="15.75" thickBot="1" x14ac:dyDescent="0.3">
      <c r="A14" s="28" t="s">
        <v>10</v>
      </c>
      <c r="B14" s="29"/>
      <c r="C14" s="29"/>
      <c r="D14" s="30">
        <v>0</v>
      </c>
      <c r="F14" s="97"/>
      <c r="G14" s="97"/>
      <c r="H14" s="97"/>
      <c r="I14" s="97"/>
      <c r="J14" s="97"/>
      <c r="K14" s="97"/>
      <c r="L14" s="108"/>
      <c r="M14" s="108"/>
      <c r="N14" s="108"/>
      <c r="O14" s="108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97"/>
      <c r="G15" s="97"/>
      <c r="H15" s="97"/>
      <c r="I15" s="97"/>
      <c r="J15" s="97"/>
      <c r="K15" s="97"/>
      <c r="L15" s="108"/>
      <c r="M15" s="108"/>
      <c r="N15" s="108"/>
      <c r="O15" s="108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113</v>
      </c>
      <c r="B16" s="126"/>
      <c r="C16" s="126"/>
      <c r="D16" s="126"/>
      <c r="E16" s="127"/>
      <c r="F16" s="97"/>
      <c r="G16" s="97"/>
      <c r="H16" s="97"/>
      <c r="I16" s="97"/>
      <c r="J16" s="97"/>
      <c r="K16" s="97"/>
      <c r="L16" s="108"/>
      <c r="M16" s="109"/>
      <c r="N16" s="109"/>
      <c r="O16" s="108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39"/>
      <c r="F17" s="97"/>
      <c r="G17" s="97"/>
      <c r="H17" s="97"/>
      <c r="I17" s="97"/>
      <c r="J17" s="97"/>
      <c r="K17" s="97"/>
      <c r="L17" s="109"/>
      <c r="M17" s="110"/>
      <c r="N17" s="109"/>
      <c r="O17" s="108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39"/>
      <c r="F18" s="97"/>
      <c r="G18" s="97"/>
      <c r="H18" s="97"/>
      <c r="I18" s="97"/>
      <c r="J18" s="97"/>
      <c r="K18" s="97"/>
      <c r="L18" s="108"/>
      <c r="M18" s="108"/>
      <c r="N18" s="108"/>
      <c r="O18" s="108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114</v>
      </c>
      <c r="C19" s="38" t="s">
        <v>115</v>
      </c>
      <c r="D19" s="38" t="s">
        <v>116</v>
      </c>
      <c r="E19" s="39" t="s">
        <v>117</v>
      </c>
      <c r="F19" s="97"/>
      <c r="G19" s="97"/>
      <c r="H19" s="97"/>
      <c r="I19" s="97"/>
      <c r="J19" s="97"/>
      <c r="K19" s="97"/>
      <c r="L19" s="108"/>
      <c r="M19" s="111"/>
      <c r="N19" s="111"/>
      <c r="O19" s="108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171">
        <v>49411.02</v>
      </c>
      <c r="C20" s="171">
        <v>160285.56</v>
      </c>
      <c r="D20" s="171">
        <f>146601.84+5635.69</f>
        <v>152237.53</v>
      </c>
      <c r="E20" s="172">
        <f t="shared" ref="E20:E38" si="0">C20-D20+B20</f>
        <v>57459.049999999996</v>
      </c>
      <c r="F20" s="116">
        <f>C20+F22</f>
        <v>217882.56</v>
      </c>
      <c r="G20" s="117">
        <f>100</f>
        <v>100</v>
      </c>
      <c r="H20" s="115" t="s">
        <v>64</v>
      </c>
      <c r="I20" s="97"/>
      <c r="J20" s="97"/>
      <c r="K20" s="97"/>
      <c r="L20" s="108"/>
      <c r="M20" s="108"/>
      <c r="N20" s="108"/>
      <c r="O20" s="108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173"/>
      <c r="C21" s="173"/>
      <c r="D21" s="173"/>
      <c r="E21" s="174">
        <f t="shared" si="0"/>
        <v>0</v>
      </c>
      <c r="F21" s="116"/>
      <c r="G21" s="117"/>
      <c r="H21" s="115"/>
      <c r="I21" s="97"/>
      <c r="J21" s="97"/>
      <c r="K21" s="97"/>
      <c r="L21" s="108"/>
      <c r="M21" s="108"/>
      <c r="N21" s="108"/>
      <c r="O21" s="108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173">
        <f>18655.44</f>
        <v>18655.439999999999</v>
      </c>
      <c r="C22" s="173">
        <v>57597</v>
      </c>
      <c r="D22" s="173">
        <f>52805.53+1976.29</f>
        <v>54781.82</v>
      </c>
      <c r="E22" s="174">
        <f t="shared" si="0"/>
        <v>21470.62</v>
      </c>
      <c r="F22" s="116">
        <f>C22</f>
        <v>57597</v>
      </c>
      <c r="G22" s="118">
        <f>F22*G20/F20</f>
        <v>26.434883085640266</v>
      </c>
      <c r="H22" s="115" t="s">
        <v>64</v>
      </c>
      <c r="I22" s="97"/>
      <c r="J22" s="97"/>
      <c r="K22" s="97"/>
      <c r="L22" s="108"/>
      <c r="M22" s="108"/>
      <c r="N22" s="111"/>
      <c r="O22" s="108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173"/>
      <c r="C23" s="173"/>
      <c r="D23" s="173"/>
      <c r="E23" s="174">
        <f t="shared" si="0"/>
        <v>0</v>
      </c>
      <c r="F23" s="97"/>
      <c r="G23" s="97"/>
      <c r="H23" s="97"/>
      <c r="I23" s="97"/>
      <c r="J23" s="97"/>
      <c r="K23" s="97"/>
      <c r="L23" s="108"/>
      <c r="M23" s="108"/>
      <c r="N23" s="108"/>
      <c r="O23" s="108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173">
        <v>46163.3</v>
      </c>
      <c r="C24" s="173">
        <f>-1748.02</f>
        <v>-1748.02</v>
      </c>
      <c r="D24" s="173">
        <v>31658.71</v>
      </c>
      <c r="E24" s="174">
        <f t="shared" si="0"/>
        <v>12756.570000000007</v>
      </c>
      <c r="F24" s="97"/>
      <c r="G24" s="97"/>
      <c r="H24" s="97"/>
      <c r="I24" s="97"/>
      <c r="J24" s="97"/>
      <c r="K24" s="97"/>
      <c r="L24" s="108"/>
      <c r="M24" s="108"/>
      <c r="N24" s="108"/>
      <c r="O24" s="108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173"/>
      <c r="C25" s="173"/>
      <c r="D25" s="173"/>
      <c r="E25" s="174">
        <f t="shared" si="0"/>
        <v>0</v>
      </c>
      <c r="F25" s="97"/>
      <c r="G25" s="97"/>
      <c r="H25" s="97"/>
      <c r="I25" s="97"/>
      <c r="J25" s="97"/>
      <c r="K25" s="97"/>
      <c r="L25" s="108"/>
      <c r="M25" s="108"/>
      <c r="N25" s="108"/>
      <c r="O25" s="108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173"/>
      <c r="C26" s="173"/>
      <c r="D26" s="173"/>
      <c r="E26" s="174"/>
      <c r="F26" s="97"/>
      <c r="G26" s="97"/>
      <c r="H26" s="97"/>
      <c r="I26" s="97"/>
      <c r="J26" s="97"/>
      <c r="K26" s="97"/>
      <c r="L26" s="108"/>
      <c r="M26" s="108"/>
      <c r="N26" s="108"/>
      <c r="O26" s="108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83</v>
      </c>
      <c r="B27" s="173"/>
      <c r="C27" s="173"/>
      <c r="D27" s="173"/>
      <c r="E27" s="174">
        <f t="shared" si="0"/>
        <v>0</v>
      </c>
      <c r="F27" s="97"/>
      <c r="G27" s="97"/>
      <c r="H27" s="97"/>
      <c r="I27" s="97"/>
      <c r="J27" s="97"/>
      <c r="K27" s="97"/>
      <c r="L27" s="108"/>
      <c r="M27" s="108"/>
      <c r="N27" s="108"/>
      <c r="O27" s="108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177">
        <f>B29+B30+B31+B33+B32</f>
        <v>173624.77</v>
      </c>
      <c r="C28" s="197">
        <f>C29+C30+C31+C33</f>
        <v>367315.72</v>
      </c>
      <c r="D28" s="197">
        <f>D29+D30+D31+D33</f>
        <v>387369.71000000008</v>
      </c>
      <c r="E28" s="178">
        <f>C28-D28+B28</f>
        <v>153570.77999999988</v>
      </c>
      <c r="F28" s="97"/>
      <c r="G28" s="97"/>
      <c r="H28" s="97"/>
      <c r="I28" s="97"/>
      <c r="J28" s="97"/>
      <c r="K28" s="97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171">
        <f>131998.64</f>
        <v>131998.64000000001</v>
      </c>
      <c r="C29" s="171">
        <f>251041.5-29071.2</f>
        <v>221970.3</v>
      </c>
      <c r="D29" s="171">
        <f>240947.4+7083.14</f>
        <v>248030.54</v>
      </c>
      <c r="E29" s="172">
        <f>C29-D29+B29</f>
        <v>105938.4</v>
      </c>
      <c r="F29" s="97"/>
      <c r="G29" s="97"/>
      <c r="H29" s="97"/>
      <c r="I29" s="97"/>
      <c r="J29" s="97"/>
      <c r="K29" s="97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23</v>
      </c>
      <c r="B30" s="173">
        <f>20816.11+8869.94</f>
        <v>29686.050000000003</v>
      </c>
      <c r="C30" s="173">
        <f>20076.01+77254.56+1297.92+256</f>
        <v>98884.489999999991</v>
      </c>
      <c r="D30" s="173">
        <f>74683.94+18986.55+683.82+631.36</f>
        <v>94985.670000000013</v>
      </c>
      <c r="E30" s="174">
        <f t="shared" si="0"/>
        <v>33584.869999999981</v>
      </c>
      <c r="F30" s="97"/>
      <c r="G30" s="97"/>
      <c r="H30" s="97"/>
      <c r="I30" s="97"/>
      <c r="J30" s="97"/>
      <c r="K30" s="97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173">
        <f>3056.68</f>
        <v>3056.68</v>
      </c>
      <c r="C31" s="173">
        <f>16343.02+231.74</f>
        <v>16574.760000000002</v>
      </c>
      <c r="D31" s="173">
        <f>15687.12+325.66</f>
        <v>16012.78</v>
      </c>
      <c r="E31" s="174">
        <f t="shared" si="0"/>
        <v>3618.6600000000012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hidden="1" x14ac:dyDescent="0.25">
      <c r="A32" s="53" t="s">
        <v>72</v>
      </c>
      <c r="B32" s="173"/>
      <c r="C32" s="173"/>
      <c r="D32" s="173"/>
      <c r="E32" s="174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173">
        <f>8883.4</f>
        <v>8883.4</v>
      </c>
      <c r="C33" s="173">
        <f>29344.69+541.48</f>
        <v>29886.17</v>
      </c>
      <c r="D33" s="173">
        <f>27599.9+740.82</f>
        <v>28340.720000000001</v>
      </c>
      <c r="E33" s="174">
        <f t="shared" si="0"/>
        <v>10428.849999999997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173"/>
      <c r="C34" s="173"/>
      <c r="D34" s="173"/>
      <c r="E34" s="174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74</v>
      </c>
      <c r="B35" s="179"/>
      <c r="C35" s="180"/>
      <c r="D35" s="180"/>
      <c r="E35" s="174">
        <f t="shared" si="0"/>
        <v>0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173"/>
      <c r="C36" s="173"/>
      <c r="D36" s="173"/>
      <c r="E36" s="174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155</v>
      </c>
      <c r="B37" s="173"/>
      <c r="C37" s="173"/>
      <c r="D37" s="173"/>
      <c r="E37" s="174">
        <f t="shared" si="0"/>
        <v>0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175"/>
      <c r="C38" s="175"/>
      <c r="D38" s="175"/>
      <c r="E38" s="176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181">
        <f>B20+B21+B22+B23+B24+B25+B26+B28+B35+B36+B37+B38+B27</f>
        <v>287854.52999999997</v>
      </c>
      <c r="C39" s="181">
        <f>C20+C21+C22+C23+C24+C25+C26+C28+C35+C36+C37+C38</f>
        <v>583450.26</v>
      </c>
      <c r="D39" s="181">
        <f>D20+D21+D22+D23+D24+D25+D26+D28+D35+D36+D37+D38+D27</f>
        <v>626047.77</v>
      </c>
      <c r="E39" s="181">
        <f>E20+E21+E22+E23+E24+E25+E26+E28+E35+E36+E37+E38+E27</f>
        <v>245257.0199999999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59"/>
      <c r="B40" s="60"/>
      <c r="C40" s="56"/>
      <c r="D40" s="122"/>
      <c r="E40" s="122"/>
      <c r="F40" s="123"/>
      <c r="G40" s="124"/>
      <c r="H40" s="124"/>
      <c r="I40" s="124"/>
      <c r="J40" s="137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59"/>
      <c r="B41" s="60"/>
      <c r="C41" s="56"/>
      <c r="D41" s="119"/>
      <c r="E41" s="119"/>
      <c r="F41" s="138"/>
      <c r="G41" s="115"/>
      <c r="H41" s="137"/>
      <c r="I41" s="97"/>
      <c r="J41" s="137"/>
    </row>
    <row r="42" spans="1:22" ht="15.75" thickBot="1" x14ac:dyDescent="0.3">
      <c r="A42" s="61" t="s">
        <v>30</v>
      </c>
      <c r="B42" s="62">
        <f>B44+B59+B60+B57+B62+B58+B61</f>
        <v>641510.42647805717</v>
      </c>
      <c r="C42" s="63" t="s">
        <v>31</v>
      </c>
      <c r="D42" s="119">
        <f>C39-B42-B62</f>
        <v>-60043.796730157999</v>
      </c>
      <c r="E42" s="272" t="s">
        <v>32</v>
      </c>
      <c r="F42" s="273">
        <f>5512727.45</f>
        <v>5512727.4500000002</v>
      </c>
      <c r="G42" s="274">
        <f>F42/F48*C6</f>
        <v>60751.183007815125</v>
      </c>
      <c r="H42" s="137"/>
      <c r="I42" s="97"/>
      <c r="J42" s="137"/>
    </row>
    <row r="43" spans="1:22" x14ac:dyDescent="0.25">
      <c r="A43" s="64" t="s">
        <v>124</v>
      </c>
      <c r="B43" s="183">
        <v>561147.52</v>
      </c>
      <c r="C43" s="69" t="s">
        <v>31</v>
      </c>
      <c r="D43" s="119"/>
      <c r="E43" s="272" t="s">
        <v>33</v>
      </c>
      <c r="F43" s="273">
        <f>1264951.09</f>
        <v>1264951.0900000001</v>
      </c>
      <c r="G43" s="274">
        <f>F43/F48*C6</f>
        <v>13939.973608621851</v>
      </c>
      <c r="H43" s="137"/>
      <c r="I43" s="97"/>
      <c r="J43" s="137"/>
    </row>
    <row r="44" spans="1:22" x14ac:dyDescent="0.25">
      <c r="A44" s="67" t="s">
        <v>34</v>
      </c>
      <c r="B44" s="160">
        <f>B45+B46+B48+B49+B50+B51+B52+B53+B54+B55+B56+B47</f>
        <v>236569.20622595627</v>
      </c>
      <c r="C44" s="69" t="s">
        <v>31</v>
      </c>
      <c r="D44" s="119"/>
      <c r="E44" s="272" t="s">
        <v>35</v>
      </c>
      <c r="F44" s="273">
        <v>180000</v>
      </c>
      <c r="G44" s="274">
        <f>F44/F48*C6</f>
        <v>1983.6302521008404</v>
      </c>
      <c r="H44" s="137"/>
      <c r="I44" s="97"/>
      <c r="J44" s="137"/>
    </row>
    <row r="45" spans="1:22" x14ac:dyDescent="0.25">
      <c r="A45" s="70" t="s">
        <v>76</v>
      </c>
      <c r="B45" s="184">
        <v>13064.17</v>
      </c>
      <c r="C45" s="71" t="s">
        <v>31</v>
      </c>
      <c r="D45" s="119"/>
      <c r="E45" s="272" t="s">
        <v>18</v>
      </c>
      <c r="F45" s="273">
        <f>299837.27</f>
        <v>299837.27</v>
      </c>
      <c r="G45" s="274">
        <f>F45/F48*C6</f>
        <v>3304.2571082184882</v>
      </c>
      <c r="H45" s="137"/>
      <c r="I45" s="97"/>
      <c r="J45" s="137"/>
    </row>
    <row r="46" spans="1:22" x14ac:dyDescent="0.25">
      <c r="A46" s="72" t="s">
        <v>37</v>
      </c>
      <c r="B46" s="184">
        <f>G42+G43</f>
        <v>74691.156616436972</v>
      </c>
      <c r="C46" s="71" t="s">
        <v>31</v>
      </c>
      <c r="D46" s="119"/>
      <c r="E46" s="275" t="s">
        <v>38</v>
      </c>
      <c r="F46" s="273">
        <f>7000+1260+30890+4200</f>
        <v>43350</v>
      </c>
      <c r="G46" s="274">
        <f>F46/F48*C6</f>
        <v>477.72428571428571</v>
      </c>
      <c r="H46" s="137"/>
      <c r="I46" s="97"/>
      <c r="J46" s="137"/>
    </row>
    <row r="47" spans="1:22" x14ac:dyDescent="0.25">
      <c r="A47" s="72" t="s">
        <v>39</v>
      </c>
      <c r="B47" s="184">
        <v>3360</v>
      </c>
      <c r="C47" s="71" t="s">
        <v>31</v>
      </c>
      <c r="D47" s="119"/>
      <c r="E47" s="274" t="s">
        <v>12</v>
      </c>
      <c r="F47" s="273">
        <f>8022857.59-F46</f>
        <v>7979507.5899999999</v>
      </c>
      <c r="G47" s="274">
        <f>F47/F48*C6</f>
        <v>87935.51473551261</v>
      </c>
      <c r="H47" s="137"/>
      <c r="I47" s="97"/>
      <c r="J47" s="137"/>
    </row>
    <row r="48" spans="1:22" x14ac:dyDescent="0.25">
      <c r="A48" s="70" t="s">
        <v>40</v>
      </c>
      <c r="B48" s="184">
        <f>G46+3725.03</f>
        <v>4202.7542857142862</v>
      </c>
      <c r="C48" s="71" t="s">
        <v>31</v>
      </c>
      <c r="D48" s="119"/>
      <c r="E48" s="276" t="s">
        <v>41</v>
      </c>
      <c r="F48" s="277">
        <f>119000</f>
        <v>119000</v>
      </c>
      <c r="G48" s="274"/>
      <c r="H48" s="137"/>
      <c r="I48" s="97"/>
      <c r="J48" s="137"/>
    </row>
    <row r="49" spans="1:10" x14ac:dyDescent="0.25">
      <c r="A49" s="70" t="s">
        <v>42</v>
      </c>
      <c r="B49" s="184">
        <f>G45+100</f>
        <v>3404.2571082184882</v>
      </c>
      <c r="C49" s="71" t="s">
        <v>31</v>
      </c>
      <c r="D49" s="119"/>
      <c r="E49" s="278"/>
      <c r="F49" s="274"/>
      <c r="G49" s="274"/>
      <c r="H49" s="137"/>
      <c r="I49" s="97"/>
      <c r="J49" s="137"/>
    </row>
    <row r="50" spans="1:10" x14ac:dyDescent="0.25">
      <c r="A50" s="70" t="s">
        <v>43</v>
      </c>
      <c r="B50" s="184">
        <f>G47</f>
        <v>87935.51473551261</v>
      </c>
      <c r="C50" s="71" t="s">
        <v>31</v>
      </c>
      <c r="D50" s="119"/>
      <c r="E50" s="279" t="s">
        <v>70</v>
      </c>
      <c r="F50" s="277">
        <f>1910.32</f>
        <v>1910.32</v>
      </c>
      <c r="G50" s="279">
        <f>F50/F48*C6</f>
        <v>21.052047462184873</v>
      </c>
      <c r="H50" s="137"/>
      <c r="I50" s="97"/>
      <c r="J50" s="137"/>
    </row>
    <row r="51" spans="1:10" x14ac:dyDescent="0.25">
      <c r="A51" s="70" t="s">
        <v>44</v>
      </c>
      <c r="B51" s="184">
        <f>G52</f>
        <v>181.05695327731092</v>
      </c>
      <c r="C51" s="71" t="s">
        <v>31</v>
      </c>
      <c r="D51" s="119"/>
      <c r="E51" s="119"/>
      <c r="F51" s="120"/>
      <c r="G51" s="121"/>
      <c r="H51" s="137"/>
      <c r="I51" s="97"/>
      <c r="J51" s="137"/>
    </row>
    <row r="52" spans="1:10" x14ac:dyDescent="0.25">
      <c r="A52" s="70" t="s">
        <v>45</v>
      </c>
      <c r="B52" s="184">
        <f>G50</f>
        <v>21.052047462184873</v>
      </c>
      <c r="C52" s="71" t="s">
        <v>31</v>
      </c>
      <c r="D52" s="119"/>
      <c r="E52" s="119" t="s">
        <v>125</v>
      </c>
      <c r="F52" s="280">
        <f>16429.6</f>
        <v>16429.599999999999</v>
      </c>
      <c r="G52" s="279">
        <f>F52/F48*C6</f>
        <v>181.05695327731092</v>
      </c>
      <c r="H52" s="137"/>
      <c r="I52" s="97"/>
      <c r="J52" s="137"/>
    </row>
    <row r="53" spans="1:10" x14ac:dyDescent="0.25">
      <c r="A53" s="70" t="s">
        <v>46</v>
      </c>
      <c r="B53" s="184">
        <v>549.36</v>
      </c>
      <c r="C53" s="71" t="s">
        <v>31</v>
      </c>
      <c r="D53" s="119"/>
      <c r="E53" s="119"/>
      <c r="F53" s="120"/>
      <c r="G53" s="121"/>
      <c r="H53" s="137"/>
      <c r="I53" s="97"/>
      <c r="J53" s="137"/>
    </row>
    <row r="54" spans="1:10" ht="26.25" x14ac:dyDescent="0.25">
      <c r="A54" s="191" t="s">
        <v>144</v>
      </c>
      <c r="B54" s="184">
        <f>9500+2200+3300+6500+2450+623.05</f>
        <v>24573.05</v>
      </c>
      <c r="C54" s="71" t="s">
        <v>31</v>
      </c>
      <c r="D54" s="56"/>
      <c r="E54" s="56"/>
      <c r="F54" s="156"/>
      <c r="G54" s="157"/>
      <c r="H54" s="137"/>
      <c r="I54" s="97"/>
      <c r="J54" s="137"/>
    </row>
    <row r="55" spans="1:10" x14ac:dyDescent="0.25">
      <c r="A55" s="70" t="s">
        <v>48</v>
      </c>
      <c r="B55" s="184">
        <v>4713.12</v>
      </c>
      <c r="C55" s="71" t="s">
        <v>31</v>
      </c>
      <c r="D55" s="56"/>
      <c r="E55" s="56"/>
      <c r="F55" s="136"/>
      <c r="G55" s="137"/>
      <c r="H55" s="137"/>
      <c r="I55" s="97"/>
      <c r="J55" s="137"/>
    </row>
    <row r="56" spans="1:10" x14ac:dyDescent="0.25">
      <c r="A56" s="70" t="s">
        <v>49</v>
      </c>
      <c r="B56" s="184">
        <f>(B46+B47+B48+B49+B50+B52+B53+B54)*0.1</f>
        <v>19873.714479334452</v>
      </c>
      <c r="C56" s="71" t="s">
        <v>31</v>
      </c>
      <c r="D56" s="56"/>
      <c r="E56" s="56"/>
      <c r="F56" s="136"/>
      <c r="G56" s="137"/>
      <c r="H56" s="137"/>
      <c r="I56" s="97"/>
      <c r="J56" s="137"/>
    </row>
    <row r="57" spans="1:10" x14ac:dyDescent="0.25">
      <c r="A57" s="67" t="s">
        <v>50</v>
      </c>
      <c r="B57" s="160">
        <f>C78</f>
        <v>27961.85</v>
      </c>
      <c r="C57" s="69" t="s">
        <v>31</v>
      </c>
      <c r="D57" s="122"/>
      <c r="E57" s="122"/>
      <c r="F57" s="123"/>
      <c r="G57" s="124"/>
      <c r="H57" s="124"/>
      <c r="I57" s="97"/>
      <c r="J57" s="137"/>
    </row>
    <row r="58" spans="1:10" x14ac:dyDescent="0.25">
      <c r="A58" s="67" t="s">
        <v>51</v>
      </c>
      <c r="B58" s="160">
        <f>2300</f>
        <v>2300</v>
      </c>
      <c r="C58" s="69" t="s">
        <v>31</v>
      </c>
      <c r="D58" s="122"/>
      <c r="E58" s="122"/>
      <c r="F58" s="123"/>
      <c r="G58" s="124"/>
      <c r="H58" s="124"/>
      <c r="I58" s="97"/>
      <c r="J58" s="137"/>
    </row>
    <row r="59" spans="1:10" x14ac:dyDescent="0.25">
      <c r="A59" s="67" t="s">
        <v>52</v>
      </c>
      <c r="B59" s="160">
        <f>-5423.54+29703.19+325751.31+15802.1</f>
        <v>365833.06</v>
      </c>
      <c r="C59" s="69" t="s">
        <v>31</v>
      </c>
      <c r="D59" s="56"/>
      <c r="E59" s="56"/>
      <c r="F59" s="3"/>
      <c r="I59" s="97"/>
      <c r="J59" s="137"/>
    </row>
    <row r="60" spans="1:10" x14ac:dyDescent="0.25">
      <c r="A60" s="67" t="s">
        <v>53</v>
      </c>
      <c r="B60" s="160">
        <v>6862.68</v>
      </c>
      <c r="C60" s="69" t="s">
        <v>54</v>
      </c>
      <c r="D60" s="56"/>
      <c r="E60" s="56"/>
      <c r="F60" s="3"/>
      <c r="I60" s="97"/>
      <c r="J60" s="137"/>
    </row>
    <row r="61" spans="1:10" x14ac:dyDescent="0.25">
      <c r="A61" s="133" t="s">
        <v>154</v>
      </c>
      <c r="B61" s="134">
        <f>C37/1.02</f>
        <v>0</v>
      </c>
      <c r="C61" s="135"/>
      <c r="D61" s="56"/>
      <c r="E61" s="56"/>
      <c r="F61" s="3"/>
      <c r="I61" s="97"/>
      <c r="J61" s="137"/>
    </row>
    <row r="62" spans="1:10" ht="15.75" thickBot="1" x14ac:dyDescent="0.3">
      <c r="A62" s="73" t="s">
        <v>78</v>
      </c>
      <c r="B62" s="74">
        <f>G44</f>
        <v>1983.6302521008404</v>
      </c>
      <c r="C62" s="75" t="s">
        <v>31</v>
      </c>
      <c r="D62" s="56"/>
      <c r="E62" s="56"/>
      <c r="F62" s="3"/>
      <c r="I62" s="97"/>
      <c r="J62" s="137"/>
    </row>
    <row r="63" spans="1:10" x14ac:dyDescent="0.25">
      <c r="A63" s="59"/>
      <c r="B63" s="60"/>
      <c r="C63" s="56"/>
      <c r="D63" s="56"/>
      <c r="E63" s="56"/>
      <c r="F63" s="3"/>
      <c r="I63" s="97"/>
      <c r="J63" s="137"/>
    </row>
    <row r="64" spans="1:10" x14ac:dyDescent="0.25">
      <c r="A64" s="59" t="s">
        <v>142</v>
      </c>
      <c r="B64" s="143">
        <f>C39-C24+B43-B42</f>
        <v>504835.37352194288</v>
      </c>
      <c r="C64" s="56" t="s">
        <v>31</v>
      </c>
      <c r="D64" s="56"/>
      <c r="E64" s="56"/>
      <c r="F64" s="3"/>
      <c r="I64" s="97"/>
      <c r="J64" s="137"/>
    </row>
    <row r="65" spans="1:10" x14ac:dyDescent="0.25">
      <c r="A65" s="59" t="s">
        <v>130</v>
      </c>
      <c r="B65" s="2">
        <f>B66+B67+B68+B69+B70+B71</f>
        <v>-56312.14647805714</v>
      </c>
      <c r="C65" s="56" t="s">
        <v>31</v>
      </c>
      <c r="D65" s="56"/>
      <c r="E65" s="56"/>
      <c r="F65" s="3"/>
      <c r="I65" s="97"/>
      <c r="J65" s="137"/>
    </row>
    <row r="66" spans="1:10" x14ac:dyDescent="0.25">
      <c r="A66" s="77" t="s">
        <v>56</v>
      </c>
      <c r="B66" s="78">
        <f>C20-B44-B62</f>
        <v>-78267.276478057116</v>
      </c>
      <c r="C66" s="56" t="s">
        <v>31</v>
      </c>
      <c r="D66" s="56"/>
      <c r="E66" s="56"/>
      <c r="F66" s="3"/>
      <c r="I66" s="97"/>
      <c r="J66" s="137"/>
    </row>
    <row r="67" spans="1:10" x14ac:dyDescent="0.25">
      <c r="A67" s="77" t="s">
        <v>57</v>
      </c>
      <c r="B67" s="78">
        <f>C22-B57</f>
        <v>29635.15</v>
      </c>
      <c r="C67" s="56" t="s">
        <v>31</v>
      </c>
      <c r="D67" s="56"/>
      <c r="E67" s="56"/>
      <c r="F67" s="3"/>
      <c r="I67" s="97"/>
      <c r="J67" s="137"/>
    </row>
    <row r="68" spans="1:10" x14ac:dyDescent="0.25">
      <c r="A68" s="77" t="s">
        <v>58</v>
      </c>
      <c r="B68" s="78">
        <f>C26-B58</f>
        <v>-2300</v>
      </c>
      <c r="C68" s="56" t="s">
        <v>31</v>
      </c>
      <c r="D68" s="56"/>
      <c r="E68" s="56"/>
      <c r="F68" s="3"/>
      <c r="I68" s="97"/>
      <c r="J68" s="137"/>
    </row>
    <row r="69" spans="1:10" x14ac:dyDescent="0.25">
      <c r="A69" s="77" t="s">
        <v>59</v>
      </c>
      <c r="B69" s="78">
        <f>C28-B59</f>
        <v>1482.6599999999744</v>
      </c>
      <c r="C69" s="56" t="s">
        <v>31</v>
      </c>
      <c r="D69" s="56"/>
      <c r="E69" s="56"/>
      <c r="F69" s="3"/>
      <c r="I69" s="97"/>
      <c r="J69" s="137"/>
    </row>
    <row r="70" spans="1:10" x14ac:dyDescent="0.25">
      <c r="A70" s="77" t="s">
        <v>60</v>
      </c>
      <c r="B70" s="78">
        <f>C35-B60</f>
        <v>-6862.68</v>
      </c>
      <c r="C70" s="56" t="s">
        <v>31</v>
      </c>
      <c r="D70" s="56"/>
      <c r="E70" s="56"/>
      <c r="F70" s="3"/>
      <c r="I70" s="97"/>
      <c r="J70" s="137"/>
    </row>
    <row r="71" spans="1:10" x14ac:dyDescent="0.25">
      <c r="A71" s="77" t="s">
        <v>157</v>
      </c>
      <c r="B71" s="78">
        <f>C37-B61</f>
        <v>0</v>
      </c>
      <c r="C71" s="56" t="s">
        <v>31</v>
      </c>
      <c r="I71" s="97"/>
      <c r="J71" s="137"/>
    </row>
    <row r="72" spans="1:10" ht="15.75" thickBot="1" x14ac:dyDescent="0.3">
      <c r="A72" s="77"/>
      <c r="B72" s="78"/>
      <c r="C72" s="56"/>
      <c r="D72" s="98"/>
      <c r="E72" s="99"/>
      <c r="F72" s="100"/>
      <c r="G72" s="97"/>
      <c r="I72" s="97"/>
      <c r="J72" s="137"/>
    </row>
    <row r="73" spans="1:10" ht="15.75" thickBot="1" x14ac:dyDescent="0.3">
      <c r="A73" s="128" t="s">
        <v>146</v>
      </c>
      <c r="B73" s="129"/>
      <c r="C73" s="130"/>
      <c r="D73" s="101"/>
      <c r="E73" s="101"/>
      <c r="F73" s="101"/>
      <c r="G73" s="97"/>
      <c r="I73" s="97"/>
      <c r="J73" s="137"/>
    </row>
    <row r="74" spans="1:10" ht="51.75" thickBot="1" x14ac:dyDescent="0.3">
      <c r="A74" s="79" t="s">
        <v>80</v>
      </c>
      <c r="B74" s="80" t="s">
        <v>61</v>
      </c>
      <c r="C74" s="81" t="s">
        <v>67</v>
      </c>
      <c r="D74" s="102"/>
      <c r="E74" s="103"/>
      <c r="F74" s="104"/>
      <c r="G74" s="97"/>
      <c r="I74" s="97"/>
      <c r="J74" s="137"/>
    </row>
    <row r="75" spans="1:10" x14ac:dyDescent="0.25">
      <c r="A75" s="82" t="s">
        <v>62</v>
      </c>
      <c r="B75" s="113" t="s">
        <v>31</v>
      </c>
      <c r="C75" s="114" t="s">
        <v>31</v>
      </c>
      <c r="D75" s="102"/>
      <c r="E75" s="103"/>
      <c r="F75" s="104"/>
      <c r="G75" s="97"/>
      <c r="I75" s="97"/>
      <c r="J75" s="137"/>
    </row>
    <row r="76" spans="1:10" x14ac:dyDescent="0.25">
      <c r="A76" s="53" t="s">
        <v>170</v>
      </c>
      <c r="B76" s="43"/>
      <c r="C76" s="185">
        <v>18477</v>
      </c>
      <c r="D76" s="102"/>
      <c r="E76" s="103"/>
      <c r="F76" s="104"/>
      <c r="G76" s="97"/>
      <c r="I76" s="97"/>
      <c r="J76" s="137"/>
    </row>
    <row r="77" spans="1:10" ht="15.75" thickBot="1" x14ac:dyDescent="0.3">
      <c r="A77" s="140" t="s">
        <v>180</v>
      </c>
      <c r="B77" s="141"/>
      <c r="C77" s="286">
        <v>9484.85</v>
      </c>
      <c r="D77" s="102"/>
      <c r="E77" s="103"/>
      <c r="F77" s="104"/>
      <c r="G77" s="97"/>
      <c r="I77" s="97"/>
      <c r="J77" s="137"/>
    </row>
    <row r="78" spans="1:10" ht="15.75" thickBot="1" x14ac:dyDescent="0.3">
      <c r="A78" s="83" t="s">
        <v>5</v>
      </c>
      <c r="B78" s="84">
        <f>B76</f>
        <v>0</v>
      </c>
      <c r="C78" s="85">
        <f>C76+C77</f>
        <v>27961.85</v>
      </c>
      <c r="D78" s="105"/>
      <c r="E78" s="103"/>
      <c r="F78" s="104"/>
      <c r="G78" s="97"/>
    </row>
    <row r="79" spans="1:10" x14ac:dyDescent="0.25">
      <c r="A79" s="31"/>
      <c r="B79" s="33"/>
      <c r="C79" s="87"/>
      <c r="D79" s="105"/>
      <c r="E79" s="103"/>
      <c r="F79" s="104"/>
      <c r="G79" s="97"/>
    </row>
    <row r="80" spans="1:10" x14ac:dyDescent="0.25">
      <c r="A80" s="164" t="s">
        <v>132</v>
      </c>
      <c r="B80" s="149"/>
      <c r="C80" s="215"/>
      <c r="D80" s="216"/>
      <c r="E80" s="89"/>
    </row>
    <row r="81" spans="1:6" x14ac:dyDescent="0.25">
      <c r="A81" s="217"/>
      <c r="B81" s="149"/>
      <c r="C81" s="215"/>
      <c r="D81" s="218"/>
      <c r="E81" s="89"/>
    </row>
    <row r="82" spans="1:6" x14ac:dyDescent="0.25">
      <c r="A82" s="165" t="s">
        <v>133</v>
      </c>
      <c r="B82" s="149" t="s">
        <v>134</v>
      </c>
      <c r="C82" s="219"/>
      <c r="D82" s="216"/>
      <c r="E82" s="89"/>
    </row>
    <row r="83" spans="1:6" x14ac:dyDescent="0.25">
      <c r="A83" s="165"/>
      <c r="B83" s="149"/>
      <c r="C83" s="219"/>
      <c r="D83" s="216"/>
      <c r="E83" s="56"/>
    </row>
    <row r="84" spans="1:6" x14ac:dyDescent="0.25">
      <c r="A84" s="220"/>
      <c r="B84" s="221"/>
      <c r="C84" s="219"/>
      <c r="D84" s="150"/>
      <c r="E84" s="56"/>
    </row>
    <row r="85" spans="1:6" ht="15.75" x14ac:dyDescent="0.25">
      <c r="A85" s="223" t="s">
        <v>63</v>
      </c>
      <c r="B85" s="224" t="s">
        <v>134</v>
      </c>
      <c r="C85" s="225"/>
      <c r="D85" s="226" t="s">
        <v>66</v>
      </c>
      <c r="E85" s="89"/>
    </row>
    <row r="86" spans="1:6" x14ac:dyDescent="0.25">
      <c r="A86" s="31"/>
      <c r="B86" s="33"/>
      <c r="C86" s="89"/>
      <c r="D86" s="88"/>
      <c r="E86" s="89"/>
    </row>
    <row r="87" spans="1:6" x14ac:dyDescent="0.25">
      <c r="A87" s="31"/>
      <c r="B87" s="33"/>
      <c r="C87" s="89"/>
      <c r="D87" s="93"/>
      <c r="E87" s="89"/>
    </row>
    <row r="88" spans="1:6" x14ac:dyDescent="0.25">
      <c r="A88" s="95"/>
      <c r="B88" s="96"/>
      <c r="C88" s="89"/>
      <c r="D88" s="93"/>
      <c r="E88" s="89"/>
    </row>
    <row r="89" spans="1:6" x14ac:dyDescent="0.25">
      <c r="A89" s="95"/>
      <c r="B89" s="96"/>
      <c r="C89" s="89"/>
      <c r="D89" s="93"/>
      <c r="E89" s="89"/>
      <c r="F89" s="94"/>
    </row>
    <row r="90" spans="1:6" x14ac:dyDescent="0.25">
      <c r="A90" s="31"/>
      <c r="B90" s="33"/>
      <c r="C90" s="89"/>
      <c r="D90" s="93"/>
      <c r="E90" s="89"/>
    </row>
    <row r="91" spans="1:6" x14ac:dyDescent="0.25">
      <c r="A91" s="31"/>
      <c r="B91" s="33"/>
      <c r="C91" s="56"/>
      <c r="D91" s="87"/>
      <c r="E91" s="89"/>
    </row>
    <row r="92" spans="1:6" x14ac:dyDescent="0.25">
      <c r="A92" s="19"/>
      <c r="B92" s="20"/>
      <c r="C92" s="89"/>
      <c r="D92" s="87"/>
      <c r="E92" s="89"/>
    </row>
    <row r="93" spans="1:6" x14ac:dyDescent="0.25">
      <c r="A93" s="31"/>
      <c r="B93" s="33"/>
      <c r="C93" s="89"/>
      <c r="D93" s="56"/>
      <c r="E93" s="56"/>
      <c r="F93" s="3"/>
    </row>
    <row r="94" spans="1:6" x14ac:dyDescent="0.25">
      <c r="A94" s="31"/>
      <c r="B94" s="33"/>
      <c r="C94" s="33"/>
      <c r="D94" s="56"/>
      <c r="E94" s="89"/>
    </row>
    <row r="95" spans="1:6" x14ac:dyDescent="0.25">
      <c r="A95" s="31"/>
      <c r="B95" s="33"/>
      <c r="C95" s="33"/>
      <c r="D95" s="56"/>
      <c r="E95" s="56"/>
    </row>
    <row r="96" spans="1:6" x14ac:dyDescent="0.25">
      <c r="A96" s="31"/>
      <c r="B96" s="33"/>
      <c r="C96" s="33"/>
      <c r="D96" s="89"/>
      <c r="E96" s="89"/>
    </row>
    <row r="97" spans="1:6" x14ac:dyDescent="0.25">
      <c r="A97" s="31"/>
      <c r="B97" s="33"/>
      <c r="D97" s="89"/>
      <c r="E97" s="89"/>
    </row>
    <row r="98" spans="1:6" x14ac:dyDescent="0.25">
      <c r="D98" s="89"/>
      <c r="E98" s="89"/>
    </row>
    <row r="99" spans="1:6" x14ac:dyDescent="0.25">
      <c r="D99" s="89"/>
      <c r="E99" s="89"/>
    </row>
    <row r="100" spans="1:6" x14ac:dyDescent="0.25">
      <c r="D100" s="89"/>
      <c r="E100" s="89"/>
    </row>
    <row r="101" spans="1:6" x14ac:dyDescent="0.25">
      <c r="D101" s="89"/>
      <c r="E101" s="89"/>
    </row>
    <row r="102" spans="1:6" x14ac:dyDescent="0.25">
      <c r="B102"/>
      <c r="C102"/>
      <c r="D102" s="56"/>
      <c r="E102" s="56"/>
      <c r="F102" s="3"/>
    </row>
    <row r="103" spans="1:6" x14ac:dyDescent="0.25">
      <c r="B103"/>
      <c r="C103"/>
      <c r="D103" s="89"/>
      <c r="E103" s="89"/>
      <c r="F103" s="3"/>
    </row>
    <row r="104" spans="1:6" x14ac:dyDescent="0.25">
      <c r="B104"/>
      <c r="C104"/>
      <c r="D104" s="89"/>
      <c r="E104" s="89"/>
    </row>
    <row r="105" spans="1:6" x14ac:dyDescent="0.25">
      <c r="B105"/>
      <c r="C105"/>
      <c r="D105" s="33"/>
      <c r="E105" s="33"/>
    </row>
    <row r="106" spans="1:6" x14ac:dyDescent="0.25">
      <c r="B106"/>
      <c r="C106"/>
      <c r="D106" s="33"/>
      <c r="E106" s="33"/>
    </row>
    <row r="107" spans="1:6" x14ac:dyDescent="0.25">
      <c r="D107" s="33"/>
      <c r="E107" s="33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V109"/>
  <sheetViews>
    <sheetView view="pageBreakPreview" topLeftCell="A62" zoomScale="60" zoomScaleNormal="100" workbookViewId="0">
      <selection activeCell="E75" sqref="E75"/>
    </sheetView>
  </sheetViews>
  <sheetFormatPr defaultRowHeight="15" x14ac:dyDescent="0.25"/>
  <cols>
    <col min="1" max="1" width="48.85546875" customWidth="1"/>
    <col min="2" max="2" width="16.5703125" style="3" customWidth="1"/>
    <col min="3" max="3" width="19.5703125" style="3" customWidth="1"/>
    <col min="4" max="4" width="16.42578125" style="3" customWidth="1"/>
    <col min="5" max="5" width="19.85546875" style="3" customWidth="1"/>
    <col min="6" max="6" width="12.7109375" customWidth="1"/>
    <col min="7" max="7" width="10.140625" bestFit="1" customWidth="1"/>
    <col min="10" max="10" width="15.140625" customWidth="1"/>
    <col min="11" max="11" width="15.28515625" customWidth="1"/>
    <col min="12" max="12" width="18.85546875" customWidth="1"/>
    <col min="13" max="13" width="13" customWidth="1"/>
    <col min="14" max="14" width="10.7109375" customWidth="1"/>
    <col min="257" max="257" width="44.85546875" customWidth="1"/>
    <col min="258" max="258" width="16.5703125" customWidth="1"/>
    <col min="259" max="259" width="19.5703125" customWidth="1"/>
    <col min="260" max="260" width="16.42578125" customWidth="1"/>
    <col min="261" max="261" width="16.28515625" customWidth="1"/>
    <col min="262" max="262" width="12.7109375" customWidth="1"/>
    <col min="263" max="263" width="10.140625" bestFit="1" customWidth="1"/>
    <col min="266" max="266" width="15.140625" customWidth="1"/>
    <col min="267" max="267" width="15.28515625" customWidth="1"/>
    <col min="268" max="268" width="18.85546875" customWidth="1"/>
    <col min="269" max="269" width="13" customWidth="1"/>
    <col min="270" max="270" width="10.7109375" customWidth="1"/>
    <col min="513" max="513" width="44.85546875" customWidth="1"/>
    <col min="514" max="514" width="16.5703125" customWidth="1"/>
    <col min="515" max="515" width="19.5703125" customWidth="1"/>
    <col min="516" max="516" width="16.42578125" customWidth="1"/>
    <col min="517" max="517" width="16.28515625" customWidth="1"/>
    <col min="518" max="518" width="12.7109375" customWidth="1"/>
    <col min="519" max="519" width="10.140625" bestFit="1" customWidth="1"/>
    <col min="522" max="522" width="15.140625" customWidth="1"/>
    <col min="523" max="523" width="15.28515625" customWidth="1"/>
    <col min="524" max="524" width="18.85546875" customWidth="1"/>
    <col min="525" max="525" width="13" customWidth="1"/>
    <col min="526" max="526" width="10.7109375" customWidth="1"/>
    <col min="769" max="769" width="44.85546875" customWidth="1"/>
    <col min="770" max="770" width="16.5703125" customWidth="1"/>
    <col min="771" max="771" width="19.5703125" customWidth="1"/>
    <col min="772" max="772" width="16.42578125" customWidth="1"/>
    <col min="773" max="773" width="16.28515625" customWidth="1"/>
    <col min="774" max="774" width="12.7109375" customWidth="1"/>
    <col min="775" max="775" width="10.140625" bestFit="1" customWidth="1"/>
    <col min="778" max="778" width="15.140625" customWidth="1"/>
    <col min="779" max="779" width="15.28515625" customWidth="1"/>
    <col min="780" max="780" width="18.85546875" customWidth="1"/>
    <col min="781" max="781" width="13" customWidth="1"/>
    <col min="782" max="782" width="10.7109375" customWidth="1"/>
    <col min="1025" max="1025" width="44.85546875" customWidth="1"/>
    <col min="1026" max="1026" width="16.5703125" customWidth="1"/>
    <col min="1027" max="1027" width="19.5703125" customWidth="1"/>
    <col min="1028" max="1028" width="16.42578125" customWidth="1"/>
    <col min="1029" max="1029" width="16.28515625" customWidth="1"/>
    <col min="1030" max="1030" width="12.7109375" customWidth="1"/>
    <col min="1031" max="1031" width="10.140625" bestFit="1" customWidth="1"/>
    <col min="1034" max="1034" width="15.140625" customWidth="1"/>
    <col min="1035" max="1035" width="15.28515625" customWidth="1"/>
    <col min="1036" max="1036" width="18.85546875" customWidth="1"/>
    <col min="1037" max="1037" width="13" customWidth="1"/>
    <col min="1038" max="1038" width="10.7109375" customWidth="1"/>
    <col min="1281" max="1281" width="44.85546875" customWidth="1"/>
    <col min="1282" max="1282" width="16.5703125" customWidth="1"/>
    <col min="1283" max="1283" width="19.5703125" customWidth="1"/>
    <col min="1284" max="1284" width="16.42578125" customWidth="1"/>
    <col min="1285" max="1285" width="16.28515625" customWidth="1"/>
    <col min="1286" max="1286" width="12.7109375" customWidth="1"/>
    <col min="1287" max="1287" width="10.140625" bestFit="1" customWidth="1"/>
    <col min="1290" max="1290" width="15.140625" customWidth="1"/>
    <col min="1291" max="1291" width="15.28515625" customWidth="1"/>
    <col min="1292" max="1292" width="18.85546875" customWidth="1"/>
    <col min="1293" max="1293" width="13" customWidth="1"/>
    <col min="1294" max="1294" width="10.7109375" customWidth="1"/>
    <col min="1537" max="1537" width="44.85546875" customWidth="1"/>
    <col min="1538" max="1538" width="16.5703125" customWidth="1"/>
    <col min="1539" max="1539" width="19.5703125" customWidth="1"/>
    <col min="1540" max="1540" width="16.42578125" customWidth="1"/>
    <col min="1541" max="1541" width="16.28515625" customWidth="1"/>
    <col min="1542" max="1542" width="12.7109375" customWidth="1"/>
    <col min="1543" max="1543" width="10.140625" bestFit="1" customWidth="1"/>
    <col min="1546" max="1546" width="15.140625" customWidth="1"/>
    <col min="1547" max="1547" width="15.28515625" customWidth="1"/>
    <col min="1548" max="1548" width="18.85546875" customWidth="1"/>
    <col min="1549" max="1549" width="13" customWidth="1"/>
    <col min="1550" max="1550" width="10.7109375" customWidth="1"/>
    <col min="1793" max="1793" width="44.85546875" customWidth="1"/>
    <col min="1794" max="1794" width="16.5703125" customWidth="1"/>
    <col min="1795" max="1795" width="19.5703125" customWidth="1"/>
    <col min="1796" max="1796" width="16.42578125" customWidth="1"/>
    <col min="1797" max="1797" width="16.28515625" customWidth="1"/>
    <col min="1798" max="1798" width="12.7109375" customWidth="1"/>
    <col min="1799" max="1799" width="10.140625" bestFit="1" customWidth="1"/>
    <col min="1802" max="1802" width="15.140625" customWidth="1"/>
    <col min="1803" max="1803" width="15.28515625" customWidth="1"/>
    <col min="1804" max="1804" width="18.85546875" customWidth="1"/>
    <col min="1805" max="1805" width="13" customWidth="1"/>
    <col min="1806" max="1806" width="10.7109375" customWidth="1"/>
    <col min="2049" max="2049" width="44.85546875" customWidth="1"/>
    <col min="2050" max="2050" width="16.5703125" customWidth="1"/>
    <col min="2051" max="2051" width="19.5703125" customWidth="1"/>
    <col min="2052" max="2052" width="16.42578125" customWidth="1"/>
    <col min="2053" max="2053" width="16.28515625" customWidth="1"/>
    <col min="2054" max="2054" width="12.7109375" customWidth="1"/>
    <col min="2055" max="2055" width="10.140625" bestFit="1" customWidth="1"/>
    <col min="2058" max="2058" width="15.140625" customWidth="1"/>
    <col min="2059" max="2059" width="15.28515625" customWidth="1"/>
    <col min="2060" max="2060" width="18.85546875" customWidth="1"/>
    <col min="2061" max="2061" width="13" customWidth="1"/>
    <col min="2062" max="2062" width="10.7109375" customWidth="1"/>
    <col min="2305" max="2305" width="44.85546875" customWidth="1"/>
    <col min="2306" max="2306" width="16.5703125" customWidth="1"/>
    <col min="2307" max="2307" width="19.5703125" customWidth="1"/>
    <col min="2308" max="2308" width="16.42578125" customWidth="1"/>
    <col min="2309" max="2309" width="16.28515625" customWidth="1"/>
    <col min="2310" max="2310" width="12.7109375" customWidth="1"/>
    <col min="2311" max="2311" width="10.140625" bestFit="1" customWidth="1"/>
    <col min="2314" max="2314" width="15.140625" customWidth="1"/>
    <col min="2315" max="2315" width="15.28515625" customWidth="1"/>
    <col min="2316" max="2316" width="18.85546875" customWidth="1"/>
    <col min="2317" max="2317" width="13" customWidth="1"/>
    <col min="2318" max="2318" width="10.7109375" customWidth="1"/>
    <col min="2561" max="2561" width="44.85546875" customWidth="1"/>
    <col min="2562" max="2562" width="16.5703125" customWidth="1"/>
    <col min="2563" max="2563" width="19.5703125" customWidth="1"/>
    <col min="2564" max="2564" width="16.42578125" customWidth="1"/>
    <col min="2565" max="2565" width="16.28515625" customWidth="1"/>
    <col min="2566" max="2566" width="12.7109375" customWidth="1"/>
    <col min="2567" max="2567" width="10.140625" bestFit="1" customWidth="1"/>
    <col min="2570" max="2570" width="15.140625" customWidth="1"/>
    <col min="2571" max="2571" width="15.28515625" customWidth="1"/>
    <col min="2572" max="2572" width="18.85546875" customWidth="1"/>
    <col min="2573" max="2573" width="13" customWidth="1"/>
    <col min="2574" max="2574" width="10.7109375" customWidth="1"/>
    <col min="2817" max="2817" width="44.85546875" customWidth="1"/>
    <col min="2818" max="2818" width="16.5703125" customWidth="1"/>
    <col min="2819" max="2819" width="19.5703125" customWidth="1"/>
    <col min="2820" max="2820" width="16.42578125" customWidth="1"/>
    <col min="2821" max="2821" width="16.28515625" customWidth="1"/>
    <col min="2822" max="2822" width="12.7109375" customWidth="1"/>
    <col min="2823" max="2823" width="10.140625" bestFit="1" customWidth="1"/>
    <col min="2826" max="2826" width="15.140625" customWidth="1"/>
    <col min="2827" max="2827" width="15.28515625" customWidth="1"/>
    <col min="2828" max="2828" width="18.85546875" customWidth="1"/>
    <col min="2829" max="2829" width="13" customWidth="1"/>
    <col min="2830" max="2830" width="10.7109375" customWidth="1"/>
    <col min="3073" max="3073" width="44.85546875" customWidth="1"/>
    <col min="3074" max="3074" width="16.5703125" customWidth="1"/>
    <col min="3075" max="3075" width="19.5703125" customWidth="1"/>
    <col min="3076" max="3076" width="16.42578125" customWidth="1"/>
    <col min="3077" max="3077" width="16.28515625" customWidth="1"/>
    <col min="3078" max="3078" width="12.7109375" customWidth="1"/>
    <col min="3079" max="3079" width="10.140625" bestFit="1" customWidth="1"/>
    <col min="3082" max="3082" width="15.140625" customWidth="1"/>
    <col min="3083" max="3083" width="15.28515625" customWidth="1"/>
    <col min="3084" max="3084" width="18.85546875" customWidth="1"/>
    <col min="3085" max="3085" width="13" customWidth="1"/>
    <col min="3086" max="3086" width="10.7109375" customWidth="1"/>
    <col min="3329" max="3329" width="44.85546875" customWidth="1"/>
    <col min="3330" max="3330" width="16.5703125" customWidth="1"/>
    <col min="3331" max="3331" width="19.5703125" customWidth="1"/>
    <col min="3332" max="3332" width="16.42578125" customWidth="1"/>
    <col min="3333" max="3333" width="16.28515625" customWidth="1"/>
    <col min="3334" max="3334" width="12.7109375" customWidth="1"/>
    <col min="3335" max="3335" width="10.140625" bestFit="1" customWidth="1"/>
    <col min="3338" max="3338" width="15.140625" customWidth="1"/>
    <col min="3339" max="3339" width="15.28515625" customWidth="1"/>
    <col min="3340" max="3340" width="18.85546875" customWidth="1"/>
    <col min="3341" max="3341" width="13" customWidth="1"/>
    <col min="3342" max="3342" width="10.7109375" customWidth="1"/>
    <col min="3585" max="3585" width="44.85546875" customWidth="1"/>
    <col min="3586" max="3586" width="16.5703125" customWidth="1"/>
    <col min="3587" max="3587" width="19.5703125" customWidth="1"/>
    <col min="3588" max="3588" width="16.42578125" customWidth="1"/>
    <col min="3589" max="3589" width="16.28515625" customWidth="1"/>
    <col min="3590" max="3590" width="12.7109375" customWidth="1"/>
    <col min="3591" max="3591" width="10.140625" bestFit="1" customWidth="1"/>
    <col min="3594" max="3594" width="15.140625" customWidth="1"/>
    <col min="3595" max="3595" width="15.28515625" customWidth="1"/>
    <col min="3596" max="3596" width="18.85546875" customWidth="1"/>
    <col min="3597" max="3597" width="13" customWidth="1"/>
    <col min="3598" max="3598" width="10.7109375" customWidth="1"/>
    <col min="3841" max="3841" width="44.85546875" customWidth="1"/>
    <col min="3842" max="3842" width="16.5703125" customWidth="1"/>
    <col min="3843" max="3843" width="19.5703125" customWidth="1"/>
    <col min="3844" max="3844" width="16.42578125" customWidth="1"/>
    <col min="3845" max="3845" width="16.28515625" customWidth="1"/>
    <col min="3846" max="3846" width="12.7109375" customWidth="1"/>
    <col min="3847" max="3847" width="10.140625" bestFit="1" customWidth="1"/>
    <col min="3850" max="3850" width="15.140625" customWidth="1"/>
    <col min="3851" max="3851" width="15.28515625" customWidth="1"/>
    <col min="3852" max="3852" width="18.85546875" customWidth="1"/>
    <col min="3853" max="3853" width="13" customWidth="1"/>
    <col min="3854" max="3854" width="10.7109375" customWidth="1"/>
    <col min="4097" max="4097" width="44.85546875" customWidth="1"/>
    <col min="4098" max="4098" width="16.5703125" customWidth="1"/>
    <col min="4099" max="4099" width="19.5703125" customWidth="1"/>
    <col min="4100" max="4100" width="16.42578125" customWidth="1"/>
    <col min="4101" max="4101" width="16.28515625" customWidth="1"/>
    <col min="4102" max="4102" width="12.7109375" customWidth="1"/>
    <col min="4103" max="4103" width="10.140625" bestFit="1" customWidth="1"/>
    <col min="4106" max="4106" width="15.140625" customWidth="1"/>
    <col min="4107" max="4107" width="15.28515625" customWidth="1"/>
    <col min="4108" max="4108" width="18.85546875" customWidth="1"/>
    <col min="4109" max="4109" width="13" customWidth="1"/>
    <col min="4110" max="4110" width="10.7109375" customWidth="1"/>
    <col min="4353" max="4353" width="44.85546875" customWidth="1"/>
    <col min="4354" max="4354" width="16.5703125" customWidth="1"/>
    <col min="4355" max="4355" width="19.5703125" customWidth="1"/>
    <col min="4356" max="4356" width="16.42578125" customWidth="1"/>
    <col min="4357" max="4357" width="16.28515625" customWidth="1"/>
    <col min="4358" max="4358" width="12.7109375" customWidth="1"/>
    <col min="4359" max="4359" width="10.140625" bestFit="1" customWidth="1"/>
    <col min="4362" max="4362" width="15.140625" customWidth="1"/>
    <col min="4363" max="4363" width="15.28515625" customWidth="1"/>
    <col min="4364" max="4364" width="18.85546875" customWidth="1"/>
    <col min="4365" max="4365" width="13" customWidth="1"/>
    <col min="4366" max="4366" width="10.7109375" customWidth="1"/>
    <col min="4609" max="4609" width="44.85546875" customWidth="1"/>
    <col min="4610" max="4610" width="16.5703125" customWidth="1"/>
    <col min="4611" max="4611" width="19.5703125" customWidth="1"/>
    <col min="4612" max="4612" width="16.42578125" customWidth="1"/>
    <col min="4613" max="4613" width="16.28515625" customWidth="1"/>
    <col min="4614" max="4614" width="12.7109375" customWidth="1"/>
    <col min="4615" max="4615" width="10.140625" bestFit="1" customWidth="1"/>
    <col min="4618" max="4618" width="15.140625" customWidth="1"/>
    <col min="4619" max="4619" width="15.28515625" customWidth="1"/>
    <col min="4620" max="4620" width="18.85546875" customWidth="1"/>
    <col min="4621" max="4621" width="13" customWidth="1"/>
    <col min="4622" max="4622" width="10.7109375" customWidth="1"/>
    <col min="4865" max="4865" width="44.85546875" customWidth="1"/>
    <col min="4866" max="4866" width="16.5703125" customWidth="1"/>
    <col min="4867" max="4867" width="19.5703125" customWidth="1"/>
    <col min="4868" max="4868" width="16.42578125" customWidth="1"/>
    <col min="4869" max="4869" width="16.28515625" customWidth="1"/>
    <col min="4870" max="4870" width="12.7109375" customWidth="1"/>
    <col min="4871" max="4871" width="10.140625" bestFit="1" customWidth="1"/>
    <col min="4874" max="4874" width="15.140625" customWidth="1"/>
    <col min="4875" max="4875" width="15.28515625" customWidth="1"/>
    <col min="4876" max="4876" width="18.85546875" customWidth="1"/>
    <col min="4877" max="4877" width="13" customWidth="1"/>
    <col min="4878" max="4878" width="10.7109375" customWidth="1"/>
    <col min="5121" max="5121" width="44.85546875" customWidth="1"/>
    <col min="5122" max="5122" width="16.5703125" customWidth="1"/>
    <col min="5123" max="5123" width="19.5703125" customWidth="1"/>
    <col min="5124" max="5124" width="16.42578125" customWidth="1"/>
    <col min="5125" max="5125" width="16.28515625" customWidth="1"/>
    <col min="5126" max="5126" width="12.7109375" customWidth="1"/>
    <col min="5127" max="5127" width="10.140625" bestFit="1" customWidth="1"/>
    <col min="5130" max="5130" width="15.140625" customWidth="1"/>
    <col min="5131" max="5131" width="15.28515625" customWidth="1"/>
    <col min="5132" max="5132" width="18.85546875" customWidth="1"/>
    <col min="5133" max="5133" width="13" customWidth="1"/>
    <col min="5134" max="5134" width="10.7109375" customWidth="1"/>
    <col min="5377" max="5377" width="44.85546875" customWidth="1"/>
    <col min="5378" max="5378" width="16.5703125" customWidth="1"/>
    <col min="5379" max="5379" width="19.5703125" customWidth="1"/>
    <col min="5380" max="5380" width="16.42578125" customWidth="1"/>
    <col min="5381" max="5381" width="16.28515625" customWidth="1"/>
    <col min="5382" max="5382" width="12.7109375" customWidth="1"/>
    <col min="5383" max="5383" width="10.140625" bestFit="1" customWidth="1"/>
    <col min="5386" max="5386" width="15.140625" customWidth="1"/>
    <col min="5387" max="5387" width="15.28515625" customWidth="1"/>
    <col min="5388" max="5388" width="18.85546875" customWidth="1"/>
    <col min="5389" max="5389" width="13" customWidth="1"/>
    <col min="5390" max="5390" width="10.7109375" customWidth="1"/>
    <col min="5633" max="5633" width="44.85546875" customWidth="1"/>
    <col min="5634" max="5634" width="16.5703125" customWidth="1"/>
    <col min="5635" max="5635" width="19.5703125" customWidth="1"/>
    <col min="5636" max="5636" width="16.42578125" customWidth="1"/>
    <col min="5637" max="5637" width="16.28515625" customWidth="1"/>
    <col min="5638" max="5638" width="12.7109375" customWidth="1"/>
    <col min="5639" max="5639" width="10.140625" bestFit="1" customWidth="1"/>
    <col min="5642" max="5642" width="15.140625" customWidth="1"/>
    <col min="5643" max="5643" width="15.28515625" customWidth="1"/>
    <col min="5644" max="5644" width="18.85546875" customWidth="1"/>
    <col min="5645" max="5645" width="13" customWidth="1"/>
    <col min="5646" max="5646" width="10.7109375" customWidth="1"/>
    <col min="5889" max="5889" width="44.85546875" customWidth="1"/>
    <col min="5890" max="5890" width="16.5703125" customWidth="1"/>
    <col min="5891" max="5891" width="19.5703125" customWidth="1"/>
    <col min="5892" max="5892" width="16.42578125" customWidth="1"/>
    <col min="5893" max="5893" width="16.28515625" customWidth="1"/>
    <col min="5894" max="5894" width="12.7109375" customWidth="1"/>
    <col min="5895" max="5895" width="10.140625" bestFit="1" customWidth="1"/>
    <col min="5898" max="5898" width="15.140625" customWidth="1"/>
    <col min="5899" max="5899" width="15.28515625" customWidth="1"/>
    <col min="5900" max="5900" width="18.85546875" customWidth="1"/>
    <col min="5901" max="5901" width="13" customWidth="1"/>
    <col min="5902" max="5902" width="10.7109375" customWidth="1"/>
    <col min="6145" max="6145" width="44.85546875" customWidth="1"/>
    <col min="6146" max="6146" width="16.5703125" customWidth="1"/>
    <col min="6147" max="6147" width="19.5703125" customWidth="1"/>
    <col min="6148" max="6148" width="16.42578125" customWidth="1"/>
    <col min="6149" max="6149" width="16.28515625" customWidth="1"/>
    <col min="6150" max="6150" width="12.7109375" customWidth="1"/>
    <col min="6151" max="6151" width="10.140625" bestFit="1" customWidth="1"/>
    <col min="6154" max="6154" width="15.140625" customWidth="1"/>
    <col min="6155" max="6155" width="15.28515625" customWidth="1"/>
    <col min="6156" max="6156" width="18.85546875" customWidth="1"/>
    <col min="6157" max="6157" width="13" customWidth="1"/>
    <col min="6158" max="6158" width="10.7109375" customWidth="1"/>
    <col min="6401" max="6401" width="44.85546875" customWidth="1"/>
    <col min="6402" max="6402" width="16.5703125" customWidth="1"/>
    <col min="6403" max="6403" width="19.5703125" customWidth="1"/>
    <col min="6404" max="6404" width="16.42578125" customWidth="1"/>
    <col min="6405" max="6405" width="16.28515625" customWidth="1"/>
    <col min="6406" max="6406" width="12.7109375" customWidth="1"/>
    <col min="6407" max="6407" width="10.140625" bestFit="1" customWidth="1"/>
    <col min="6410" max="6410" width="15.140625" customWidth="1"/>
    <col min="6411" max="6411" width="15.28515625" customWidth="1"/>
    <col min="6412" max="6412" width="18.85546875" customWidth="1"/>
    <col min="6413" max="6413" width="13" customWidth="1"/>
    <col min="6414" max="6414" width="10.7109375" customWidth="1"/>
    <col min="6657" max="6657" width="44.85546875" customWidth="1"/>
    <col min="6658" max="6658" width="16.5703125" customWidth="1"/>
    <col min="6659" max="6659" width="19.5703125" customWidth="1"/>
    <col min="6660" max="6660" width="16.42578125" customWidth="1"/>
    <col min="6661" max="6661" width="16.28515625" customWidth="1"/>
    <col min="6662" max="6662" width="12.7109375" customWidth="1"/>
    <col min="6663" max="6663" width="10.140625" bestFit="1" customWidth="1"/>
    <col min="6666" max="6666" width="15.140625" customWidth="1"/>
    <col min="6667" max="6667" width="15.28515625" customWidth="1"/>
    <col min="6668" max="6668" width="18.85546875" customWidth="1"/>
    <col min="6669" max="6669" width="13" customWidth="1"/>
    <col min="6670" max="6670" width="10.7109375" customWidth="1"/>
    <col min="6913" max="6913" width="44.85546875" customWidth="1"/>
    <col min="6914" max="6914" width="16.5703125" customWidth="1"/>
    <col min="6915" max="6915" width="19.5703125" customWidth="1"/>
    <col min="6916" max="6916" width="16.42578125" customWidth="1"/>
    <col min="6917" max="6917" width="16.28515625" customWidth="1"/>
    <col min="6918" max="6918" width="12.7109375" customWidth="1"/>
    <col min="6919" max="6919" width="10.140625" bestFit="1" customWidth="1"/>
    <col min="6922" max="6922" width="15.140625" customWidth="1"/>
    <col min="6923" max="6923" width="15.28515625" customWidth="1"/>
    <col min="6924" max="6924" width="18.85546875" customWidth="1"/>
    <col min="6925" max="6925" width="13" customWidth="1"/>
    <col min="6926" max="6926" width="10.7109375" customWidth="1"/>
    <col min="7169" max="7169" width="44.85546875" customWidth="1"/>
    <col min="7170" max="7170" width="16.5703125" customWidth="1"/>
    <col min="7171" max="7171" width="19.5703125" customWidth="1"/>
    <col min="7172" max="7172" width="16.42578125" customWidth="1"/>
    <col min="7173" max="7173" width="16.28515625" customWidth="1"/>
    <col min="7174" max="7174" width="12.7109375" customWidth="1"/>
    <col min="7175" max="7175" width="10.140625" bestFit="1" customWidth="1"/>
    <col min="7178" max="7178" width="15.140625" customWidth="1"/>
    <col min="7179" max="7179" width="15.28515625" customWidth="1"/>
    <col min="7180" max="7180" width="18.85546875" customWidth="1"/>
    <col min="7181" max="7181" width="13" customWidth="1"/>
    <col min="7182" max="7182" width="10.7109375" customWidth="1"/>
    <col min="7425" max="7425" width="44.85546875" customWidth="1"/>
    <col min="7426" max="7426" width="16.5703125" customWidth="1"/>
    <col min="7427" max="7427" width="19.5703125" customWidth="1"/>
    <col min="7428" max="7428" width="16.42578125" customWidth="1"/>
    <col min="7429" max="7429" width="16.28515625" customWidth="1"/>
    <col min="7430" max="7430" width="12.7109375" customWidth="1"/>
    <col min="7431" max="7431" width="10.140625" bestFit="1" customWidth="1"/>
    <col min="7434" max="7434" width="15.140625" customWidth="1"/>
    <col min="7435" max="7435" width="15.28515625" customWidth="1"/>
    <col min="7436" max="7436" width="18.85546875" customWidth="1"/>
    <col min="7437" max="7437" width="13" customWidth="1"/>
    <col min="7438" max="7438" width="10.7109375" customWidth="1"/>
    <col min="7681" max="7681" width="44.85546875" customWidth="1"/>
    <col min="7682" max="7682" width="16.5703125" customWidth="1"/>
    <col min="7683" max="7683" width="19.5703125" customWidth="1"/>
    <col min="7684" max="7684" width="16.42578125" customWidth="1"/>
    <col min="7685" max="7685" width="16.28515625" customWidth="1"/>
    <col min="7686" max="7686" width="12.7109375" customWidth="1"/>
    <col min="7687" max="7687" width="10.140625" bestFit="1" customWidth="1"/>
    <col min="7690" max="7690" width="15.140625" customWidth="1"/>
    <col min="7691" max="7691" width="15.28515625" customWidth="1"/>
    <col min="7692" max="7692" width="18.85546875" customWidth="1"/>
    <col min="7693" max="7693" width="13" customWidth="1"/>
    <col min="7694" max="7694" width="10.7109375" customWidth="1"/>
    <col min="7937" max="7937" width="44.85546875" customWidth="1"/>
    <col min="7938" max="7938" width="16.5703125" customWidth="1"/>
    <col min="7939" max="7939" width="19.5703125" customWidth="1"/>
    <col min="7940" max="7940" width="16.42578125" customWidth="1"/>
    <col min="7941" max="7941" width="16.28515625" customWidth="1"/>
    <col min="7942" max="7942" width="12.7109375" customWidth="1"/>
    <col min="7943" max="7943" width="10.140625" bestFit="1" customWidth="1"/>
    <col min="7946" max="7946" width="15.140625" customWidth="1"/>
    <col min="7947" max="7947" width="15.28515625" customWidth="1"/>
    <col min="7948" max="7948" width="18.85546875" customWidth="1"/>
    <col min="7949" max="7949" width="13" customWidth="1"/>
    <col min="7950" max="7950" width="10.7109375" customWidth="1"/>
    <col min="8193" max="8193" width="44.85546875" customWidth="1"/>
    <col min="8194" max="8194" width="16.5703125" customWidth="1"/>
    <col min="8195" max="8195" width="19.5703125" customWidth="1"/>
    <col min="8196" max="8196" width="16.42578125" customWidth="1"/>
    <col min="8197" max="8197" width="16.28515625" customWidth="1"/>
    <col min="8198" max="8198" width="12.7109375" customWidth="1"/>
    <col min="8199" max="8199" width="10.140625" bestFit="1" customWidth="1"/>
    <col min="8202" max="8202" width="15.140625" customWidth="1"/>
    <col min="8203" max="8203" width="15.28515625" customWidth="1"/>
    <col min="8204" max="8204" width="18.85546875" customWidth="1"/>
    <col min="8205" max="8205" width="13" customWidth="1"/>
    <col min="8206" max="8206" width="10.7109375" customWidth="1"/>
    <col min="8449" max="8449" width="44.85546875" customWidth="1"/>
    <col min="8450" max="8450" width="16.5703125" customWidth="1"/>
    <col min="8451" max="8451" width="19.5703125" customWidth="1"/>
    <col min="8452" max="8452" width="16.42578125" customWidth="1"/>
    <col min="8453" max="8453" width="16.28515625" customWidth="1"/>
    <col min="8454" max="8454" width="12.7109375" customWidth="1"/>
    <col min="8455" max="8455" width="10.140625" bestFit="1" customWidth="1"/>
    <col min="8458" max="8458" width="15.140625" customWidth="1"/>
    <col min="8459" max="8459" width="15.28515625" customWidth="1"/>
    <col min="8460" max="8460" width="18.85546875" customWidth="1"/>
    <col min="8461" max="8461" width="13" customWidth="1"/>
    <col min="8462" max="8462" width="10.7109375" customWidth="1"/>
    <col min="8705" max="8705" width="44.85546875" customWidth="1"/>
    <col min="8706" max="8706" width="16.5703125" customWidth="1"/>
    <col min="8707" max="8707" width="19.5703125" customWidth="1"/>
    <col min="8708" max="8708" width="16.42578125" customWidth="1"/>
    <col min="8709" max="8709" width="16.28515625" customWidth="1"/>
    <col min="8710" max="8710" width="12.7109375" customWidth="1"/>
    <col min="8711" max="8711" width="10.140625" bestFit="1" customWidth="1"/>
    <col min="8714" max="8714" width="15.140625" customWidth="1"/>
    <col min="8715" max="8715" width="15.28515625" customWidth="1"/>
    <col min="8716" max="8716" width="18.85546875" customWidth="1"/>
    <col min="8717" max="8717" width="13" customWidth="1"/>
    <col min="8718" max="8718" width="10.7109375" customWidth="1"/>
    <col min="8961" max="8961" width="44.85546875" customWidth="1"/>
    <col min="8962" max="8962" width="16.5703125" customWidth="1"/>
    <col min="8963" max="8963" width="19.5703125" customWidth="1"/>
    <col min="8964" max="8964" width="16.42578125" customWidth="1"/>
    <col min="8965" max="8965" width="16.28515625" customWidth="1"/>
    <col min="8966" max="8966" width="12.7109375" customWidth="1"/>
    <col min="8967" max="8967" width="10.140625" bestFit="1" customWidth="1"/>
    <col min="8970" max="8970" width="15.140625" customWidth="1"/>
    <col min="8971" max="8971" width="15.28515625" customWidth="1"/>
    <col min="8972" max="8972" width="18.85546875" customWidth="1"/>
    <col min="8973" max="8973" width="13" customWidth="1"/>
    <col min="8974" max="8974" width="10.7109375" customWidth="1"/>
    <col min="9217" max="9217" width="44.85546875" customWidth="1"/>
    <col min="9218" max="9218" width="16.5703125" customWidth="1"/>
    <col min="9219" max="9219" width="19.5703125" customWidth="1"/>
    <col min="9220" max="9220" width="16.42578125" customWidth="1"/>
    <col min="9221" max="9221" width="16.28515625" customWidth="1"/>
    <col min="9222" max="9222" width="12.7109375" customWidth="1"/>
    <col min="9223" max="9223" width="10.140625" bestFit="1" customWidth="1"/>
    <col min="9226" max="9226" width="15.140625" customWidth="1"/>
    <col min="9227" max="9227" width="15.28515625" customWidth="1"/>
    <col min="9228" max="9228" width="18.85546875" customWidth="1"/>
    <col min="9229" max="9229" width="13" customWidth="1"/>
    <col min="9230" max="9230" width="10.7109375" customWidth="1"/>
    <col min="9473" max="9473" width="44.85546875" customWidth="1"/>
    <col min="9474" max="9474" width="16.5703125" customWidth="1"/>
    <col min="9475" max="9475" width="19.5703125" customWidth="1"/>
    <col min="9476" max="9476" width="16.42578125" customWidth="1"/>
    <col min="9477" max="9477" width="16.28515625" customWidth="1"/>
    <col min="9478" max="9478" width="12.7109375" customWidth="1"/>
    <col min="9479" max="9479" width="10.140625" bestFit="1" customWidth="1"/>
    <col min="9482" max="9482" width="15.140625" customWidth="1"/>
    <col min="9483" max="9483" width="15.28515625" customWidth="1"/>
    <col min="9484" max="9484" width="18.85546875" customWidth="1"/>
    <col min="9485" max="9485" width="13" customWidth="1"/>
    <col min="9486" max="9486" width="10.7109375" customWidth="1"/>
    <col min="9729" max="9729" width="44.85546875" customWidth="1"/>
    <col min="9730" max="9730" width="16.5703125" customWidth="1"/>
    <col min="9731" max="9731" width="19.5703125" customWidth="1"/>
    <col min="9732" max="9732" width="16.42578125" customWidth="1"/>
    <col min="9733" max="9733" width="16.28515625" customWidth="1"/>
    <col min="9734" max="9734" width="12.7109375" customWidth="1"/>
    <col min="9735" max="9735" width="10.140625" bestFit="1" customWidth="1"/>
    <col min="9738" max="9738" width="15.140625" customWidth="1"/>
    <col min="9739" max="9739" width="15.28515625" customWidth="1"/>
    <col min="9740" max="9740" width="18.85546875" customWidth="1"/>
    <col min="9741" max="9741" width="13" customWidth="1"/>
    <col min="9742" max="9742" width="10.7109375" customWidth="1"/>
    <col min="9985" max="9985" width="44.85546875" customWidth="1"/>
    <col min="9986" max="9986" width="16.5703125" customWidth="1"/>
    <col min="9987" max="9987" width="19.5703125" customWidth="1"/>
    <col min="9988" max="9988" width="16.42578125" customWidth="1"/>
    <col min="9989" max="9989" width="16.28515625" customWidth="1"/>
    <col min="9990" max="9990" width="12.7109375" customWidth="1"/>
    <col min="9991" max="9991" width="10.140625" bestFit="1" customWidth="1"/>
    <col min="9994" max="9994" width="15.140625" customWidth="1"/>
    <col min="9995" max="9995" width="15.28515625" customWidth="1"/>
    <col min="9996" max="9996" width="18.85546875" customWidth="1"/>
    <col min="9997" max="9997" width="13" customWidth="1"/>
    <col min="9998" max="9998" width="10.7109375" customWidth="1"/>
    <col min="10241" max="10241" width="44.85546875" customWidth="1"/>
    <col min="10242" max="10242" width="16.5703125" customWidth="1"/>
    <col min="10243" max="10243" width="19.5703125" customWidth="1"/>
    <col min="10244" max="10244" width="16.42578125" customWidth="1"/>
    <col min="10245" max="10245" width="16.28515625" customWidth="1"/>
    <col min="10246" max="10246" width="12.7109375" customWidth="1"/>
    <col min="10247" max="10247" width="10.140625" bestFit="1" customWidth="1"/>
    <col min="10250" max="10250" width="15.140625" customWidth="1"/>
    <col min="10251" max="10251" width="15.28515625" customWidth="1"/>
    <col min="10252" max="10252" width="18.85546875" customWidth="1"/>
    <col min="10253" max="10253" width="13" customWidth="1"/>
    <col min="10254" max="10254" width="10.7109375" customWidth="1"/>
    <col min="10497" max="10497" width="44.85546875" customWidth="1"/>
    <col min="10498" max="10498" width="16.5703125" customWidth="1"/>
    <col min="10499" max="10499" width="19.5703125" customWidth="1"/>
    <col min="10500" max="10500" width="16.42578125" customWidth="1"/>
    <col min="10501" max="10501" width="16.28515625" customWidth="1"/>
    <col min="10502" max="10502" width="12.7109375" customWidth="1"/>
    <col min="10503" max="10503" width="10.140625" bestFit="1" customWidth="1"/>
    <col min="10506" max="10506" width="15.140625" customWidth="1"/>
    <col min="10507" max="10507" width="15.28515625" customWidth="1"/>
    <col min="10508" max="10508" width="18.85546875" customWidth="1"/>
    <col min="10509" max="10509" width="13" customWidth="1"/>
    <col min="10510" max="10510" width="10.7109375" customWidth="1"/>
    <col min="10753" max="10753" width="44.85546875" customWidth="1"/>
    <col min="10754" max="10754" width="16.5703125" customWidth="1"/>
    <col min="10755" max="10755" width="19.5703125" customWidth="1"/>
    <col min="10756" max="10756" width="16.42578125" customWidth="1"/>
    <col min="10757" max="10757" width="16.28515625" customWidth="1"/>
    <col min="10758" max="10758" width="12.7109375" customWidth="1"/>
    <col min="10759" max="10759" width="10.140625" bestFit="1" customWidth="1"/>
    <col min="10762" max="10762" width="15.140625" customWidth="1"/>
    <col min="10763" max="10763" width="15.28515625" customWidth="1"/>
    <col min="10764" max="10764" width="18.85546875" customWidth="1"/>
    <col min="10765" max="10765" width="13" customWidth="1"/>
    <col min="10766" max="10766" width="10.7109375" customWidth="1"/>
    <col min="11009" max="11009" width="44.85546875" customWidth="1"/>
    <col min="11010" max="11010" width="16.5703125" customWidth="1"/>
    <col min="11011" max="11011" width="19.5703125" customWidth="1"/>
    <col min="11012" max="11012" width="16.42578125" customWidth="1"/>
    <col min="11013" max="11013" width="16.28515625" customWidth="1"/>
    <col min="11014" max="11014" width="12.7109375" customWidth="1"/>
    <col min="11015" max="11015" width="10.140625" bestFit="1" customWidth="1"/>
    <col min="11018" max="11018" width="15.140625" customWidth="1"/>
    <col min="11019" max="11019" width="15.28515625" customWidth="1"/>
    <col min="11020" max="11020" width="18.85546875" customWidth="1"/>
    <col min="11021" max="11021" width="13" customWidth="1"/>
    <col min="11022" max="11022" width="10.7109375" customWidth="1"/>
    <col min="11265" max="11265" width="44.85546875" customWidth="1"/>
    <col min="11266" max="11266" width="16.5703125" customWidth="1"/>
    <col min="11267" max="11267" width="19.5703125" customWidth="1"/>
    <col min="11268" max="11268" width="16.42578125" customWidth="1"/>
    <col min="11269" max="11269" width="16.28515625" customWidth="1"/>
    <col min="11270" max="11270" width="12.7109375" customWidth="1"/>
    <col min="11271" max="11271" width="10.140625" bestFit="1" customWidth="1"/>
    <col min="11274" max="11274" width="15.140625" customWidth="1"/>
    <col min="11275" max="11275" width="15.28515625" customWidth="1"/>
    <col min="11276" max="11276" width="18.85546875" customWidth="1"/>
    <col min="11277" max="11277" width="13" customWidth="1"/>
    <col min="11278" max="11278" width="10.7109375" customWidth="1"/>
    <col min="11521" max="11521" width="44.85546875" customWidth="1"/>
    <col min="11522" max="11522" width="16.5703125" customWidth="1"/>
    <col min="11523" max="11523" width="19.5703125" customWidth="1"/>
    <col min="11524" max="11524" width="16.42578125" customWidth="1"/>
    <col min="11525" max="11525" width="16.28515625" customWidth="1"/>
    <col min="11526" max="11526" width="12.7109375" customWidth="1"/>
    <col min="11527" max="11527" width="10.140625" bestFit="1" customWidth="1"/>
    <col min="11530" max="11530" width="15.140625" customWidth="1"/>
    <col min="11531" max="11531" width="15.28515625" customWidth="1"/>
    <col min="11532" max="11532" width="18.85546875" customWidth="1"/>
    <col min="11533" max="11533" width="13" customWidth="1"/>
    <col min="11534" max="11534" width="10.7109375" customWidth="1"/>
    <col min="11777" max="11777" width="44.85546875" customWidth="1"/>
    <col min="11778" max="11778" width="16.5703125" customWidth="1"/>
    <col min="11779" max="11779" width="19.5703125" customWidth="1"/>
    <col min="11780" max="11780" width="16.42578125" customWidth="1"/>
    <col min="11781" max="11781" width="16.28515625" customWidth="1"/>
    <col min="11782" max="11782" width="12.7109375" customWidth="1"/>
    <col min="11783" max="11783" width="10.140625" bestFit="1" customWidth="1"/>
    <col min="11786" max="11786" width="15.140625" customWidth="1"/>
    <col min="11787" max="11787" width="15.28515625" customWidth="1"/>
    <col min="11788" max="11788" width="18.85546875" customWidth="1"/>
    <col min="11789" max="11789" width="13" customWidth="1"/>
    <col min="11790" max="11790" width="10.7109375" customWidth="1"/>
    <col min="12033" max="12033" width="44.85546875" customWidth="1"/>
    <col min="12034" max="12034" width="16.5703125" customWidth="1"/>
    <col min="12035" max="12035" width="19.5703125" customWidth="1"/>
    <col min="12036" max="12036" width="16.42578125" customWidth="1"/>
    <col min="12037" max="12037" width="16.28515625" customWidth="1"/>
    <col min="12038" max="12038" width="12.7109375" customWidth="1"/>
    <col min="12039" max="12039" width="10.140625" bestFit="1" customWidth="1"/>
    <col min="12042" max="12042" width="15.140625" customWidth="1"/>
    <col min="12043" max="12043" width="15.28515625" customWidth="1"/>
    <col min="12044" max="12044" width="18.85546875" customWidth="1"/>
    <col min="12045" max="12045" width="13" customWidth="1"/>
    <col min="12046" max="12046" width="10.7109375" customWidth="1"/>
    <col min="12289" max="12289" width="44.85546875" customWidth="1"/>
    <col min="12290" max="12290" width="16.5703125" customWidth="1"/>
    <col min="12291" max="12291" width="19.5703125" customWidth="1"/>
    <col min="12292" max="12292" width="16.42578125" customWidth="1"/>
    <col min="12293" max="12293" width="16.28515625" customWidth="1"/>
    <col min="12294" max="12294" width="12.7109375" customWidth="1"/>
    <col min="12295" max="12295" width="10.140625" bestFit="1" customWidth="1"/>
    <col min="12298" max="12298" width="15.140625" customWidth="1"/>
    <col min="12299" max="12299" width="15.28515625" customWidth="1"/>
    <col min="12300" max="12300" width="18.85546875" customWidth="1"/>
    <col min="12301" max="12301" width="13" customWidth="1"/>
    <col min="12302" max="12302" width="10.7109375" customWidth="1"/>
    <col min="12545" max="12545" width="44.85546875" customWidth="1"/>
    <col min="12546" max="12546" width="16.5703125" customWidth="1"/>
    <col min="12547" max="12547" width="19.5703125" customWidth="1"/>
    <col min="12548" max="12548" width="16.42578125" customWidth="1"/>
    <col min="12549" max="12549" width="16.28515625" customWidth="1"/>
    <col min="12550" max="12550" width="12.7109375" customWidth="1"/>
    <col min="12551" max="12551" width="10.140625" bestFit="1" customWidth="1"/>
    <col min="12554" max="12554" width="15.140625" customWidth="1"/>
    <col min="12555" max="12555" width="15.28515625" customWidth="1"/>
    <col min="12556" max="12556" width="18.85546875" customWidth="1"/>
    <col min="12557" max="12557" width="13" customWidth="1"/>
    <col min="12558" max="12558" width="10.7109375" customWidth="1"/>
    <col min="12801" max="12801" width="44.85546875" customWidth="1"/>
    <col min="12802" max="12802" width="16.5703125" customWidth="1"/>
    <col min="12803" max="12803" width="19.5703125" customWidth="1"/>
    <col min="12804" max="12804" width="16.42578125" customWidth="1"/>
    <col min="12805" max="12805" width="16.28515625" customWidth="1"/>
    <col min="12806" max="12806" width="12.7109375" customWidth="1"/>
    <col min="12807" max="12807" width="10.140625" bestFit="1" customWidth="1"/>
    <col min="12810" max="12810" width="15.140625" customWidth="1"/>
    <col min="12811" max="12811" width="15.28515625" customWidth="1"/>
    <col min="12812" max="12812" width="18.85546875" customWidth="1"/>
    <col min="12813" max="12813" width="13" customWidth="1"/>
    <col min="12814" max="12814" width="10.7109375" customWidth="1"/>
    <col min="13057" max="13057" width="44.85546875" customWidth="1"/>
    <col min="13058" max="13058" width="16.5703125" customWidth="1"/>
    <col min="13059" max="13059" width="19.5703125" customWidth="1"/>
    <col min="13060" max="13060" width="16.42578125" customWidth="1"/>
    <col min="13061" max="13061" width="16.28515625" customWidth="1"/>
    <col min="13062" max="13062" width="12.7109375" customWidth="1"/>
    <col min="13063" max="13063" width="10.140625" bestFit="1" customWidth="1"/>
    <col min="13066" max="13066" width="15.140625" customWidth="1"/>
    <col min="13067" max="13067" width="15.28515625" customWidth="1"/>
    <col min="13068" max="13068" width="18.85546875" customWidth="1"/>
    <col min="13069" max="13069" width="13" customWidth="1"/>
    <col min="13070" max="13070" width="10.7109375" customWidth="1"/>
    <col min="13313" max="13313" width="44.85546875" customWidth="1"/>
    <col min="13314" max="13314" width="16.5703125" customWidth="1"/>
    <col min="13315" max="13315" width="19.5703125" customWidth="1"/>
    <col min="13316" max="13316" width="16.42578125" customWidth="1"/>
    <col min="13317" max="13317" width="16.28515625" customWidth="1"/>
    <col min="13318" max="13318" width="12.7109375" customWidth="1"/>
    <col min="13319" max="13319" width="10.140625" bestFit="1" customWidth="1"/>
    <col min="13322" max="13322" width="15.140625" customWidth="1"/>
    <col min="13323" max="13323" width="15.28515625" customWidth="1"/>
    <col min="13324" max="13324" width="18.85546875" customWidth="1"/>
    <col min="13325" max="13325" width="13" customWidth="1"/>
    <col min="13326" max="13326" width="10.7109375" customWidth="1"/>
    <col min="13569" max="13569" width="44.85546875" customWidth="1"/>
    <col min="13570" max="13570" width="16.5703125" customWidth="1"/>
    <col min="13571" max="13571" width="19.5703125" customWidth="1"/>
    <col min="13572" max="13572" width="16.42578125" customWidth="1"/>
    <col min="13573" max="13573" width="16.28515625" customWidth="1"/>
    <col min="13574" max="13574" width="12.7109375" customWidth="1"/>
    <col min="13575" max="13575" width="10.140625" bestFit="1" customWidth="1"/>
    <col min="13578" max="13578" width="15.140625" customWidth="1"/>
    <col min="13579" max="13579" width="15.28515625" customWidth="1"/>
    <col min="13580" max="13580" width="18.85546875" customWidth="1"/>
    <col min="13581" max="13581" width="13" customWidth="1"/>
    <col min="13582" max="13582" width="10.7109375" customWidth="1"/>
    <col min="13825" max="13825" width="44.85546875" customWidth="1"/>
    <col min="13826" max="13826" width="16.5703125" customWidth="1"/>
    <col min="13827" max="13827" width="19.5703125" customWidth="1"/>
    <col min="13828" max="13828" width="16.42578125" customWidth="1"/>
    <col min="13829" max="13829" width="16.28515625" customWidth="1"/>
    <col min="13830" max="13830" width="12.7109375" customWidth="1"/>
    <col min="13831" max="13831" width="10.140625" bestFit="1" customWidth="1"/>
    <col min="13834" max="13834" width="15.140625" customWidth="1"/>
    <col min="13835" max="13835" width="15.28515625" customWidth="1"/>
    <col min="13836" max="13836" width="18.85546875" customWidth="1"/>
    <col min="13837" max="13837" width="13" customWidth="1"/>
    <col min="13838" max="13838" width="10.7109375" customWidth="1"/>
    <col min="14081" max="14081" width="44.85546875" customWidth="1"/>
    <col min="14082" max="14082" width="16.5703125" customWidth="1"/>
    <col min="14083" max="14083" width="19.5703125" customWidth="1"/>
    <col min="14084" max="14084" width="16.42578125" customWidth="1"/>
    <col min="14085" max="14085" width="16.28515625" customWidth="1"/>
    <col min="14086" max="14086" width="12.7109375" customWidth="1"/>
    <col min="14087" max="14087" width="10.140625" bestFit="1" customWidth="1"/>
    <col min="14090" max="14090" width="15.140625" customWidth="1"/>
    <col min="14091" max="14091" width="15.28515625" customWidth="1"/>
    <col min="14092" max="14092" width="18.85546875" customWidth="1"/>
    <col min="14093" max="14093" width="13" customWidth="1"/>
    <col min="14094" max="14094" width="10.7109375" customWidth="1"/>
    <col min="14337" max="14337" width="44.85546875" customWidth="1"/>
    <col min="14338" max="14338" width="16.5703125" customWidth="1"/>
    <col min="14339" max="14339" width="19.5703125" customWidth="1"/>
    <col min="14340" max="14340" width="16.42578125" customWidth="1"/>
    <col min="14341" max="14341" width="16.28515625" customWidth="1"/>
    <col min="14342" max="14342" width="12.7109375" customWidth="1"/>
    <col min="14343" max="14343" width="10.140625" bestFit="1" customWidth="1"/>
    <col min="14346" max="14346" width="15.140625" customWidth="1"/>
    <col min="14347" max="14347" width="15.28515625" customWidth="1"/>
    <col min="14348" max="14348" width="18.85546875" customWidth="1"/>
    <col min="14349" max="14349" width="13" customWidth="1"/>
    <col min="14350" max="14350" width="10.7109375" customWidth="1"/>
    <col min="14593" max="14593" width="44.85546875" customWidth="1"/>
    <col min="14594" max="14594" width="16.5703125" customWidth="1"/>
    <col min="14595" max="14595" width="19.5703125" customWidth="1"/>
    <col min="14596" max="14596" width="16.42578125" customWidth="1"/>
    <col min="14597" max="14597" width="16.28515625" customWidth="1"/>
    <col min="14598" max="14598" width="12.7109375" customWidth="1"/>
    <col min="14599" max="14599" width="10.140625" bestFit="1" customWidth="1"/>
    <col min="14602" max="14602" width="15.140625" customWidth="1"/>
    <col min="14603" max="14603" width="15.28515625" customWidth="1"/>
    <col min="14604" max="14604" width="18.85546875" customWidth="1"/>
    <col min="14605" max="14605" width="13" customWidth="1"/>
    <col min="14606" max="14606" width="10.7109375" customWidth="1"/>
    <col min="14849" max="14849" width="44.85546875" customWidth="1"/>
    <col min="14850" max="14850" width="16.5703125" customWidth="1"/>
    <col min="14851" max="14851" width="19.5703125" customWidth="1"/>
    <col min="14852" max="14852" width="16.42578125" customWidth="1"/>
    <col min="14853" max="14853" width="16.28515625" customWidth="1"/>
    <col min="14854" max="14854" width="12.7109375" customWidth="1"/>
    <col min="14855" max="14855" width="10.140625" bestFit="1" customWidth="1"/>
    <col min="14858" max="14858" width="15.140625" customWidth="1"/>
    <col min="14859" max="14859" width="15.28515625" customWidth="1"/>
    <col min="14860" max="14860" width="18.85546875" customWidth="1"/>
    <col min="14861" max="14861" width="13" customWidth="1"/>
    <col min="14862" max="14862" width="10.7109375" customWidth="1"/>
    <col min="15105" max="15105" width="44.85546875" customWidth="1"/>
    <col min="15106" max="15106" width="16.5703125" customWidth="1"/>
    <col min="15107" max="15107" width="19.5703125" customWidth="1"/>
    <col min="15108" max="15108" width="16.42578125" customWidth="1"/>
    <col min="15109" max="15109" width="16.28515625" customWidth="1"/>
    <col min="15110" max="15110" width="12.7109375" customWidth="1"/>
    <col min="15111" max="15111" width="10.140625" bestFit="1" customWidth="1"/>
    <col min="15114" max="15114" width="15.140625" customWidth="1"/>
    <col min="15115" max="15115" width="15.28515625" customWidth="1"/>
    <col min="15116" max="15116" width="18.85546875" customWidth="1"/>
    <col min="15117" max="15117" width="13" customWidth="1"/>
    <col min="15118" max="15118" width="10.7109375" customWidth="1"/>
    <col min="15361" max="15361" width="44.85546875" customWidth="1"/>
    <col min="15362" max="15362" width="16.5703125" customWidth="1"/>
    <col min="15363" max="15363" width="19.5703125" customWidth="1"/>
    <col min="15364" max="15364" width="16.42578125" customWidth="1"/>
    <col min="15365" max="15365" width="16.28515625" customWidth="1"/>
    <col min="15366" max="15366" width="12.7109375" customWidth="1"/>
    <col min="15367" max="15367" width="10.140625" bestFit="1" customWidth="1"/>
    <col min="15370" max="15370" width="15.140625" customWidth="1"/>
    <col min="15371" max="15371" width="15.28515625" customWidth="1"/>
    <col min="15372" max="15372" width="18.85546875" customWidth="1"/>
    <col min="15373" max="15373" width="13" customWidth="1"/>
    <col min="15374" max="15374" width="10.7109375" customWidth="1"/>
    <col min="15617" max="15617" width="44.85546875" customWidth="1"/>
    <col min="15618" max="15618" width="16.5703125" customWidth="1"/>
    <col min="15619" max="15619" width="19.5703125" customWidth="1"/>
    <col min="15620" max="15620" width="16.42578125" customWidth="1"/>
    <col min="15621" max="15621" width="16.28515625" customWidth="1"/>
    <col min="15622" max="15622" width="12.7109375" customWidth="1"/>
    <col min="15623" max="15623" width="10.140625" bestFit="1" customWidth="1"/>
    <col min="15626" max="15626" width="15.140625" customWidth="1"/>
    <col min="15627" max="15627" width="15.28515625" customWidth="1"/>
    <col min="15628" max="15628" width="18.85546875" customWidth="1"/>
    <col min="15629" max="15629" width="13" customWidth="1"/>
    <col min="15630" max="15630" width="10.7109375" customWidth="1"/>
    <col min="15873" max="15873" width="44.85546875" customWidth="1"/>
    <col min="15874" max="15874" width="16.5703125" customWidth="1"/>
    <col min="15875" max="15875" width="19.5703125" customWidth="1"/>
    <col min="15876" max="15876" width="16.42578125" customWidth="1"/>
    <col min="15877" max="15877" width="16.28515625" customWidth="1"/>
    <col min="15878" max="15878" width="12.7109375" customWidth="1"/>
    <col min="15879" max="15879" width="10.140625" bestFit="1" customWidth="1"/>
    <col min="15882" max="15882" width="15.140625" customWidth="1"/>
    <col min="15883" max="15883" width="15.28515625" customWidth="1"/>
    <col min="15884" max="15884" width="18.85546875" customWidth="1"/>
    <col min="15885" max="15885" width="13" customWidth="1"/>
    <col min="15886" max="15886" width="10.7109375" customWidth="1"/>
    <col min="16129" max="16129" width="44.85546875" customWidth="1"/>
    <col min="16130" max="16130" width="16.5703125" customWidth="1"/>
    <col min="16131" max="16131" width="19.5703125" customWidth="1"/>
    <col min="16132" max="16132" width="16.42578125" customWidth="1"/>
    <col min="16133" max="16133" width="16.28515625" customWidth="1"/>
    <col min="16134" max="16134" width="12.7109375" customWidth="1"/>
    <col min="16135" max="16135" width="10.140625" bestFit="1" customWidth="1"/>
    <col min="16138" max="16138" width="15.140625" customWidth="1"/>
    <col min="16139" max="16139" width="15.28515625" customWidth="1"/>
    <col min="16140" max="16140" width="18.85546875" customWidth="1"/>
    <col min="16141" max="16141" width="13" customWidth="1"/>
    <col min="16142" max="16142" width="10.7109375" customWidth="1"/>
  </cols>
  <sheetData>
    <row r="2" spans="1:22" x14ac:dyDescent="0.25">
      <c r="A2" s="1" t="s">
        <v>186</v>
      </c>
      <c r="B2" s="2"/>
      <c r="C2" s="2"/>
      <c r="D2" s="2"/>
    </row>
    <row r="3" spans="1:22" ht="15.75" thickBot="1" x14ac:dyDescent="0.3">
      <c r="A3" s="1"/>
      <c r="B3" s="2"/>
      <c r="C3" s="2"/>
      <c r="D3" s="2"/>
      <c r="L3" s="108"/>
      <c r="M3" s="108"/>
      <c r="N3" s="108"/>
      <c r="O3" s="108"/>
    </row>
    <row r="4" spans="1:22" ht="15.75" thickBot="1" x14ac:dyDescent="0.3">
      <c r="A4" s="22" t="s">
        <v>0</v>
      </c>
      <c r="B4" s="126"/>
      <c r="C4" s="126"/>
      <c r="D4" s="127"/>
      <c r="L4" s="108"/>
      <c r="M4" s="108"/>
      <c r="N4" s="108"/>
      <c r="O4" s="108"/>
    </row>
    <row r="5" spans="1:22" ht="40.5" customHeight="1" thickBot="1" x14ac:dyDescent="0.3">
      <c r="A5" s="6" t="s">
        <v>1</v>
      </c>
      <c r="B5" s="7"/>
      <c r="C5" s="8" t="s">
        <v>2</v>
      </c>
      <c r="D5" s="9" t="s">
        <v>3</v>
      </c>
      <c r="L5" s="108"/>
      <c r="M5" s="108"/>
      <c r="N5" s="108"/>
      <c r="O5" s="108"/>
    </row>
    <row r="6" spans="1:22" x14ac:dyDescent="0.25">
      <c r="A6" s="10" t="s">
        <v>89</v>
      </c>
      <c r="B6" s="11"/>
      <c r="C6" s="11">
        <v>1491.6</v>
      </c>
      <c r="D6" s="12">
        <v>80</v>
      </c>
      <c r="L6" s="108"/>
      <c r="M6" s="108"/>
      <c r="N6" s="108"/>
      <c r="O6" s="108"/>
    </row>
    <row r="7" spans="1:22" x14ac:dyDescent="0.25">
      <c r="A7" s="13"/>
      <c r="B7" s="14"/>
      <c r="C7" s="14"/>
      <c r="D7" s="15"/>
      <c r="L7" s="108"/>
      <c r="M7" s="108"/>
      <c r="N7" s="108"/>
      <c r="O7" s="108"/>
    </row>
    <row r="8" spans="1:22" ht="15.75" thickBot="1" x14ac:dyDescent="0.3">
      <c r="A8" s="16" t="s">
        <v>5</v>
      </c>
      <c r="B8" s="17"/>
      <c r="C8" s="17">
        <f>C6+C7</f>
        <v>1491.6</v>
      </c>
      <c r="D8" s="18">
        <f>D6</f>
        <v>80</v>
      </c>
      <c r="L8" s="108"/>
      <c r="M8" s="108"/>
      <c r="N8" s="108"/>
      <c r="O8" s="108"/>
    </row>
    <row r="9" spans="1:22" ht="15.75" thickBot="1" x14ac:dyDescent="0.3">
      <c r="A9" s="19"/>
      <c r="B9" s="20"/>
      <c r="C9" s="20"/>
      <c r="D9" s="21"/>
      <c r="L9" s="108"/>
      <c r="M9" s="108"/>
      <c r="N9" s="108"/>
      <c r="O9" s="108"/>
    </row>
    <row r="10" spans="1:22" ht="15.75" thickBot="1" x14ac:dyDescent="0.3">
      <c r="A10" s="22" t="s">
        <v>112</v>
      </c>
      <c r="B10" s="23"/>
      <c r="C10" s="23"/>
      <c r="D10" s="24" t="s">
        <v>6</v>
      </c>
      <c r="F10" s="97"/>
      <c r="G10" s="97"/>
      <c r="H10" s="97"/>
      <c r="I10" s="97"/>
      <c r="J10" s="97"/>
      <c r="K10" s="97"/>
      <c r="L10" s="108"/>
      <c r="M10" s="108"/>
      <c r="N10" s="108"/>
      <c r="O10" s="108"/>
    </row>
    <row r="11" spans="1:22" x14ac:dyDescent="0.25">
      <c r="A11" s="25" t="s">
        <v>7</v>
      </c>
      <c r="B11" s="20"/>
      <c r="C11" s="20"/>
      <c r="D11" s="27">
        <v>16.690000000000001</v>
      </c>
      <c r="F11" s="97"/>
      <c r="G11" s="97"/>
      <c r="H11" s="97"/>
      <c r="I11" s="97"/>
      <c r="J11" s="97"/>
      <c r="K11" s="97"/>
      <c r="L11" s="108"/>
      <c r="M11" s="108"/>
      <c r="N11" s="108"/>
      <c r="O11" s="108"/>
    </row>
    <row r="12" spans="1:22" x14ac:dyDescent="0.25">
      <c r="A12" s="25" t="s">
        <v>8</v>
      </c>
      <c r="B12" s="20"/>
      <c r="C12" s="20"/>
      <c r="D12" s="27">
        <v>5.05</v>
      </c>
      <c r="F12" s="97"/>
      <c r="G12" s="97"/>
      <c r="H12" s="97"/>
      <c r="I12" s="97"/>
      <c r="J12" s="97"/>
      <c r="K12" s="97"/>
      <c r="L12" s="108"/>
      <c r="M12" s="108"/>
      <c r="N12" s="108"/>
      <c r="O12" s="108"/>
    </row>
    <row r="13" spans="1:22" x14ac:dyDescent="0.25">
      <c r="A13" s="25" t="s">
        <v>9</v>
      </c>
      <c r="B13" s="20"/>
      <c r="C13" s="20"/>
      <c r="D13" s="26">
        <v>0.18</v>
      </c>
      <c r="F13" s="97"/>
      <c r="G13" s="97"/>
      <c r="H13" s="97"/>
      <c r="I13" s="97"/>
      <c r="J13" s="97"/>
      <c r="K13" s="97"/>
      <c r="L13" s="108"/>
      <c r="M13" s="108"/>
      <c r="N13" s="108"/>
      <c r="O13" s="108"/>
    </row>
    <row r="14" spans="1:22" ht="15.75" thickBot="1" x14ac:dyDescent="0.3">
      <c r="A14" s="28" t="s">
        <v>10</v>
      </c>
      <c r="B14" s="29"/>
      <c r="C14" s="29"/>
      <c r="D14" s="30">
        <v>0</v>
      </c>
      <c r="F14" s="97"/>
      <c r="G14" s="97"/>
      <c r="H14" s="97"/>
      <c r="I14" s="97"/>
      <c r="J14" s="97"/>
      <c r="K14" s="97"/>
      <c r="L14" s="108"/>
      <c r="M14" s="108"/>
      <c r="N14" s="108"/>
      <c r="O14" s="108"/>
      <c r="P14" s="31"/>
      <c r="Q14" s="31"/>
      <c r="R14" s="31"/>
      <c r="S14" s="31"/>
      <c r="T14" s="31"/>
      <c r="U14" s="31"/>
      <c r="V14" s="31"/>
    </row>
    <row r="15" spans="1:22" ht="15.75" thickBot="1" x14ac:dyDescent="0.3">
      <c r="A15" s="32"/>
      <c r="B15" s="33"/>
      <c r="C15" s="33"/>
      <c r="D15" s="33"/>
      <c r="F15" s="97"/>
      <c r="G15" s="97"/>
      <c r="H15" s="97"/>
      <c r="I15" s="97"/>
      <c r="J15" s="97"/>
      <c r="K15" s="97"/>
      <c r="L15" s="108"/>
      <c r="M15" s="108"/>
      <c r="N15" s="108"/>
      <c r="O15" s="108"/>
      <c r="P15" s="31"/>
      <c r="Q15" s="31"/>
      <c r="R15" s="31"/>
      <c r="S15" s="31"/>
      <c r="T15" s="31"/>
      <c r="U15" s="31"/>
      <c r="V15" s="31"/>
    </row>
    <row r="16" spans="1:22" ht="15.75" thickBot="1" x14ac:dyDescent="0.3">
      <c r="A16" s="22" t="s">
        <v>113</v>
      </c>
      <c r="B16" s="126"/>
      <c r="C16" s="126"/>
      <c r="D16" s="126"/>
      <c r="E16" s="127"/>
      <c r="F16" s="97"/>
      <c r="G16" s="97"/>
      <c r="H16" s="97"/>
      <c r="I16" s="97"/>
      <c r="J16" s="97"/>
      <c r="K16" s="97"/>
      <c r="L16" s="108"/>
      <c r="M16" s="109"/>
      <c r="N16" s="109"/>
      <c r="O16" s="108"/>
      <c r="P16" s="31"/>
      <c r="Q16" s="31"/>
      <c r="R16" s="31"/>
      <c r="S16" s="31"/>
      <c r="T16" s="31"/>
      <c r="U16" s="31"/>
      <c r="V16" s="31"/>
    </row>
    <row r="17" spans="1:22" ht="15.75" hidden="1" thickBot="1" x14ac:dyDescent="0.3">
      <c r="A17" s="25"/>
      <c r="B17" s="33"/>
      <c r="C17" s="33"/>
      <c r="D17" s="33"/>
      <c r="E17" s="139"/>
      <c r="F17" s="97"/>
      <c r="G17" s="97"/>
      <c r="H17" s="97"/>
      <c r="I17" s="97"/>
      <c r="J17" s="97"/>
      <c r="K17" s="97"/>
      <c r="L17" s="109"/>
      <c r="M17" s="110"/>
      <c r="N17" s="109"/>
      <c r="O17" s="108"/>
      <c r="P17" s="31"/>
      <c r="Q17" s="31"/>
      <c r="R17" s="31"/>
      <c r="S17" s="31"/>
      <c r="T17" s="31"/>
      <c r="U17" s="31"/>
      <c r="V17" s="31"/>
    </row>
    <row r="18" spans="1:22" ht="15.75" hidden="1" thickBot="1" x14ac:dyDescent="0.3">
      <c r="A18" s="25"/>
      <c r="B18" s="33"/>
      <c r="C18" s="33"/>
      <c r="D18" s="33"/>
      <c r="E18" s="139"/>
      <c r="F18" s="97"/>
      <c r="G18" s="97"/>
      <c r="H18" s="97"/>
      <c r="I18" s="97"/>
      <c r="J18" s="97"/>
      <c r="K18" s="97"/>
      <c r="L18" s="108"/>
      <c r="M18" s="108"/>
      <c r="N18" s="108"/>
      <c r="O18" s="108"/>
      <c r="P18" s="31"/>
      <c r="Q18" s="31"/>
      <c r="R18" s="31"/>
      <c r="S18" s="31"/>
      <c r="T18" s="31"/>
      <c r="U18" s="31"/>
      <c r="V18" s="31"/>
    </row>
    <row r="19" spans="1:22" ht="65.25" customHeight="1" thickBot="1" x14ac:dyDescent="0.3">
      <c r="A19" s="36" t="s">
        <v>11</v>
      </c>
      <c r="B19" s="37" t="s">
        <v>114</v>
      </c>
      <c r="C19" s="38" t="s">
        <v>115</v>
      </c>
      <c r="D19" s="38" t="s">
        <v>116</v>
      </c>
      <c r="E19" s="39" t="s">
        <v>117</v>
      </c>
      <c r="F19" s="97"/>
      <c r="G19" s="97"/>
      <c r="H19" s="97"/>
      <c r="I19" s="97"/>
      <c r="J19" s="97"/>
      <c r="K19" s="97"/>
      <c r="L19" s="108"/>
      <c r="M19" s="111"/>
      <c r="N19" s="111"/>
      <c r="O19" s="108"/>
      <c r="P19" s="31"/>
      <c r="Q19" s="31"/>
      <c r="R19" s="31"/>
      <c r="S19" s="31"/>
      <c r="T19" s="31"/>
      <c r="U19" s="31"/>
      <c r="V19" s="31"/>
    </row>
    <row r="20" spans="1:22" x14ac:dyDescent="0.25">
      <c r="A20" s="10" t="s">
        <v>13</v>
      </c>
      <c r="B20" s="171">
        <f>51330.1</f>
        <v>51330.1</v>
      </c>
      <c r="C20" s="171">
        <v>298737.96000000002</v>
      </c>
      <c r="D20" s="171">
        <f>281914.26+12839.24</f>
        <v>294753.5</v>
      </c>
      <c r="E20" s="172">
        <f>C20-D20+B20</f>
        <v>55314.560000000019</v>
      </c>
      <c r="F20" s="116">
        <f>C20+F22</f>
        <v>389130</v>
      </c>
      <c r="G20" s="117">
        <f>100</f>
        <v>100</v>
      </c>
      <c r="H20" s="115" t="s">
        <v>64</v>
      </c>
      <c r="I20" s="97"/>
      <c r="J20" s="97"/>
      <c r="K20" s="97"/>
      <c r="L20" s="108"/>
      <c r="M20" s="108"/>
      <c r="N20" s="108"/>
      <c r="O20" s="108"/>
      <c r="P20" s="31"/>
      <c r="Q20" s="31"/>
      <c r="R20" s="31"/>
      <c r="S20" s="31"/>
      <c r="T20" s="31"/>
      <c r="U20" s="31"/>
      <c r="V20" s="31"/>
    </row>
    <row r="21" spans="1:22" hidden="1" x14ac:dyDescent="0.25">
      <c r="A21" s="13" t="s">
        <v>14</v>
      </c>
      <c r="B21" s="173"/>
      <c r="C21" s="173"/>
      <c r="D21" s="173"/>
      <c r="E21" s="174">
        <f t="shared" ref="E21:E38" si="0">C21-D21+B21</f>
        <v>0</v>
      </c>
      <c r="F21" s="116"/>
      <c r="G21" s="117"/>
      <c r="H21" s="115"/>
      <c r="I21" s="97"/>
      <c r="J21" s="97"/>
      <c r="K21" s="97"/>
      <c r="L21" s="108"/>
      <c r="M21" s="108"/>
      <c r="N21" s="108"/>
      <c r="O21" s="108"/>
      <c r="P21" s="31"/>
      <c r="Q21" s="31"/>
      <c r="R21" s="31"/>
      <c r="S21" s="31"/>
      <c r="T21" s="31"/>
      <c r="U21" s="31"/>
      <c r="V21" s="31"/>
    </row>
    <row r="22" spans="1:22" x14ac:dyDescent="0.25">
      <c r="A22" s="13" t="s">
        <v>15</v>
      </c>
      <c r="B22" s="173">
        <v>15071.86</v>
      </c>
      <c r="C22" s="173">
        <v>90392.04</v>
      </c>
      <c r="D22" s="173">
        <f>84905.75+3884.93</f>
        <v>88790.68</v>
      </c>
      <c r="E22" s="174">
        <f t="shared" si="0"/>
        <v>16673.22</v>
      </c>
      <c r="F22" s="116">
        <f>C22</f>
        <v>90392.04</v>
      </c>
      <c r="G22" s="118">
        <f>F22*G20/F20</f>
        <v>23.229265284095291</v>
      </c>
      <c r="H22" s="115" t="s">
        <v>64</v>
      </c>
      <c r="I22" s="97"/>
      <c r="J22" s="97"/>
      <c r="K22" s="97"/>
      <c r="L22" s="108"/>
      <c r="M22" s="108"/>
      <c r="N22" s="111"/>
      <c r="O22" s="108"/>
      <c r="P22" s="31"/>
      <c r="Q22" s="31"/>
      <c r="R22" s="31"/>
      <c r="S22" s="31"/>
      <c r="T22" s="31"/>
      <c r="U22" s="31"/>
      <c r="V22" s="31"/>
    </row>
    <row r="23" spans="1:22" hidden="1" x14ac:dyDescent="0.25">
      <c r="A23" s="13" t="s">
        <v>16</v>
      </c>
      <c r="B23" s="173"/>
      <c r="C23" s="173"/>
      <c r="D23" s="173"/>
      <c r="E23" s="174">
        <f t="shared" si="0"/>
        <v>0</v>
      </c>
      <c r="F23" s="97"/>
      <c r="G23" s="97"/>
      <c r="H23" s="97"/>
      <c r="I23" s="97"/>
      <c r="J23" s="97"/>
      <c r="K23" s="97"/>
      <c r="L23" s="108"/>
      <c r="M23" s="108"/>
      <c r="N23" s="108"/>
      <c r="O23" s="108"/>
      <c r="P23" s="31"/>
      <c r="Q23" s="31"/>
      <c r="R23" s="31"/>
      <c r="S23" s="31"/>
      <c r="T23" s="31"/>
      <c r="U23" s="31"/>
      <c r="V23" s="31"/>
    </row>
    <row r="24" spans="1:22" x14ac:dyDescent="0.25">
      <c r="A24" s="13" t="s">
        <v>17</v>
      </c>
      <c r="B24" s="173"/>
      <c r="C24" s="173"/>
      <c r="D24" s="173"/>
      <c r="E24" s="174">
        <f t="shared" si="0"/>
        <v>0</v>
      </c>
      <c r="F24" s="97"/>
      <c r="G24" s="97"/>
      <c r="H24" s="97"/>
      <c r="I24" s="97"/>
      <c r="J24" s="97"/>
      <c r="K24" s="97"/>
      <c r="L24" s="108"/>
      <c r="M24" s="108"/>
      <c r="N24" s="108"/>
      <c r="O24" s="108"/>
      <c r="P24" s="31"/>
      <c r="Q24" s="31"/>
      <c r="R24" s="31"/>
      <c r="S24" s="31"/>
      <c r="T24" s="31"/>
      <c r="U24" s="31"/>
      <c r="V24" s="31"/>
    </row>
    <row r="25" spans="1:22" hidden="1" x14ac:dyDescent="0.25">
      <c r="A25" s="13" t="s">
        <v>19</v>
      </c>
      <c r="B25" s="173"/>
      <c r="C25" s="173"/>
      <c r="D25" s="173"/>
      <c r="E25" s="174">
        <f t="shared" si="0"/>
        <v>0</v>
      </c>
      <c r="F25" s="97"/>
      <c r="G25" s="97"/>
      <c r="H25" s="97"/>
      <c r="I25" s="97"/>
      <c r="J25" s="97"/>
      <c r="K25" s="97"/>
      <c r="L25" s="108"/>
      <c r="M25" s="108"/>
      <c r="N25" s="108"/>
      <c r="O25" s="108"/>
      <c r="P25" s="31"/>
      <c r="Q25" s="31"/>
      <c r="R25" s="31"/>
      <c r="S25" s="31"/>
      <c r="T25" s="31"/>
      <c r="U25" s="31"/>
      <c r="V25" s="31"/>
    </row>
    <row r="26" spans="1:22" x14ac:dyDescent="0.25">
      <c r="A26" s="13" t="s">
        <v>20</v>
      </c>
      <c r="B26" s="173">
        <v>652.75</v>
      </c>
      <c r="C26" s="173">
        <f>3222.24</f>
        <v>3222.24</v>
      </c>
      <c r="D26" s="173">
        <f>3121.78+138.53</f>
        <v>3260.3100000000004</v>
      </c>
      <c r="E26" s="174">
        <f t="shared" si="0"/>
        <v>614.67999999999938</v>
      </c>
      <c r="F26" s="97"/>
      <c r="G26" s="97"/>
      <c r="H26" s="97"/>
      <c r="I26" s="97"/>
      <c r="J26" s="97"/>
      <c r="K26" s="97"/>
      <c r="L26" s="108"/>
      <c r="M26" s="108"/>
      <c r="N26" s="108"/>
      <c r="O26" s="108"/>
      <c r="P26" s="31"/>
      <c r="Q26" s="31"/>
      <c r="R26" s="31"/>
      <c r="S26" s="31"/>
      <c r="T26" s="31"/>
      <c r="U26" s="31"/>
      <c r="V26" s="31"/>
    </row>
    <row r="27" spans="1:22" x14ac:dyDescent="0.25">
      <c r="A27" s="13" t="s">
        <v>83</v>
      </c>
      <c r="B27" s="173"/>
      <c r="C27" s="173"/>
      <c r="D27" s="173"/>
      <c r="E27" s="174">
        <f t="shared" si="0"/>
        <v>0</v>
      </c>
      <c r="F27" s="97"/>
      <c r="G27" s="97"/>
      <c r="H27" s="97"/>
      <c r="I27" s="97"/>
      <c r="J27" s="97"/>
      <c r="K27" s="97"/>
      <c r="L27" s="108"/>
      <c r="M27" s="108"/>
      <c r="N27" s="108"/>
      <c r="O27" s="108"/>
      <c r="P27" s="31"/>
      <c r="Q27" s="31"/>
      <c r="R27" s="31"/>
      <c r="S27" s="31"/>
      <c r="T27" s="31"/>
      <c r="U27" s="31"/>
      <c r="V27" s="31"/>
    </row>
    <row r="28" spans="1:22" ht="15.75" thickBot="1" x14ac:dyDescent="0.3">
      <c r="A28" s="48" t="s">
        <v>21</v>
      </c>
      <c r="B28" s="49">
        <f>B29+B30+B31+B33+B32</f>
        <v>114190.58</v>
      </c>
      <c r="C28" s="50">
        <f>C29+C30+C31+C33</f>
        <v>431558.19</v>
      </c>
      <c r="D28" s="50">
        <f>D29+D30+D31+D33+D32</f>
        <v>445090.82999999996</v>
      </c>
      <c r="E28" s="51">
        <f>C28-D28+B28</f>
        <v>100657.94000000005</v>
      </c>
      <c r="F28" s="97"/>
      <c r="G28" s="97"/>
      <c r="H28" s="97"/>
      <c r="I28" s="97"/>
      <c r="J28" s="97"/>
      <c r="K28" s="97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1:22" x14ac:dyDescent="0.25">
      <c r="A29" s="52" t="s">
        <v>22</v>
      </c>
      <c r="B29" s="171">
        <v>81246.09</v>
      </c>
      <c r="C29" s="171">
        <f>304529.09-714.32</f>
        <v>303814.77</v>
      </c>
      <c r="D29" s="171">
        <f>296252.5+8855.79</f>
        <v>305108.28999999998</v>
      </c>
      <c r="E29" s="172">
        <f t="shared" si="0"/>
        <v>79952.570000000036</v>
      </c>
      <c r="F29" s="97"/>
      <c r="G29" s="97"/>
      <c r="H29" s="97"/>
      <c r="I29" s="97"/>
      <c r="J29" s="97"/>
      <c r="K29" s="97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x14ac:dyDescent="0.25">
      <c r="A30" s="53" t="s">
        <v>23</v>
      </c>
      <c r="B30" s="173">
        <f>9932.57+2799.07</f>
        <v>12731.64</v>
      </c>
      <c r="C30" s="173">
        <f>37949.67+10829.9-2315.03-654.85</f>
        <v>45809.69</v>
      </c>
      <c r="D30" s="173">
        <f>38900.62+732.56+10963.71+220.11</f>
        <v>50817</v>
      </c>
      <c r="E30" s="174">
        <f t="shared" si="0"/>
        <v>7724.3300000000017</v>
      </c>
      <c r="F30" s="97"/>
      <c r="G30" s="97"/>
      <c r="H30" s="97"/>
      <c r="I30" s="97"/>
      <c r="J30" s="97"/>
      <c r="K30" s="97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x14ac:dyDescent="0.25">
      <c r="A31" s="53" t="s">
        <v>24</v>
      </c>
      <c r="B31" s="173">
        <v>8651.02</v>
      </c>
      <c r="C31" s="173">
        <f>39164.13-1670.73-66</f>
        <v>37427.399999999994</v>
      </c>
      <c r="D31" s="173">
        <f>38665.32+1240.19</f>
        <v>39905.51</v>
      </c>
      <c r="E31" s="174">
        <f t="shared" si="0"/>
        <v>6172.9099999999926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x14ac:dyDescent="0.25">
      <c r="A32" s="53" t="s">
        <v>90</v>
      </c>
      <c r="B32" s="173">
        <v>-303.70999999999998</v>
      </c>
      <c r="C32" s="173"/>
      <c r="D32" s="173">
        <v>17.72</v>
      </c>
      <c r="E32" s="174">
        <f t="shared" si="0"/>
        <v>-321.42999999999995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x14ac:dyDescent="0.25">
      <c r="A33" s="53" t="s">
        <v>25</v>
      </c>
      <c r="B33" s="173">
        <f>11865.54</f>
        <v>11865.54</v>
      </c>
      <c r="C33" s="173">
        <f>46870.55-2288.06-76.16</f>
        <v>44506.33</v>
      </c>
      <c r="D33" s="173">
        <f>48043.12+1199.19</f>
        <v>49242.310000000005</v>
      </c>
      <c r="E33" s="174">
        <f t="shared" si="0"/>
        <v>7129.5599999999977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idden="1" x14ac:dyDescent="0.25">
      <c r="A34" s="53"/>
      <c r="B34" s="173"/>
      <c r="C34" s="173"/>
      <c r="D34" s="173"/>
      <c r="E34" s="174">
        <f t="shared" si="0"/>
        <v>0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x14ac:dyDescent="0.25">
      <c r="A35" s="13" t="s">
        <v>74</v>
      </c>
      <c r="B35" s="173"/>
      <c r="C35" s="173"/>
      <c r="D35" s="173"/>
      <c r="E35" s="174">
        <f t="shared" si="0"/>
        <v>0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hidden="1" x14ac:dyDescent="0.25">
      <c r="A36" s="13"/>
      <c r="B36" s="173"/>
      <c r="C36" s="173"/>
      <c r="D36" s="173"/>
      <c r="E36" s="174">
        <f>C36-D36+B36</f>
        <v>0</v>
      </c>
      <c r="J36" s="56"/>
      <c r="K36" s="56"/>
      <c r="L36" s="3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x14ac:dyDescent="0.25">
      <c r="A37" s="13" t="s">
        <v>155</v>
      </c>
      <c r="B37" s="173"/>
      <c r="C37" s="173"/>
      <c r="D37" s="173"/>
      <c r="E37" s="174">
        <f t="shared" si="0"/>
        <v>0</v>
      </c>
      <c r="J37" s="56"/>
      <c r="K37" s="56"/>
      <c r="L37" s="3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5.75" thickBot="1" x14ac:dyDescent="0.3">
      <c r="A38" s="16" t="s">
        <v>28</v>
      </c>
      <c r="B38" s="175"/>
      <c r="C38" s="175"/>
      <c r="D38" s="175"/>
      <c r="E38" s="176">
        <f t="shared" si="0"/>
        <v>0</v>
      </c>
      <c r="K38" s="3"/>
      <c r="L38" s="3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.75" thickBot="1" x14ac:dyDescent="0.3">
      <c r="A39" s="57" t="s">
        <v>29</v>
      </c>
      <c r="B39" s="58">
        <f>B20+B21+B22+B23+B24+B25+B26+B28+B35+B36+B37+B38+B27</f>
        <v>181245.28999999998</v>
      </c>
      <c r="C39" s="58">
        <f>C20+C21+C22+C23+C24+C25+C26+C28+C35+C36+C37+C38</f>
        <v>823910.42999999993</v>
      </c>
      <c r="D39" s="58">
        <f>D20+D21+D22+D23+D24+D25+D26+D28+D35+D36+D37+D38+D27</f>
        <v>831895.32</v>
      </c>
      <c r="E39" s="58">
        <f>E20+E21+E22+E23+E24+E25+E26+E28+E35+E36+E37+E38+E27</f>
        <v>173260.40000000008</v>
      </c>
      <c r="F39" s="3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x14ac:dyDescent="0.25">
      <c r="A40" s="59"/>
      <c r="B40" s="60"/>
      <c r="C40" s="56"/>
      <c r="D40" s="122"/>
      <c r="E40" s="122"/>
      <c r="F40" s="123"/>
      <c r="G40" s="124"/>
      <c r="H40" s="124"/>
      <c r="I40" s="124"/>
      <c r="J40" s="137"/>
      <c r="K40" s="3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.75" thickBot="1" x14ac:dyDescent="0.3">
      <c r="A41" s="59"/>
      <c r="B41" s="60"/>
      <c r="C41" s="56"/>
      <c r="D41" s="119"/>
      <c r="E41" s="119"/>
      <c r="F41" s="138"/>
      <c r="G41" s="115"/>
      <c r="H41" s="137"/>
      <c r="I41" s="97"/>
      <c r="J41" s="137"/>
    </row>
    <row r="42" spans="1:22" ht="15.75" thickBot="1" x14ac:dyDescent="0.3">
      <c r="A42" s="61" t="s">
        <v>30</v>
      </c>
      <c r="B42" s="62">
        <f>B44+B59+B60+B57+B62+B58+B61</f>
        <v>710440.14275451435</v>
      </c>
      <c r="C42" s="63" t="s">
        <v>31</v>
      </c>
      <c r="D42" s="119">
        <f>C39-B42-B62</f>
        <v>111214.08556481331</v>
      </c>
      <c r="E42" s="272" t="s">
        <v>32</v>
      </c>
      <c r="F42" s="273">
        <f>5512727.45</f>
        <v>5512727.4500000002</v>
      </c>
      <c r="G42" s="274">
        <f>F42/F48*C8</f>
        <v>69099.027432100833</v>
      </c>
      <c r="H42" s="137"/>
      <c r="I42" s="97"/>
      <c r="J42" s="137"/>
    </row>
    <row r="43" spans="1:22" x14ac:dyDescent="0.25">
      <c r="A43" s="250" t="s">
        <v>124</v>
      </c>
      <c r="B43" s="183">
        <v>24914.07</v>
      </c>
      <c r="C43" s="69" t="s">
        <v>31</v>
      </c>
      <c r="D43" s="119"/>
      <c r="E43" s="272" t="s">
        <v>33</v>
      </c>
      <c r="F43" s="273">
        <f>1264951.09</f>
        <v>1264951.0900000001</v>
      </c>
      <c r="G43" s="274">
        <f>F43/F48*C8</f>
        <v>15855.470973478992</v>
      </c>
      <c r="H43" s="137"/>
      <c r="I43" s="97"/>
      <c r="J43" s="137"/>
    </row>
    <row r="44" spans="1:22" x14ac:dyDescent="0.25">
      <c r="A44" s="246" t="s">
        <v>34</v>
      </c>
      <c r="B44" s="160">
        <f>B45+B46+B48+B49+B50+B51+B52+B53+B54+B55+B56+B47</f>
        <v>256754.631073842</v>
      </c>
      <c r="C44" s="69" t="s">
        <v>31</v>
      </c>
      <c r="D44" s="119"/>
      <c r="E44" s="272" t="s">
        <v>35</v>
      </c>
      <c r="F44" s="273">
        <v>180000</v>
      </c>
      <c r="G44" s="274">
        <f>F44/F48*C8</f>
        <v>2256.2016806722686</v>
      </c>
      <c r="H44" s="137"/>
      <c r="I44" s="97"/>
      <c r="J44" s="137"/>
    </row>
    <row r="45" spans="1:22" x14ac:dyDescent="0.25">
      <c r="A45" s="252" t="s">
        <v>76</v>
      </c>
      <c r="B45" s="184">
        <v>22709.24</v>
      </c>
      <c r="C45" s="71" t="s">
        <v>31</v>
      </c>
      <c r="D45" s="119"/>
      <c r="E45" s="272" t="s">
        <v>18</v>
      </c>
      <c r="F45" s="273">
        <f>299837.27</f>
        <v>299837.27</v>
      </c>
      <c r="G45" s="274">
        <f>F45/F48*C8</f>
        <v>3758.2964027899161</v>
      </c>
      <c r="H45" s="137"/>
      <c r="I45" s="97"/>
      <c r="J45" s="137"/>
    </row>
    <row r="46" spans="1:22" x14ac:dyDescent="0.25">
      <c r="A46" s="253" t="s">
        <v>37</v>
      </c>
      <c r="B46" s="184">
        <f>G42+G43</f>
        <v>84954.498405579827</v>
      </c>
      <c r="C46" s="71" t="s">
        <v>31</v>
      </c>
      <c r="D46" s="119"/>
      <c r="E46" s="275" t="s">
        <v>38</v>
      </c>
      <c r="F46" s="273">
        <f>7000+1260+30890+4200</f>
        <v>43350</v>
      </c>
      <c r="G46" s="274">
        <f>F46/F48*C8</f>
        <v>543.36857142857139</v>
      </c>
      <c r="H46" s="137"/>
      <c r="I46" s="97"/>
      <c r="J46" s="137"/>
    </row>
    <row r="47" spans="1:22" x14ac:dyDescent="0.25">
      <c r="A47" s="253" t="s">
        <v>39</v>
      </c>
      <c r="B47" s="184">
        <v>5760</v>
      </c>
      <c r="C47" s="71" t="s">
        <v>31</v>
      </c>
      <c r="D47" s="119"/>
      <c r="E47" s="274" t="s">
        <v>12</v>
      </c>
      <c r="F47" s="273">
        <f>8022857.59-F46</f>
        <v>7979507.5899999999</v>
      </c>
      <c r="G47" s="274">
        <f>F47/F48*C8</f>
        <v>100018.76908608402</v>
      </c>
      <c r="H47" s="137"/>
      <c r="I47" s="97"/>
      <c r="J47" s="137"/>
    </row>
    <row r="48" spans="1:22" x14ac:dyDescent="0.25">
      <c r="A48" s="252" t="s">
        <v>40</v>
      </c>
      <c r="B48" s="184">
        <f>G46+1770.42</f>
        <v>2313.7885714285712</v>
      </c>
      <c r="C48" s="71" t="s">
        <v>31</v>
      </c>
      <c r="D48" s="119"/>
      <c r="E48" s="276" t="s">
        <v>41</v>
      </c>
      <c r="F48" s="277">
        <f>119000</f>
        <v>119000</v>
      </c>
      <c r="G48" s="274"/>
      <c r="H48" s="137"/>
      <c r="I48" s="97"/>
      <c r="J48" s="137"/>
    </row>
    <row r="49" spans="1:10" x14ac:dyDescent="0.25">
      <c r="A49" s="252" t="s">
        <v>42</v>
      </c>
      <c r="B49" s="184">
        <f>G45</f>
        <v>3758.2964027899161</v>
      </c>
      <c r="C49" s="71" t="s">
        <v>31</v>
      </c>
      <c r="D49" s="119"/>
      <c r="E49" s="278"/>
      <c r="F49" s="274"/>
      <c r="G49" s="274"/>
      <c r="H49" s="137"/>
      <c r="I49" s="97"/>
      <c r="J49" s="137"/>
    </row>
    <row r="50" spans="1:10" x14ac:dyDescent="0.25">
      <c r="A50" s="252" t="s">
        <v>43</v>
      </c>
      <c r="B50" s="184">
        <f>G47</f>
        <v>100018.76908608402</v>
      </c>
      <c r="C50" s="71" t="s">
        <v>31</v>
      </c>
      <c r="D50" s="119"/>
      <c r="E50" s="279" t="s">
        <v>70</v>
      </c>
      <c r="F50" s="277">
        <f>1910.32</f>
        <v>1910.32</v>
      </c>
      <c r="G50" s="279">
        <f>F50/F48*C6</f>
        <v>23.944817747899158</v>
      </c>
      <c r="H50" s="137"/>
      <c r="I50" s="97"/>
      <c r="J50" s="137"/>
    </row>
    <row r="51" spans="1:10" x14ac:dyDescent="0.25">
      <c r="A51" s="252" t="s">
        <v>44</v>
      </c>
      <c r="B51" s="184">
        <f>G52</f>
        <v>205.93606184873946</v>
      </c>
      <c r="C51" s="71" t="s">
        <v>31</v>
      </c>
      <c r="D51" s="119"/>
      <c r="E51" s="119"/>
      <c r="F51" s="120"/>
      <c r="G51" s="121"/>
      <c r="H51" s="137"/>
      <c r="I51" s="97"/>
      <c r="J51" s="137"/>
    </row>
    <row r="52" spans="1:10" x14ac:dyDescent="0.25">
      <c r="A52" s="252" t="s">
        <v>45</v>
      </c>
      <c r="B52" s="184">
        <f>G50</f>
        <v>23.944817747899158</v>
      </c>
      <c r="C52" s="71" t="s">
        <v>31</v>
      </c>
      <c r="D52" s="119"/>
      <c r="E52" s="119" t="s">
        <v>125</v>
      </c>
      <c r="F52" s="280">
        <f>16429.6</f>
        <v>16429.599999999999</v>
      </c>
      <c r="G52" s="279">
        <f>F52/F48*C8</f>
        <v>205.93606184873946</v>
      </c>
      <c r="H52" s="137"/>
      <c r="I52" s="97"/>
      <c r="J52" s="137"/>
    </row>
    <row r="53" spans="1:10" x14ac:dyDescent="0.25">
      <c r="A53" s="252" t="s">
        <v>46</v>
      </c>
      <c r="B53" s="184">
        <f>5425.74+695.34</f>
        <v>6121.08</v>
      </c>
      <c r="C53" s="71" t="s">
        <v>31</v>
      </c>
      <c r="D53" s="119"/>
      <c r="E53" s="119"/>
      <c r="F53" s="120"/>
      <c r="G53" s="121"/>
      <c r="H53" s="137"/>
      <c r="I53" s="97"/>
      <c r="J53" s="137"/>
    </row>
    <row r="54" spans="1:10" ht="26.25" x14ac:dyDescent="0.25">
      <c r="A54" s="254" t="s">
        <v>144</v>
      </c>
      <c r="B54" s="184">
        <f>500+600+700+350+600+350+700+350+600</f>
        <v>4750</v>
      </c>
      <c r="C54" s="71" t="s">
        <v>31</v>
      </c>
      <c r="D54" s="56"/>
      <c r="E54" s="56"/>
      <c r="F54" s="156"/>
      <c r="G54" s="157"/>
      <c r="H54" s="137"/>
      <c r="I54" s="97"/>
      <c r="J54" s="137"/>
    </row>
    <row r="55" spans="1:10" x14ac:dyDescent="0.25">
      <c r="A55" s="252" t="s">
        <v>48</v>
      </c>
      <c r="B55" s="184">
        <v>5369.04</v>
      </c>
      <c r="C55" s="71" t="s">
        <v>31</v>
      </c>
      <c r="D55" s="56"/>
      <c r="E55" s="56"/>
      <c r="F55" s="136"/>
      <c r="G55" s="137"/>
      <c r="H55" s="137"/>
      <c r="I55" s="97"/>
      <c r="J55" s="137"/>
    </row>
    <row r="56" spans="1:10" x14ac:dyDescent="0.25">
      <c r="A56" s="252" t="s">
        <v>49</v>
      </c>
      <c r="B56" s="184">
        <f>(B46+B47+B48+B49+B50+B52+B53+B54)*0.1</f>
        <v>20770.037728363022</v>
      </c>
      <c r="C56" s="71" t="s">
        <v>31</v>
      </c>
      <c r="D56" s="56"/>
      <c r="E56" s="56"/>
      <c r="F56" s="136"/>
      <c r="G56" s="137"/>
      <c r="H56" s="137"/>
      <c r="I56" s="97"/>
      <c r="J56" s="137"/>
    </row>
    <row r="57" spans="1:10" x14ac:dyDescent="0.25">
      <c r="A57" s="246" t="s">
        <v>50</v>
      </c>
      <c r="B57" s="160">
        <f>C79</f>
        <v>10758.52</v>
      </c>
      <c r="C57" s="69" t="s">
        <v>31</v>
      </c>
      <c r="D57" s="122"/>
      <c r="E57" s="122"/>
      <c r="F57" s="123"/>
      <c r="G57" s="124"/>
      <c r="H57" s="124"/>
      <c r="I57" s="97"/>
      <c r="J57" s="137"/>
    </row>
    <row r="58" spans="1:10" x14ac:dyDescent="0.25">
      <c r="A58" s="246" t="s">
        <v>51</v>
      </c>
      <c r="B58" s="160">
        <v>2930.04</v>
      </c>
      <c r="C58" s="69" t="s">
        <v>31</v>
      </c>
      <c r="D58" s="122"/>
      <c r="E58" s="122"/>
      <c r="F58" s="123"/>
      <c r="G58" s="124"/>
      <c r="H58" s="124"/>
      <c r="I58" s="97"/>
      <c r="J58" s="137"/>
    </row>
    <row r="59" spans="1:10" x14ac:dyDescent="0.25">
      <c r="A59" s="246" t="s">
        <v>52</v>
      </c>
      <c r="B59" s="160">
        <f>10645.13+47115.18+341599.29+38381.15</f>
        <v>437740.75</v>
      </c>
      <c r="C59" s="69" t="s">
        <v>31</v>
      </c>
      <c r="D59" s="56"/>
      <c r="E59" s="56"/>
      <c r="F59" s="3"/>
      <c r="I59" s="97"/>
      <c r="J59" s="137"/>
    </row>
    <row r="60" spans="1:10" x14ac:dyDescent="0.25">
      <c r="A60" s="246" t="s">
        <v>53</v>
      </c>
      <c r="B60" s="160">
        <v>0</v>
      </c>
      <c r="C60" s="69" t="s">
        <v>54</v>
      </c>
      <c r="D60" s="56"/>
      <c r="E60" s="56"/>
      <c r="F60" s="3"/>
      <c r="I60" s="97"/>
      <c r="J60" s="137"/>
    </row>
    <row r="61" spans="1:10" x14ac:dyDescent="0.25">
      <c r="A61" s="133" t="s">
        <v>154</v>
      </c>
      <c r="B61" s="134">
        <f>C37/1.02</f>
        <v>0</v>
      </c>
      <c r="C61" s="135"/>
      <c r="D61" s="56"/>
      <c r="E61" s="56"/>
      <c r="F61" s="3"/>
      <c r="I61" s="97"/>
      <c r="J61" s="137"/>
    </row>
    <row r="62" spans="1:10" ht="15.75" thickBot="1" x14ac:dyDescent="0.3">
      <c r="A62" s="73" t="s">
        <v>78</v>
      </c>
      <c r="B62" s="74">
        <f>G44</f>
        <v>2256.2016806722686</v>
      </c>
      <c r="C62" s="75" t="s">
        <v>31</v>
      </c>
      <c r="D62" s="56"/>
      <c r="E62" s="56"/>
      <c r="F62" s="3"/>
      <c r="I62" s="97"/>
      <c r="J62" s="137"/>
    </row>
    <row r="63" spans="1:10" x14ac:dyDescent="0.25">
      <c r="A63" s="59"/>
      <c r="B63" s="60"/>
      <c r="C63" s="56"/>
      <c r="D63" s="56"/>
      <c r="E63" s="56"/>
      <c r="F63" s="3"/>
      <c r="I63" s="97"/>
      <c r="J63" s="137"/>
    </row>
    <row r="64" spans="1:10" x14ac:dyDescent="0.25">
      <c r="A64" s="59" t="s">
        <v>142</v>
      </c>
      <c r="B64" s="143">
        <f>C39-C24+B43-B42</f>
        <v>138384.35724548553</v>
      </c>
      <c r="C64" s="56" t="s">
        <v>31</v>
      </c>
      <c r="D64" s="56"/>
      <c r="E64" s="56"/>
      <c r="F64" s="3"/>
      <c r="I64" s="97"/>
      <c r="J64" s="137"/>
    </row>
    <row r="65" spans="1:10" x14ac:dyDescent="0.25">
      <c r="A65" s="59" t="s">
        <v>130</v>
      </c>
      <c r="B65" s="2">
        <f>B66+B67+B68+B69+B70+B71</f>
        <v>113470.28724548574</v>
      </c>
      <c r="C65" s="56" t="s">
        <v>31</v>
      </c>
      <c r="D65" s="56"/>
      <c r="E65" s="56"/>
      <c r="F65" s="3"/>
      <c r="I65" s="97"/>
      <c r="J65" s="137"/>
    </row>
    <row r="66" spans="1:10" x14ac:dyDescent="0.25">
      <c r="A66" s="77" t="s">
        <v>56</v>
      </c>
      <c r="B66" s="78">
        <f>C20-B44-B62</f>
        <v>39727.127245485754</v>
      </c>
      <c r="C66" s="56" t="s">
        <v>31</v>
      </c>
      <c r="D66" s="56"/>
      <c r="E66" s="56"/>
      <c r="F66" s="3"/>
      <c r="I66" s="97"/>
      <c r="J66" s="137"/>
    </row>
    <row r="67" spans="1:10" x14ac:dyDescent="0.25">
      <c r="A67" s="77" t="s">
        <v>57</v>
      </c>
      <c r="B67" s="78">
        <f>C22-B57</f>
        <v>79633.51999999999</v>
      </c>
      <c r="C67" s="56" t="s">
        <v>31</v>
      </c>
      <c r="D67" s="56"/>
      <c r="E67" s="56"/>
      <c r="F67" s="3"/>
      <c r="I67" s="97"/>
      <c r="J67" s="137"/>
    </row>
    <row r="68" spans="1:10" x14ac:dyDescent="0.25">
      <c r="A68" s="77" t="s">
        <v>58</v>
      </c>
      <c r="B68" s="78">
        <f>C26-B58</f>
        <v>292.19999999999982</v>
      </c>
      <c r="C68" s="56" t="s">
        <v>31</v>
      </c>
      <c r="D68" s="56"/>
      <c r="E68" s="56"/>
      <c r="F68" s="3"/>
      <c r="I68" s="97"/>
      <c r="J68" s="137"/>
    </row>
    <row r="69" spans="1:10" x14ac:dyDescent="0.25">
      <c r="A69" s="77" t="s">
        <v>59</v>
      </c>
      <c r="B69" s="78">
        <f>C28-B59</f>
        <v>-6182.5599999999977</v>
      </c>
      <c r="C69" s="56" t="s">
        <v>31</v>
      </c>
      <c r="D69" s="56"/>
      <c r="E69" s="56"/>
      <c r="F69" s="3"/>
      <c r="I69" s="97"/>
      <c r="J69" s="137"/>
    </row>
    <row r="70" spans="1:10" x14ac:dyDescent="0.25">
      <c r="A70" s="77" t="s">
        <v>60</v>
      </c>
      <c r="B70" s="78">
        <f>C35-B60</f>
        <v>0</v>
      </c>
      <c r="C70" s="56" t="s">
        <v>31</v>
      </c>
      <c r="D70" s="56"/>
      <c r="E70" s="56"/>
      <c r="F70" s="3"/>
      <c r="I70" s="97"/>
      <c r="J70" s="137"/>
    </row>
    <row r="71" spans="1:10" x14ac:dyDescent="0.25">
      <c r="A71" s="77" t="s">
        <v>157</v>
      </c>
      <c r="B71" s="78">
        <f>C37-B61</f>
        <v>0</v>
      </c>
      <c r="C71" s="56" t="s">
        <v>31</v>
      </c>
      <c r="I71" s="97"/>
      <c r="J71" s="137"/>
    </row>
    <row r="72" spans="1:10" ht="15.75" thickBot="1" x14ac:dyDescent="0.3">
      <c r="A72" s="77"/>
      <c r="B72" s="78"/>
      <c r="C72" s="56"/>
      <c r="D72" s="98"/>
      <c r="E72" s="99"/>
      <c r="F72" s="100"/>
      <c r="G72" s="97"/>
      <c r="I72" s="97"/>
      <c r="J72" s="137"/>
    </row>
    <row r="73" spans="1:10" ht="15.75" thickBot="1" x14ac:dyDescent="0.3">
      <c r="A73" s="128" t="s">
        <v>146</v>
      </c>
      <c r="B73" s="129"/>
      <c r="C73" s="130"/>
      <c r="D73" s="101"/>
      <c r="E73" s="101"/>
      <c r="F73" s="101"/>
      <c r="G73" s="97"/>
      <c r="I73" s="97"/>
      <c r="J73" s="137"/>
    </row>
    <row r="74" spans="1:10" ht="51.75" thickBot="1" x14ac:dyDescent="0.3">
      <c r="A74" s="79" t="s">
        <v>80</v>
      </c>
      <c r="B74" s="80" t="s">
        <v>61</v>
      </c>
      <c r="C74" s="81" t="s">
        <v>67</v>
      </c>
      <c r="D74" s="102"/>
      <c r="E74" s="103"/>
      <c r="F74" s="104"/>
      <c r="G74" s="97"/>
      <c r="I74" s="97"/>
      <c r="J74" s="137"/>
    </row>
    <row r="75" spans="1:10" x14ac:dyDescent="0.25">
      <c r="A75" s="82" t="s">
        <v>62</v>
      </c>
      <c r="B75" s="113" t="s">
        <v>31</v>
      </c>
      <c r="C75" s="114" t="s">
        <v>31</v>
      </c>
      <c r="D75" s="102"/>
      <c r="E75" s="103"/>
      <c r="F75" s="104"/>
      <c r="G75" s="97"/>
      <c r="I75" s="97"/>
      <c r="J75" s="137"/>
    </row>
    <row r="76" spans="1:10" x14ac:dyDescent="0.25">
      <c r="A76" s="76" t="s">
        <v>179</v>
      </c>
      <c r="B76" s="43"/>
      <c r="C76" s="185">
        <f>6500</f>
        <v>6500</v>
      </c>
      <c r="D76" s="102"/>
      <c r="E76" s="103"/>
      <c r="F76" s="104"/>
      <c r="G76" s="97"/>
      <c r="I76" s="97"/>
      <c r="J76" s="137"/>
    </row>
    <row r="77" spans="1:10" x14ac:dyDescent="0.25">
      <c r="A77" s="76" t="s">
        <v>91</v>
      </c>
      <c r="B77" s="43"/>
      <c r="C77" s="281">
        <v>89.89</v>
      </c>
      <c r="D77" s="102"/>
      <c r="E77" s="103"/>
      <c r="F77" s="104"/>
      <c r="G77" s="97"/>
      <c r="I77" s="97"/>
      <c r="J77" s="137"/>
    </row>
    <row r="78" spans="1:10" x14ac:dyDescent="0.25">
      <c r="A78" s="76" t="s">
        <v>178</v>
      </c>
      <c r="B78" s="43"/>
      <c r="C78" s="281">
        <v>4168.63</v>
      </c>
      <c r="D78" s="102"/>
      <c r="E78" s="103"/>
      <c r="F78" s="104"/>
      <c r="G78" s="97"/>
      <c r="I78" s="97"/>
      <c r="J78" s="137"/>
    </row>
    <row r="79" spans="1:10" ht="15.75" thickBot="1" x14ac:dyDescent="0.3">
      <c r="A79" s="145" t="s">
        <v>5</v>
      </c>
      <c r="B79" s="146">
        <f>B76</f>
        <v>0</v>
      </c>
      <c r="C79" s="147">
        <f>C76+C77+C78</f>
        <v>10758.52</v>
      </c>
      <c r="D79" s="105"/>
      <c r="E79" s="103"/>
      <c r="F79" s="104"/>
      <c r="G79" s="97"/>
      <c r="I79" s="97"/>
      <c r="J79" s="137"/>
    </row>
    <row r="80" spans="1:10" x14ac:dyDescent="0.25">
      <c r="A80" s="31"/>
      <c r="B80" s="33"/>
      <c r="C80" s="87"/>
      <c r="D80" s="105"/>
      <c r="E80" s="103"/>
      <c r="F80" s="104"/>
      <c r="G80" s="97"/>
      <c r="I80" s="97"/>
      <c r="J80" s="137"/>
    </row>
    <row r="81" spans="1:10" x14ac:dyDescent="0.25">
      <c r="A81" s="164" t="s">
        <v>132</v>
      </c>
      <c r="B81" s="149"/>
      <c r="C81" s="215"/>
      <c r="D81" s="216"/>
      <c r="E81" s="89"/>
      <c r="I81" s="97"/>
      <c r="J81" s="137"/>
    </row>
    <row r="82" spans="1:10" x14ac:dyDescent="0.25">
      <c r="A82" s="217"/>
      <c r="B82" s="149"/>
      <c r="C82" s="215"/>
      <c r="D82" s="218"/>
      <c r="E82" s="89"/>
      <c r="I82" s="97"/>
      <c r="J82" s="137"/>
    </row>
    <row r="83" spans="1:10" x14ac:dyDescent="0.25">
      <c r="A83" s="165" t="s">
        <v>133</v>
      </c>
      <c r="B83" s="149" t="s">
        <v>134</v>
      </c>
      <c r="C83" s="219"/>
      <c r="D83" s="216"/>
      <c r="E83" s="89"/>
      <c r="I83" s="97"/>
      <c r="J83" s="137"/>
    </row>
    <row r="84" spans="1:10" x14ac:dyDescent="0.25">
      <c r="A84" s="165"/>
      <c r="B84" s="149"/>
      <c r="C84" s="219"/>
      <c r="D84" s="216"/>
      <c r="E84" s="89"/>
      <c r="I84" s="97"/>
      <c r="J84" s="137"/>
    </row>
    <row r="85" spans="1:10" x14ac:dyDescent="0.25">
      <c r="A85" s="220"/>
      <c r="B85" s="221"/>
      <c r="C85" s="219"/>
      <c r="D85" s="150"/>
      <c r="E85" s="56"/>
      <c r="I85" s="97"/>
      <c r="J85" s="137"/>
    </row>
    <row r="86" spans="1:10" ht="15.75" x14ac:dyDescent="0.25">
      <c r="A86" s="223" t="s">
        <v>63</v>
      </c>
      <c r="B86" s="224" t="s">
        <v>134</v>
      </c>
      <c r="C86" s="225"/>
      <c r="D86" s="226" t="s">
        <v>66</v>
      </c>
      <c r="E86" s="56"/>
    </row>
    <row r="87" spans="1:10" x14ac:dyDescent="0.25">
      <c r="A87" s="31"/>
      <c r="B87" s="33"/>
      <c r="C87" s="89"/>
      <c r="D87" s="88"/>
      <c r="E87" s="89"/>
    </row>
    <row r="88" spans="1:10" x14ac:dyDescent="0.25">
      <c r="A88" s="31"/>
      <c r="B88" s="33"/>
      <c r="C88" s="89"/>
      <c r="D88" s="88"/>
      <c r="E88" s="89"/>
    </row>
    <row r="89" spans="1:10" x14ac:dyDescent="0.25">
      <c r="A89" s="31"/>
      <c r="B89" s="33"/>
      <c r="C89" s="89"/>
      <c r="D89" s="93"/>
      <c r="E89" s="89"/>
    </row>
    <row r="90" spans="1:10" x14ac:dyDescent="0.25">
      <c r="A90" s="95"/>
      <c r="B90" s="96"/>
      <c r="C90" s="89"/>
      <c r="D90" s="93"/>
      <c r="E90" s="89"/>
    </row>
    <row r="91" spans="1:10" x14ac:dyDescent="0.25">
      <c r="A91" s="95"/>
      <c r="B91" s="96"/>
      <c r="C91" s="89"/>
      <c r="D91" s="93"/>
      <c r="E91" s="89"/>
      <c r="F91" s="94"/>
    </row>
    <row r="92" spans="1:10" x14ac:dyDescent="0.25">
      <c r="A92" s="31"/>
      <c r="B92" s="33"/>
      <c r="C92" s="89"/>
      <c r="D92" s="93"/>
      <c r="E92" s="89"/>
    </row>
    <row r="93" spans="1:10" x14ac:dyDescent="0.25">
      <c r="A93" s="31"/>
      <c r="B93" s="33"/>
      <c r="C93" s="56"/>
      <c r="D93" s="87"/>
      <c r="E93" s="89"/>
    </row>
    <row r="94" spans="1:10" x14ac:dyDescent="0.25">
      <c r="A94" s="19"/>
      <c r="B94" s="20"/>
      <c r="C94" s="89"/>
      <c r="D94" s="87"/>
      <c r="E94" s="89"/>
    </row>
    <row r="95" spans="1:10" x14ac:dyDescent="0.25">
      <c r="A95" s="31"/>
      <c r="B95" s="33"/>
      <c r="C95" s="89"/>
      <c r="D95" s="56"/>
      <c r="E95" s="56"/>
      <c r="F95" s="3"/>
    </row>
    <row r="96" spans="1:10" x14ac:dyDescent="0.25">
      <c r="A96" s="31"/>
      <c r="B96" s="33"/>
      <c r="C96" s="33"/>
      <c r="D96" s="56"/>
      <c r="E96" s="89"/>
    </row>
    <row r="97" spans="1:6" x14ac:dyDescent="0.25">
      <c r="A97" s="31"/>
      <c r="B97" s="33"/>
      <c r="C97" s="33"/>
      <c r="D97" s="56"/>
      <c r="E97" s="56"/>
    </row>
    <row r="98" spans="1:6" x14ac:dyDescent="0.25">
      <c r="A98" s="31"/>
      <c r="B98" s="33"/>
      <c r="C98" s="33"/>
      <c r="D98" s="89"/>
      <c r="E98" s="89"/>
    </row>
    <row r="99" spans="1:6" x14ac:dyDescent="0.25">
      <c r="A99" s="31"/>
      <c r="B99" s="33"/>
      <c r="D99" s="89"/>
      <c r="E99" s="89"/>
    </row>
    <row r="100" spans="1:6" x14ac:dyDescent="0.25">
      <c r="D100" s="89"/>
      <c r="E100" s="89"/>
    </row>
    <row r="101" spans="1:6" x14ac:dyDescent="0.25">
      <c r="D101" s="89"/>
      <c r="E101" s="89"/>
    </row>
    <row r="102" spans="1:6" x14ac:dyDescent="0.25">
      <c r="D102" s="89"/>
      <c r="E102" s="89"/>
    </row>
    <row r="103" spans="1:6" x14ac:dyDescent="0.25">
      <c r="D103" s="89"/>
      <c r="E103" s="89"/>
    </row>
    <row r="104" spans="1:6" x14ac:dyDescent="0.25">
      <c r="B104"/>
      <c r="C104"/>
      <c r="D104" s="56"/>
      <c r="E104" s="56"/>
      <c r="F104" s="3"/>
    </row>
    <row r="105" spans="1:6" x14ac:dyDescent="0.25">
      <c r="B105"/>
      <c r="C105"/>
      <c r="D105" s="89"/>
      <c r="E105" s="89"/>
      <c r="F105" s="3"/>
    </row>
    <row r="106" spans="1:6" x14ac:dyDescent="0.25">
      <c r="B106"/>
      <c r="C106"/>
      <c r="D106" s="89"/>
      <c r="E106" s="89"/>
    </row>
    <row r="107" spans="1:6" x14ac:dyDescent="0.25">
      <c r="B107"/>
      <c r="C107"/>
      <c r="D107" s="33"/>
      <c r="E107" s="33"/>
    </row>
    <row r="108" spans="1:6" x14ac:dyDescent="0.25">
      <c r="B108"/>
      <c r="C108"/>
      <c r="D108" s="33"/>
      <c r="E108" s="33"/>
    </row>
    <row r="109" spans="1:6" x14ac:dyDescent="0.25">
      <c r="D109" s="33"/>
      <c r="E109" s="33"/>
    </row>
  </sheetData>
  <pageMargins left="0.70866141732283472" right="0.70866141732283472" top="0.74803149606299213" bottom="0.74803149606299213" header="0.31496062992125984" footer="0.31496062992125984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30</vt:i4>
      </vt:variant>
      <vt:variant>
        <vt:lpstr>Именованные диапазоны</vt:lpstr>
      </vt:variant>
      <vt:variant>
        <vt:i4>30</vt:i4>
      </vt:variant>
    </vt:vector>
  </HeadingPairs>
  <TitlesOfParts>
    <vt:vector size="60" baseType="lpstr">
      <vt:lpstr>2 жд, 4а</vt:lpstr>
      <vt:lpstr>4 жд, 46б</vt:lpstr>
      <vt:lpstr>Горького 29</vt:lpstr>
      <vt:lpstr>4 жд, 14а</vt:lpstr>
      <vt:lpstr>Джамбула 4</vt:lpstr>
      <vt:lpstr>Пушкина,13</vt:lpstr>
      <vt:lpstr>Румянцева,15а</vt:lpstr>
      <vt:lpstr>Российская,25</vt:lpstr>
      <vt:lpstr>Воронежская,23</vt:lpstr>
      <vt:lpstr>Лапина,17</vt:lpstr>
      <vt:lpstr>Пушкина, 6</vt:lpstr>
      <vt:lpstr>Профсоюзная,15 мало данных</vt:lpstr>
      <vt:lpstr>Мичурина, 7-2 мало данных</vt:lpstr>
      <vt:lpstr>Карла Маркса, 32 мало данных</vt:lpstr>
      <vt:lpstr>гоголя, 42б</vt:lpstr>
      <vt:lpstr>чайковского,14</vt:lpstr>
      <vt:lpstr>чайковского,9</vt:lpstr>
      <vt:lpstr>гашека, 4</vt:lpstr>
      <vt:lpstr>гашека,7</vt:lpstr>
      <vt:lpstr>мичурина,7</vt:lpstr>
      <vt:lpstr>мичурина,7-1</vt:lpstr>
      <vt:lpstr>свердлова,1</vt:lpstr>
      <vt:lpstr>шмидта,32</vt:lpstr>
      <vt:lpstr>Роза Люксембург, 5</vt:lpstr>
      <vt:lpstr>румянцева, 26 с 01.07.13</vt:lpstr>
      <vt:lpstr>Воронежская, 13 с 01.09.13</vt:lpstr>
      <vt:lpstr>Воронежская, 17 с 01.09.13</vt:lpstr>
      <vt:lpstr>Воронежская, 19 с 01.09.13</vt:lpstr>
      <vt:lpstr>Севастопольская,145 с 1.10.13</vt:lpstr>
      <vt:lpstr>Севастопольская,147 с 1.10.13</vt:lpstr>
      <vt:lpstr>'2 жд, 4а'!Область_печати</vt:lpstr>
      <vt:lpstr>'4 жд, 14а'!Область_печати</vt:lpstr>
      <vt:lpstr>'4 жд, 46б'!Область_печати</vt:lpstr>
      <vt:lpstr>'Воронежская, 13 с 01.09.13'!Область_печати</vt:lpstr>
      <vt:lpstr>'Воронежская, 17 с 01.09.13'!Область_печати</vt:lpstr>
      <vt:lpstr>'Воронежская, 19 с 01.09.13'!Область_печати</vt:lpstr>
      <vt:lpstr>'Воронежская,23'!Область_печати</vt:lpstr>
      <vt:lpstr>'гашека, 4'!Область_печати</vt:lpstr>
      <vt:lpstr>'гашека,7'!Область_печати</vt:lpstr>
      <vt:lpstr>'гоголя, 42б'!Область_печати</vt:lpstr>
      <vt:lpstr>'Горького 29'!Область_печати</vt:lpstr>
      <vt:lpstr>'Джамбула 4'!Область_печати</vt:lpstr>
      <vt:lpstr>'Карла Маркса, 32 мало данных'!Область_печати</vt:lpstr>
      <vt:lpstr>'Лапина,17'!Область_печати</vt:lpstr>
      <vt:lpstr>'Мичурина, 7-2 мало данных'!Область_печати</vt:lpstr>
      <vt:lpstr>'мичурина,7'!Область_печати</vt:lpstr>
      <vt:lpstr>'мичурина,7-1'!Область_печати</vt:lpstr>
      <vt:lpstr>'Профсоюзная,15 мало данных'!Область_печати</vt:lpstr>
      <vt:lpstr>'Пушкина, 6'!Область_печати</vt:lpstr>
      <vt:lpstr>'Пушкина,13'!Область_печати</vt:lpstr>
      <vt:lpstr>'Роза Люксембург, 5'!Область_печати</vt:lpstr>
      <vt:lpstr>'Российская,25'!Область_печати</vt:lpstr>
      <vt:lpstr>'румянцева, 26 с 01.07.13'!Область_печати</vt:lpstr>
      <vt:lpstr>'Румянцева,15а'!Область_печати</vt:lpstr>
      <vt:lpstr>'свердлова,1'!Область_печати</vt:lpstr>
      <vt:lpstr>'Севастопольская,145 с 1.10.13'!Область_печати</vt:lpstr>
      <vt:lpstr>'Севастопольская,147 с 1.10.13'!Область_печати</vt:lpstr>
      <vt:lpstr>'чайковского,14'!Область_печати</vt:lpstr>
      <vt:lpstr>'чайковского,9'!Область_печати</vt:lpstr>
      <vt:lpstr>'шмидта,32'!Область_печати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Леонтьева</dc:creator>
  <cp:lastModifiedBy>user077</cp:lastModifiedBy>
  <cp:lastPrinted>2014-03-11T00:13:34Z</cp:lastPrinted>
  <dcterms:created xsi:type="dcterms:W3CDTF">2013-03-19T04:45:22Z</dcterms:created>
  <dcterms:modified xsi:type="dcterms:W3CDTF">2014-03-21T06:48:49Z</dcterms:modified>
</cp:coreProperties>
</file>