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2008" sheetId="1" r:id="rId1"/>
    <sheet name="2009" sheetId="4" r:id="rId2"/>
    <sheet name="2010" sheetId="5" r:id="rId3"/>
    <sheet name="2011" sheetId="6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F85" i="5"/>
  <c r="F84"/>
  <c r="F83"/>
  <c r="F82"/>
  <c r="C60" i="6"/>
  <c r="D60" s="1"/>
  <c r="C61"/>
  <c r="D61" s="1"/>
  <c r="C62"/>
  <c r="D62" s="1"/>
  <c r="C63"/>
  <c r="D63" s="1"/>
  <c r="C64"/>
  <c r="D64" s="1"/>
  <c r="C65"/>
  <c r="D65" s="1"/>
  <c r="C66"/>
  <c r="D66" s="1"/>
  <c r="C67"/>
  <c r="D67" s="1"/>
  <c r="C68"/>
  <c r="D68" s="1"/>
  <c r="C69"/>
  <c r="D69" s="1"/>
  <c r="C70"/>
  <c r="D70" s="1"/>
  <c r="C71"/>
  <c r="D71" s="1"/>
  <c r="C72"/>
  <c r="D72" s="1"/>
  <c r="C73"/>
  <c r="D73" s="1"/>
  <c r="C74"/>
  <c r="D74" s="1"/>
  <c r="C75"/>
  <c r="D75" s="1"/>
  <c r="C76"/>
  <c r="D76" s="1"/>
  <c r="C77"/>
  <c r="D77" s="1"/>
  <c r="C78"/>
  <c r="D78" s="1"/>
  <c r="C79"/>
  <c r="D79" s="1"/>
  <c r="C80"/>
  <c r="D80" s="1"/>
  <c r="C59"/>
  <c r="D59" s="1"/>
  <c r="C48"/>
  <c r="D48" s="1"/>
  <c r="C49"/>
  <c r="C50"/>
  <c r="C51"/>
  <c r="C52"/>
  <c r="D52" s="1"/>
  <c r="C53"/>
  <c r="C47"/>
  <c r="D51"/>
  <c r="D21"/>
  <c r="E90"/>
  <c r="E89"/>
  <c r="E88"/>
  <c r="G82"/>
  <c r="G83" s="1"/>
  <c r="G80"/>
  <c r="G84" s="1"/>
  <c r="C83" s="1"/>
  <c r="F57"/>
  <c r="C57" s="1"/>
  <c r="F56"/>
  <c r="C56" s="1"/>
  <c r="D53"/>
  <c r="G50"/>
  <c r="D50"/>
  <c r="D49"/>
  <c r="D47"/>
  <c r="E40"/>
  <c r="E33"/>
  <c r="D32"/>
  <c r="D31"/>
  <c r="E22"/>
  <c r="D90"/>
  <c r="D20"/>
  <c r="D19"/>
  <c r="D18"/>
  <c r="D22" s="1"/>
  <c r="B20" i="5"/>
  <c r="B22"/>
  <c r="E83" i="4"/>
  <c r="E91" i="6" l="1"/>
  <c r="C81"/>
  <c r="D54"/>
  <c r="D89"/>
  <c r="D33"/>
  <c r="C58"/>
  <c r="F88" s="1"/>
  <c r="F89"/>
  <c r="I89" s="1"/>
  <c r="D24"/>
  <c r="C54"/>
  <c r="F90" s="1"/>
  <c r="I90" s="1"/>
  <c r="D81"/>
  <c r="D88"/>
  <c r="D40"/>
  <c r="E20" i="1"/>
  <c r="E21"/>
  <c r="E22"/>
  <c r="F89"/>
  <c r="F90"/>
  <c r="F88"/>
  <c r="E89"/>
  <c r="E88"/>
  <c r="C89"/>
  <c r="C88"/>
  <c r="B84" i="5"/>
  <c r="C82"/>
  <c r="D98"/>
  <c r="C98"/>
  <c r="B101"/>
  <c r="B99"/>
  <c r="B98"/>
  <c r="B100" s="1"/>
  <c r="D35" i="6" l="1"/>
  <c r="F91"/>
  <c r="D91"/>
  <c r="I88"/>
  <c r="C84"/>
  <c r="E98" i="5"/>
  <c r="C61"/>
  <c r="C62"/>
  <c r="C63"/>
  <c r="C64"/>
  <c r="C65"/>
  <c r="C66"/>
  <c r="C67"/>
  <c r="C68"/>
  <c r="C69"/>
  <c r="C70"/>
  <c r="C71"/>
  <c r="C72"/>
  <c r="C84" s="1"/>
  <c r="C73"/>
  <c r="C74"/>
  <c r="C75"/>
  <c r="C76"/>
  <c r="C77"/>
  <c r="C78"/>
  <c r="C79"/>
  <c r="C80"/>
  <c r="C81"/>
  <c r="C49"/>
  <c r="C50"/>
  <c r="C51"/>
  <c r="C52"/>
  <c r="C53"/>
  <c r="C54"/>
  <c r="C33"/>
  <c r="C32"/>
  <c r="C22"/>
  <c r="C20"/>
  <c r="C19"/>
  <c r="F81"/>
  <c r="B85" s="1"/>
  <c r="E91" s="1"/>
  <c r="D99" s="1"/>
  <c r="D100" s="1"/>
  <c r="B33"/>
  <c r="B32"/>
  <c r="B19"/>
  <c r="D92"/>
  <c r="D91"/>
  <c r="D101" s="1"/>
  <c r="D90"/>
  <c r="C60"/>
  <c r="B58"/>
  <c r="B57"/>
  <c r="B59" s="1"/>
  <c r="B55"/>
  <c r="E92" s="1"/>
  <c r="C48"/>
  <c r="D41"/>
  <c r="D34"/>
  <c r="C34"/>
  <c r="E32"/>
  <c r="C31" i="6" s="1"/>
  <c r="D23" i="5"/>
  <c r="C92"/>
  <c r="C21"/>
  <c r="C41"/>
  <c r="C90"/>
  <c r="C61" i="4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60"/>
  <c r="B58"/>
  <c r="B57"/>
  <c r="C49"/>
  <c r="C50"/>
  <c r="C51"/>
  <c r="C52"/>
  <c r="C53"/>
  <c r="C54"/>
  <c r="C48"/>
  <c r="C38"/>
  <c r="D23"/>
  <c r="E19"/>
  <c r="D34"/>
  <c r="F34" s="1"/>
  <c r="E33"/>
  <c r="E32"/>
  <c r="C33"/>
  <c r="C32"/>
  <c r="C22"/>
  <c r="C21"/>
  <c r="C20"/>
  <c r="C19"/>
  <c r="B33"/>
  <c r="B34"/>
  <c r="B32"/>
  <c r="B20"/>
  <c r="E20" s="1"/>
  <c r="B91" i="5" s="1"/>
  <c r="B21" i="4"/>
  <c r="E21" s="1"/>
  <c r="B21" i="5" s="1"/>
  <c r="B22" i="4"/>
  <c r="E22" s="1"/>
  <c r="B92" i="5" s="1"/>
  <c r="B19" i="4"/>
  <c r="D90"/>
  <c r="B90"/>
  <c r="D89"/>
  <c r="C101" i="5" s="1"/>
  <c r="E101" s="1"/>
  <c r="B89" i="4"/>
  <c r="D88"/>
  <c r="B83"/>
  <c r="B82"/>
  <c r="B55"/>
  <c r="E90" s="1"/>
  <c r="D41"/>
  <c r="C34"/>
  <c r="C90"/>
  <c r="C89"/>
  <c r="C88"/>
  <c r="C38" i="1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60"/>
  <c r="C22"/>
  <c r="B34" i="5" l="1"/>
  <c r="F31" i="6"/>
  <c r="D93" i="5"/>
  <c r="D91" i="4"/>
  <c r="E21" i="5"/>
  <c r="C20" i="6" s="1"/>
  <c r="F20" s="1"/>
  <c r="B90" i="5"/>
  <c r="F90" s="1"/>
  <c r="B88" i="4"/>
  <c r="B23"/>
  <c r="F23" s="1"/>
  <c r="H92" i="5"/>
  <c r="E33"/>
  <c r="F92"/>
  <c r="C37"/>
  <c r="E90"/>
  <c r="E93" s="1"/>
  <c r="F34"/>
  <c r="E20"/>
  <c r="C19" i="6" s="1"/>
  <c r="E22" i="5"/>
  <c r="C21" i="6" s="1"/>
  <c r="C23" i="5"/>
  <c r="C25" s="1"/>
  <c r="C36"/>
  <c r="B86"/>
  <c r="C91"/>
  <c r="C93" s="1"/>
  <c r="E19"/>
  <c r="C18" i="6" s="1"/>
  <c r="B23" i="5"/>
  <c r="F51"/>
  <c r="C82" i="4"/>
  <c r="B59"/>
  <c r="B84" s="1"/>
  <c r="C91"/>
  <c r="E89"/>
  <c r="C99" i="5" s="1"/>
  <c r="C100" s="1"/>
  <c r="E100" s="1"/>
  <c r="H90" i="4"/>
  <c r="E88"/>
  <c r="E91" s="1"/>
  <c r="F88"/>
  <c r="F89"/>
  <c r="F90"/>
  <c r="C23"/>
  <c r="E34"/>
  <c r="C41"/>
  <c r="F51"/>
  <c r="B91"/>
  <c r="C48" i="1"/>
  <c r="C49"/>
  <c r="C50"/>
  <c r="C51"/>
  <c r="C52"/>
  <c r="C53"/>
  <c r="C54"/>
  <c r="C21"/>
  <c r="C20"/>
  <c r="C19"/>
  <c r="B90"/>
  <c r="B89"/>
  <c r="B88"/>
  <c r="E83"/>
  <c r="B83" s="1"/>
  <c r="B82"/>
  <c r="B58"/>
  <c r="B57"/>
  <c r="B55"/>
  <c r="E90" s="1"/>
  <c r="C33"/>
  <c r="E33" s="1"/>
  <c r="C32"/>
  <c r="E32" s="1"/>
  <c r="C90"/>
  <c r="C23"/>
  <c r="C90" i="6" l="1"/>
  <c r="G90" s="1"/>
  <c r="F21"/>
  <c r="E34" i="5"/>
  <c r="C38" s="1"/>
  <c r="C32" i="6"/>
  <c r="C22"/>
  <c r="F18"/>
  <c r="C88"/>
  <c r="C89"/>
  <c r="G89" s="1"/>
  <c r="F19"/>
  <c r="B93" i="5"/>
  <c r="E99"/>
  <c r="E23"/>
  <c r="C27" s="1"/>
  <c r="H90"/>
  <c r="F23"/>
  <c r="C26"/>
  <c r="F91"/>
  <c r="F93" s="1"/>
  <c r="E23" i="4"/>
  <c r="C27" s="1"/>
  <c r="F91"/>
  <c r="H88"/>
  <c r="H90" i="1"/>
  <c r="E34"/>
  <c r="C82"/>
  <c r="B59"/>
  <c r="D88"/>
  <c r="D90"/>
  <c r="C34"/>
  <c r="C41"/>
  <c r="F51"/>
  <c r="D89"/>
  <c r="B91"/>
  <c r="E19"/>
  <c r="F22" i="6" l="1"/>
  <c r="D26" s="1"/>
  <c r="C91"/>
  <c r="G88"/>
  <c r="G91" s="1"/>
  <c r="G22"/>
  <c r="D25"/>
  <c r="F32"/>
  <c r="F33" s="1"/>
  <c r="D37" s="1"/>
  <c r="C33"/>
  <c r="C36" i="4"/>
  <c r="C37"/>
  <c r="C26"/>
  <c r="C25"/>
  <c r="B84" i="1"/>
  <c r="D34"/>
  <c r="F34" s="1"/>
  <c r="C91"/>
  <c r="H88"/>
  <c r="E23"/>
  <c r="C27" s="1"/>
  <c r="D41"/>
  <c r="F91"/>
  <c r="D91"/>
  <c r="C36"/>
  <c r="E91"/>
  <c r="G33" i="6" l="1"/>
  <c r="D36"/>
  <c r="C37" i="1"/>
  <c r="D23"/>
  <c r="C25" s="1"/>
  <c r="C26" l="1"/>
  <c r="F23"/>
</calcChain>
</file>

<file path=xl/sharedStrings.xml><?xml version="1.0" encoding="utf-8"?>
<sst xmlns="http://schemas.openxmlformats.org/spreadsheetml/2006/main" count="429" uniqueCount="154">
  <si>
    <t>Отчет о выполнении Управляющей компанией ООО "Дом Сервис"</t>
  </si>
  <si>
    <t xml:space="preserve">договора управления многоквартирным домом  </t>
  </si>
  <si>
    <t>S жилая</t>
  </si>
  <si>
    <t>S нежилая</t>
  </si>
  <si>
    <t>кол-во этажей</t>
  </si>
  <si>
    <t>кол-во подъездов</t>
  </si>
  <si>
    <t>кол-во квартир</t>
  </si>
  <si>
    <t>ДОХОДЫ</t>
  </si>
  <si>
    <t xml:space="preserve"> ЖИЛЫЕ</t>
  </si>
  <si>
    <t>Наименование статей</t>
  </si>
  <si>
    <t>Задолженность на 01.02.2008</t>
  </si>
  <si>
    <t>начислено за   2008 г.</t>
  </si>
  <si>
    <t>оплачено за     2008 г.</t>
  </si>
  <si>
    <t>Задолженность  на 01.01.2009</t>
  </si>
  <si>
    <t>Содержание общего имущества дома</t>
  </si>
  <si>
    <t>Текущий ремонт общего имущества</t>
  </si>
  <si>
    <t>Мусоропровод</t>
  </si>
  <si>
    <t>Лифт</t>
  </si>
  <si>
    <t>итого</t>
  </si>
  <si>
    <t xml:space="preserve">Процент оплаты за год </t>
  </si>
  <si>
    <t>Процент оплаты за год  с учетом дебит. задолженности</t>
  </si>
  <si>
    <t>Задолженность на конец года, в месяцах</t>
  </si>
  <si>
    <t xml:space="preserve"> НЕЖИЛЫЕ</t>
  </si>
  <si>
    <t>начислено за 2008г.</t>
  </si>
  <si>
    <t>ВСЕГО ДОХОДОВ ЗА 2008 ГОД                                                   по содержанию , текущему  ремонту и лифту</t>
  </si>
  <si>
    <t>по начислениям</t>
  </si>
  <si>
    <t>по факту</t>
  </si>
  <si>
    <t>РАСХОДЫ</t>
  </si>
  <si>
    <t>Исполнение сметы расходов за 2008 г.</t>
  </si>
  <si>
    <t>Статья расходов</t>
  </si>
  <si>
    <t>Сумма в год , руб.</t>
  </si>
  <si>
    <t>стоимость 1 м2 в месяц</t>
  </si>
  <si>
    <t>1. Техническое обслуживание и эксплуатация лифтов</t>
  </si>
  <si>
    <t>- заработная плата лифтеров, резерв на отпуск, ЕСН, ФСС-НС</t>
  </si>
  <si>
    <t>- страхование лифтов</t>
  </si>
  <si>
    <t>- техническое освидетельствование лифтов</t>
  </si>
  <si>
    <t>- техническое обслуживание и эксплуатация лифтов</t>
  </si>
  <si>
    <t>-ответственный за лифтовое хозяйство</t>
  </si>
  <si>
    <t>-услуги связи</t>
  </si>
  <si>
    <t>- электроэнергия</t>
  </si>
  <si>
    <t>ИТОГО:</t>
  </si>
  <si>
    <t xml:space="preserve">        2. Содержание, техобслуживание и ремонт общего имущества</t>
  </si>
  <si>
    <t>-удаление мусора, уборка камер, устранение засора</t>
  </si>
  <si>
    <t>0,37</t>
  </si>
  <si>
    <t>-материалы</t>
  </si>
  <si>
    <t>0,05</t>
  </si>
  <si>
    <t>ИТОГО мусоропровод</t>
  </si>
  <si>
    <t>0,42</t>
  </si>
  <si>
    <t>- вывоз ТБО</t>
  </si>
  <si>
    <t>- вывоз крупногабаритных ТБО, снега</t>
  </si>
  <si>
    <t>- сбор за загрязнение окружающей среды</t>
  </si>
  <si>
    <t>- аренда  помещений бухгалтерии и тех. участка</t>
  </si>
  <si>
    <t>- услуги связи, почты</t>
  </si>
  <si>
    <t>- информационные услуги (КонсультантПлюс, услуги паспортного стола)</t>
  </si>
  <si>
    <t>- канцелярские товары</t>
  </si>
  <si>
    <t>- расходные к орг.технике</t>
  </si>
  <si>
    <t>- услуги банка</t>
  </si>
  <si>
    <t>- комиссия за прием денежных средств</t>
  </si>
  <si>
    <t>-уборка придомовой территории</t>
  </si>
  <si>
    <t>-уборка подъездов</t>
  </si>
  <si>
    <t>- заработная плата, резерв на отпуск , налоги</t>
  </si>
  <si>
    <t>- материалы</t>
  </si>
  <si>
    <t>Сумма, руб.</t>
  </si>
  <si>
    <t>-инструмент, хоз. инвентарь</t>
  </si>
  <si>
    <t>ремонт внутридомовых инженерных систем</t>
  </si>
  <si>
    <t>-автотранспортные услуги</t>
  </si>
  <si>
    <t xml:space="preserve">  аварийная служба</t>
  </si>
  <si>
    <t>- экспертиза, поверка, ремонт приборов учета</t>
  </si>
  <si>
    <t>ремонт электрики мест общего пользования</t>
  </si>
  <si>
    <t>-услуги по техническому обслуживанию подстанции</t>
  </si>
  <si>
    <t>-э/э в местах общего пользования</t>
  </si>
  <si>
    <t>-услуги по техническому обслуживанию ТП</t>
  </si>
  <si>
    <t xml:space="preserve"> сопровождение 1С</t>
  </si>
  <si>
    <t>ИТОГО содержание</t>
  </si>
  <si>
    <t>- текущий ремонт общего имущества</t>
  </si>
  <si>
    <t>ИТОГО</t>
  </si>
  <si>
    <t>ВСЕГО РАСХОДОВ ЗА 2008 ГОД</t>
  </si>
  <si>
    <t>руб.</t>
  </si>
  <si>
    <t>задолженность населения на 01.02.2008 г.</t>
  </si>
  <si>
    <t>начислено населению                      за 2008 г.</t>
  </si>
  <si>
    <t>оплачено населением                     за 2008 г.</t>
  </si>
  <si>
    <t>затрачено управляющей компанией за 2008 год</t>
  </si>
  <si>
    <t>задолженность населения на 01.01.2009 г.</t>
  </si>
  <si>
    <t>Содержание общего имущества</t>
  </si>
  <si>
    <t>Итого</t>
  </si>
  <si>
    <t>ремонт</t>
  </si>
  <si>
    <t>112/4</t>
  </si>
  <si>
    <t>по адресу : г. Иркутск,  ул.Партизанская д. 112/4 за 2008 год</t>
  </si>
  <si>
    <t>по адресу : г. Иркутск,  ул.Партизанская д. 112/4 за 2009 год</t>
  </si>
  <si>
    <t>начислено за   2009 г.</t>
  </si>
  <si>
    <t>Задолженность на 01.01.2009</t>
  </si>
  <si>
    <t>оплачено за     2009 г.</t>
  </si>
  <si>
    <t>Задолженность  на 01.01.2010</t>
  </si>
  <si>
    <t>ВСЕГО ДОХОДОВ ЗА 2009 ГОД                                                   по содержанию , текущему  ремонту и лифту</t>
  </si>
  <si>
    <t>Исполнение сметы расходов за 2009 г.</t>
  </si>
  <si>
    <t>начислено населению                      за 2009 г.</t>
  </si>
  <si>
    <t>оплачено населением                     за 2009 г.</t>
  </si>
  <si>
    <t>затрачено управляющей компанией за 2009 год</t>
  </si>
  <si>
    <t>задолженность населения на 01.01.2010 г.</t>
  </si>
  <si>
    <t>по адресу : г. Иркутск,  ул.Партизанская д. 112/4 за 2010 год</t>
  </si>
  <si>
    <t>Задолженность на 01.01.2010</t>
  </si>
  <si>
    <t>начислено за   2010 г.</t>
  </si>
  <si>
    <t>оплачено за     2010 г.</t>
  </si>
  <si>
    <t>Задолженность  на 01.01.2011</t>
  </si>
  <si>
    <t>ВСЕГО ДОХОДОВ ЗА 2010 ГОД                                                   по содержанию , текущему  ремонту и лифту</t>
  </si>
  <si>
    <t>Текущий ремонт общего имущества за 2010 г.</t>
  </si>
  <si>
    <t>ремонт контейнеров</t>
  </si>
  <si>
    <t>ремонт подъезда</t>
  </si>
  <si>
    <t>ремонт наружного освещения</t>
  </si>
  <si>
    <t>благоустройство</t>
  </si>
  <si>
    <t>ремонт дорожного покрытия</t>
  </si>
  <si>
    <t>ремонт кровли</t>
  </si>
  <si>
    <t>Исполнение сметы расходов за 2010 г.</t>
  </si>
  <si>
    <t xml:space="preserve"> начислено населению</t>
  </si>
  <si>
    <t>затрачено упр. компанией</t>
  </si>
  <si>
    <t>остаток</t>
  </si>
  <si>
    <t>оплачено населением</t>
  </si>
  <si>
    <t>начислено населению                      за 2010 г.</t>
  </si>
  <si>
    <t>оплачено населением                     за 2010 г.</t>
  </si>
  <si>
    <t>затрачено управляющей компанией за 2010 год</t>
  </si>
  <si>
    <t>задолженность населения на 01.01.2011 г.</t>
  </si>
  <si>
    <t>ВСЕГО РАСХОДОВ ЗА 2009 ГОД</t>
  </si>
  <si>
    <t>ВСЕГО РАСХОДОВ ЗА 2010 ГОД</t>
  </si>
  <si>
    <t>налог усн</t>
  </si>
  <si>
    <t>Комплект автоматики</t>
  </si>
  <si>
    <t>ограждение</t>
  </si>
  <si>
    <t xml:space="preserve">ремонт </t>
  </si>
  <si>
    <t>Задолженность на 01.01.2011</t>
  </si>
  <si>
    <t>начислено за     11 мес. 2011 г.</t>
  </si>
  <si>
    <t>оплачено за        11 мес. 2011 г.</t>
  </si>
  <si>
    <t>Задолженность  на 01.12.2011</t>
  </si>
  <si>
    <t>ВСЕГО ДОХОДОВ ЗА 11 месяцев 2011 ГОДА                                                   по содержанию , текущему  ремонту и лифту</t>
  </si>
  <si>
    <t>Исполнение сметы расходов за 11 месяцев 2011 года</t>
  </si>
  <si>
    <t>Сумма за 11 месяцев 2011 г., руб.</t>
  </si>
  <si>
    <t>Текущий ремонт общего имущества за 2011 г.</t>
  </si>
  <si>
    <t>-услуги по техническому обслуживанию   ИТП</t>
  </si>
  <si>
    <t>аварийная служба</t>
  </si>
  <si>
    <t>-автотр. услуги</t>
  </si>
  <si>
    <t>- сопровождение 1С</t>
  </si>
  <si>
    <t>-налог УСН</t>
  </si>
  <si>
    <t>- заработная плата, резерв на отпуск, ЕСН, ФСС</t>
  </si>
  <si>
    <t xml:space="preserve">итого </t>
  </si>
  <si>
    <t xml:space="preserve">оплачено за рекламу </t>
  </si>
  <si>
    <t>вознаграждение УК</t>
  </si>
  <si>
    <t>итого за рекламу</t>
  </si>
  <si>
    <t>ВСЕГО РАСХОДОВ ЗА 11 месяцев 2011 ГОДА</t>
  </si>
  <si>
    <t>всего  за тек. ремонт с учетом поступлений за рекламу</t>
  </si>
  <si>
    <t>начислено населению                      за 11 мес. 2011 г.</t>
  </si>
  <si>
    <t>оплачено населением                     за 11 мес. 2011 г.</t>
  </si>
  <si>
    <t>затрачено управляющей компанией за       11 мес. 2011 г.</t>
  </si>
  <si>
    <t>задолженность населения на 01.12.2011 г.</t>
  </si>
  <si>
    <t>по адресу : г. Иркутск,  ул.Партизанская д. 112/4 за 11 месяцев 2011 года</t>
  </si>
  <si>
    <t>монтаж приборов учета в ВРУ</t>
  </si>
  <si>
    <t>оплачено за рекламу 2009-2010 гг.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</si>
</sst>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4" fontId="0" fillId="0" borderId="1" xfId="0" applyNumberFormat="1" applyFont="1" applyBorder="1"/>
    <xf numFmtId="4" fontId="0" fillId="0" borderId="1" xfId="0" applyNumberFormat="1" applyBorder="1"/>
    <xf numFmtId="4" fontId="0" fillId="0" borderId="1" xfId="0" applyNumberFormat="1" applyFont="1" applyFill="1" applyBorder="1"/>
    <xf numFmtId="4" fontId="1" fillId="0" borderId="1" xfId="0" applyNumberFormat="1" applyFont="1" applyBorder="1"/>
    <xf numFmtId="4" fontId="0" fillId="0" borderId="0" xfId="0" applyNumberFormat="1"/>
    <xf numFmtId="4" fontId="0" fillId="0" borderId="2" xfId="0" applyNumberFormat="1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4" fontId="0" fillId="0" borderId="1" xfId="0" applyNumberFormat="1" applyFill="1" applyBorder="1"/>
    <xf numFmtId="4" fontId="1" fillId="0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4" fontId="1" fillId="0" borderId="0" xfId="0" applyNumberFormat="1" applyFont="1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>
      <alignment horizontal="center" wrapText="1"/>
    </xf>
    <xf numFmtId="0" fontId="2" fillId="0" borderId="0" xfId="0" applyFont="1"/>
    <xf numFmtId="49" fontId="0" fillId="0" borderId="1" xfId="0" applyNumberFormat="1" applyBorder="1" applyAlignment="1">
      <alignment wrapText="1"/>
    </xf>
    <xf numFmtId="0" fontId="2" fillId="2" borderId="0" xfId="0" applyFont="1" applyFill="1"/>
    <xf numFmtId="49" fontId="0" fillId="0" borderId="1" xfId="0" applyNumberFormat="1" applyBorder="1"/>
    <xf numFmtId="4" fontId="2" fillId="0" borderId="0" xfId="0" applyNumberFormat="1" applyFont="1"/>
    <xf numFmtId="49" fontId="5" fillId="0" borderId="1" xfId="0" applyNumberFormat="1" applyFont="1" applyBorder="1"/>
    <xf numFmtId="4" fontId="5" fillId="0" borderId="1" xfId="0" applyNumberFormat="1" applyFont="1" applyBorder="1"/>
    <xf numFmtId="49" fontId="6" fillId="0" borderId="1" xfId="0" applyNumberFormat="1" applyFont="1" applyBorder="1" applyAlignment="1">
      <alignment wrapText="1"/>
    </xf>
    <xf numFmtId="4" fontId="0" fillId="2" borderId="1" xfId="0" applyNumberFormat="1" applyFill="1" applyBorder="1"/>
    <xf numFmtId="49" fontId="6" fillId="0" borderId="7" xfId="0" applyNumberFormat="1" applyFont="1" applyBorder="1" applyAlignment="1">
      <alignment horizontal="right" vertical="center" wrapText="1"/>
    </xf>
    <xf numFmtId="49" fontId="5" fillId="0" borderId="5" xfId="0" applyNumberFormat="1" applyFont="1" applyBorder="1" applyAlignment="1">
      <alignment wrapText="1"/>
    </xf>
    <xf numFmtId="49" fontId="5" fillId="0" borderId="7" xfId="0" applyNumberFormat="1" applyFont="1" applyBorder="1" applyAlignment="1">
      <alignment horizontal="right" wrapText="1"/>
    </xf>
    <xf numFmtId="49" fontId="0" fillId="2" borderId="1" xfId="0" applyNumberFormat="1" applyFill="1" applyBorder="1"/>
    <xf numFmtId="49" fontId="0" fillId="2" borderId="1" xfId="0" applyNumberFormat="1" applyFill="1" applyBorder="1" applyAlignment="1">
      <alignment wrapText="1"/>
    </xf>
    <xf numFmtId="0" fontId="0" fillId="0" borderId="5" xfId="0" applyBorder="1" applyAlignment="1">
      <alignment vertical="center"/>
    </xf>
    <xf numFmtId="0" fontId="0" fillId="2" borderId="1" xfId="0" applyFill="1" applyBorder="1"/>
    <xf numFmtId="0" fontId="0" fillId="0" borderId="1" xfId="0" applyBorder="1" applyAlignment="1">
      <alignment horizontal="left" wrapText="1"/>
    </xf>
    <xf numFmtId="4" fontId="0" fillId="0" borderId="7" xfId="0" applyNumberFormat="1" applyBorder="1" applyAlignment="1">
      <alignment wrapText="1"/>
    </xf>
    <xf numFmtId="0" fontId="0" fillId="0" borderId="5" xfId="0" applyBorder="1" applyAlignment="1">
      <alignment horizontal="left" wrapText="1"/>
    </xf>
    <xf numFmtId="4" fontId="1" fillId="2" borderId="1" xfId="0" applyNumberFormat="1" applyFont="1" applyFill="1" applyBorder="1"/>
    <xf numFmtId="0" fontId="0" fillId="0" borderId="5" xfId="0" applyBorder="1" applyAlignment="1"/>
    <xf numFmtId="0" fontId="0" fillId="0" borderId="7" xfId="0" applyBorder="1" applyAlignment="1"/>
    <xf numFmtId="0" fontId="1" fillId="0" borderId="5" xfId="0" applyFont="1" applyBorder="1" applyAlignment="1">
      <alignment wrapText="1"/>
    </xf>
    <xf numFmtId="4" fontId="1" fillId="0" borderId="7" xfId="0" applyNumberFormat="1" applyFont="1" applyBorder="1" applyAlignment="1">
      <alignment wrapText="1"/>
    </xf>
    <xf numFmtId="49" fontId="5" fillId="2" borderId="0" xfId="0" applyNumberFormat="1" applyFont="1" applyFill="1" applyBorder="1"/>
    <xf numFmtId="4" fontId="1" fillId="2" borderId="0" xfId="0" applyNumberFormat="1" applyFont="1" applyFill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 applyAlignment="1">
      <alignment wrapText="1"/>
    </xf>
    <xf numFmtId="4" fontId="0" fillId="0" borderId="0" xfId="0" applyNumberFormat="1" applyBorder="1"/>
    <xf numFmtId="0" fontId="0" fillId="0" borderId="0" xfId="0" applyBorder="1"/>
    <xf numFmtId="49" fontId="5" fillId="2" borderId="1" xfId="0" applyNumberFormat="1" applyFont="1" applyFill="1" applyBorder="1"/>
    <xf numFmtId="0" fontId="1" fillId="0" borderId="1" xfId="0" applyFont="1" applyBorder="1" applyAlignment="1">
      <alignment wrapText="1"/>
    </xf>
    <xf numFmtId="4" fontId="0" fillId="2" borderId="1" xfId="0" applyNumberFormat="1" applyFont="1" applyFill="1" applyBorder="1"/>
    <xf numFmtId="49" fontId="0" fillId="0" borderId="0" xfId="0" applyNumberFormat="1" applyBorder="1" applyAlignment="1">
      <alignment wrapText="1"/>
    </xf>
    <xf numFmtId="2" fontId="0" fillId="0" borderId="1" xfId="0" applyNumberFormat="1" applyBorder="1"/>
    <xf numFmtId="4" fontId="0" fillId="0" borderId="3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/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4" fontId="0" fillId="0" borderId="3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9" fontId="0" fillId="0" borderId="5" xfId="0" applyNumberFormat="1" applyBorder="1"/>
    <xf numFmtId="49" fontId="0" fillId="0" borderId="5" xfId="0" applyNumberFormat="1" applyBorder="1" applyAlignment="1">
      <alignment wrapText="1"/>
    </xf>
    <xf numFmtId="0" fontId="1" fillId="0" borderId="5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right"/>
    </xf>
    <xf numFmtId="4" fontId="1" fillId="2" borderId="5" xfId="0" applyNumberFormat="1" applyFont="1" applyFill="1" applyBorder="1"/>
    <xf numFmtId="0" fontId="0" fillId="0" borderId="5" xfId="0" applyBorder="1"/>
    <xf numFmtId="49" fontId="1" fillId="0" borderId="0" xfId="0" applyNumberFormat="1" applyFont="1" applyBorder="1" applyAlignment="1">
      <alignment wrapText="1"/>
    </xf>
    <xf numFmtId="3" fontId="1" fillId="0" borderId="0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4" fontId="0" fillId="0" borderId="0" xfId="0" applyNumberFormat="1" applyFont="1" applyBorder="1"/>
    <xf numFmtId="0" fontId="0" fillId="0" borderId="5" xfId="0" applyBorder="1" applyAlignment="1">
      <alignment horizontal="left"/>
    </xf>
    <xf numFmtId="2" fontId="0" fillId="0" borderId="3" xfId="0" applyNumberFormat="1" applyBorder="1" applyAlignment="1">
      <alignment horizontal="left" wrapText="1"/>
    </xf>
    <xf numFmtId="2" fontId="0" fillId="0" borderId="2" xfId="0" applyNumberFormat="1" applyBorder="1" applyAlignment="1">
      <alignment horizontal="left" wrapText="1"/>
    </xf>
    <xf numFmtId="2" fontId="0" fillId="0" borderId="4" xfId="0" applyNumberFormat="1" applyBorder="1" applyAlignment="1">
      <alignment horizontal="left" wrapText="1"/>
    </xf>
    <xf numFmtId="4" fontId="0" fillId="0" borderId="10" xfId="0" applyNumberFormat="1" applyBorder="1" applyAlignment="1"/>
    <xf numFmtId="4" fontId="0" fillId="0" borderId="11" xfId="0" applyNumberFormat="1" applyBorder="1" applyAlignment="1"/>
    <xf numFmtId="4" fontId="0" fillId="0" borderId="12" xfId="0" applyNumberFormat="1" applyBorder="1" applyAlignment="1"/>
    <xf numFmtId="0" fontId="4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4" fontId="0" fillId="0" borderId="3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4" xfId="0" applyNumberFormat="1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49" fontId="5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84;&#1077;&#1085;&#1085;&#1080;&#1082;/&#1052;&#1072;&#1085;&#1090;&#1072;&#1090;&#1086;&#1074;&#1072;/&#1079;&#1077;&#1086;&#1085;%2011%20&#1084;&#1077;&#1089;/&#1092;&#1080;&#1085;&#1087;&#1083;&#1072;&#1085;%20&#1085;&#1072;%202010%20&#1075;&#1086;&#10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F 2008"/>
      <sheetName val="CF 2011"/>
      <sheetName val="ДиК  2011"/>
      <sheetName val="CF 2010"/>
      <sheetName val="ДиК"/>
      <sheetName val="тариф на 2010"/>
      <sheetName val="исполнение"/>
      <sheetName val="112-3"/>
      <sheetName val="202-1"/>
      <sheetName val="202-2"/>
      <sheetName val="202-3"/>
      <sheetName val="202-4"/>
      <sheetName val="202-5"/>
      <sheetName val="202-6"/>
      <sheetName val="202-7"/>
      <sheetName val="202-8"/>
      <sheetName val="202-9"/>
      <sheetName val="202-10"/>
      <sheetName val="202-11"/>
      <sheetName val="202-12"/>
      <sheetName val="202-13"/>
      <sheetName val="202-14"/>
      <sheetName val="202-20"/>
      <sheetName val="216-2"/>
      <sheetName val="216-3"/>
      <sheetName val="216-4"/>
      <sheetName val="216-5"/>
      <sheetName val="107-1"/>
      <sheetName val="107-2"/>
      <sheetName val="107-3"/>
      <sheetName val="107-4"/>
      <sheetName val="107-5"/>
      <sheetName val="107-6"/>
      <sheetName val="112-1"/>
      <sheetName val="112-2"/>
      <sheetName val="112-3-1"/>
      <sheetName val="112-4"/>
      <sheetName val="126"/>
      <sheetName val="128"/>
      <sheetName val="зеон-4"/>
      <sheetName val="кальк. чайка"/>
      <sheetName val="Лист1"/>
      <sheetName val="107-3 за 2011 5 мес"/>
      <sheetName val="исполнение тек. ремонт"/>
      <sheetName val="исполнение 2008"/>
      <sheetName val="исполнение 2010"/>
      <sheetName val="кальк"/>
      <sheetName val="зол. век"/>
      <sheetName val="Лист4"/>
      <sheetName val="исполнение 2011 зеон за 11 ме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7">
          <cell r="K17">
            <v>24336.73</v>
          </cell>
        </row>
        <row r="18">
          <cell r="K18">
            <v>500</v>
          </cell>
        </row>
        <row r="19">
          <cell r="K19">
            <v>4000</v>
          </cell>
        </row>
        <row r="20">
          <cell r="K20">
            <v>25310.66</v>
          </cell>
        </row>
        <row r="21">
          <cell r="K21">
            <v>4500</v>
          </cell>
        </row>
        <row r="22">
          <cell r="K22">
            <v>300</v>
          </cell>
        </row>
        <row r="23">
          <cell r="K23">
            <v>7440</v>
          </cell>
        </row>
        <row r="28">
          <cell r="K28">
            <v>28006.878725471306</v>
          </cell>
        </row>
        <row r="29">
          <cell r="K29">
            <v>3086.1187912015566</v>
          </cell>
        </row>
        <row r="30">
          <cell r="K30">
            <v>0</v>
          </cell>
        </row>
        <row r="31">
          <cell r="K31">
            <v>2754.8342250000001</v>
          </cell>
        </row>
        <row r="32">
          <cell r="K32">
            <v>1838.2374219999999</v>
          </cell>
        </row>
        <row r="33">
          <cell r="K33">
            <v>3013.8974392498576</v>
          </cell>
        </row>
        <row r="34">
          <cell r="K34">
            <v>870.6017827526066</v>
          </cell>
        </row>
        <row r="35">
          <cell r="K35">
            <v>563.70917625879667</v>
          </cell>
        </row>
        <row r="36">
          <cell r="K36">
            <v>1202.4574518734601</v>
          </cell>
        </row>
        <row r="37">
          <cell r="K37">
            <v>14357.13466793895</v>
          </cell>
        </row>
        <row r="38">
          <cell r="K38">
            <v>29210.114358722731</v>
          </cell>
        </row>
        <row r="39">
          <cell r="K39">
            <v>27764</v>
          </cell>
        </row>
        <row r="40">
          <cell r="K40">
            <v>24443.07</v>
          </cell>
        </row>
        <row r="41">
          <cell r="K41">
            <v>6354.9324481671993</v>
          </cell>
        </row>
        <row r="42">
          <cell r="K42">
            <v>1851.6712747209338</v>
          </cell>
        </row>
        <row r="43">
          <cell r="K43">
            <v>9258.356373604669</v>
          </cell>
        </row>
        <row r="44">
          <cell r="K44">
            <v>11222.25014982384</v>
          </cell>
        </row>
        <row r="45">
          <cell r="K45">
            <v>10274.439999999999</v>
          </cell>
        </row>
        <row r="46">
          <cell r="K46">
            <v>686.24059666172798</v>
          </cell>
        </row>
        <row r="47">
          <cell r="K47">
            <v>665.47943388455371</v>
          </cell>
        </row>
        <row r="48">
          <cell r="K48">
            <v>7178.5673339694749</v>
          </cell>
        </row>
        <row r="49">
          <cell r="K49">
            <v>73799.174348698347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94"/>
  <sheetViews>
    <sheetView topLeftCell="A73" workbookViewId="0">
      <selection activeCell="A43" sqref="A43:F91"/>
    </sheetView>
  </sheetViews>
  <sheetFormatPr defaultRowHeight="15"/>
  <cols>
    <col min="1" max="1" width="44.28515625" customWidth="1"/>
    <col min="2" max="2" width="17.42578125" customWidth="1"/>
    <col min="3" max="3" width="16.5703125" customWidth="1"/>
    <col min="4" max="4" width="16.7109375" customWidth="1"/>
    <col min="5" max="5" width="16.85546875" customWidth="1"/>
    <col min="6" max="6" width="17" customWidth="1"/>
    <col min="8" max="8" width="11.28515625" customWidth="1"/>
  </cols>
  <sheetData>
    <row r="4" spans="1:5" ht="18.75">
      <c r="A4" s="91" t="s">
        <v>0</v>
      </c>
      <c r="B4" s="91"/>
      <c r="C4" s="91"/>
      <c r="D4" s="91"/>
      <c r="E4" s="91"/>
    </row>
    <row r="5" spans="1:5" ht="18.75">
      <c r="A5" s="91" t="s">
        <v>1</v>
      </c>
      <c r="B5" s="91"/>
      <c r="C5" s="91"/>
      <c r="D5" s="91"/>
      <c r="E5" s="91"/>
    </row>
    <row r="6" spans="1:5" ht="18.75">
      <c r="A6" s="91" t="s">
        <v>87</v>
      </c>
      <c r="B6" s="91"/>
      <c r="C6" s="91"/>
      <c r="D6" s="91"/>
      <c r="E6" s="91"/>
    </row>
    <row r="8" spans="1:5" ht="18.75">
      <c r="A8" s="1"/>
      <c r="B8" s="2" t="s">
        <v>86</v>
      </c>
    </row>
    <row r="9" spans="1:5">
      <c r="A9" s="3" t="s">
        <v>2</v>
      </c>
      <c r="B9" s="59">
        <v>1780.3</v>
      </c>
    </row>
    <row r="10" spans="1:5">
      <c r="A10" s="4" t="s">
        <v>3</v>
      </c>
      <c r="B10" s="3">
        <v>554.79999999999995</v>
      </c>
    </row>
    <row r="11" spans="1:5">
      <c r="A11" s="3" t="s">
        <v>4</v>
      </c>
      <c r="B11" s="3">
        <v>9</v>
      </c>
    </row>
    <row r="12" spans="1:5">
      <c r="A12" s="3" t="s">
        <v>5</v>
      </c>
      <c r="B12" s="3">
        <v>1</v>
      </c>
    </row>
    <row r="13" spans="1:5">
      <c r="A13" s="3" t="s">
        <v>6</v>
      </c>
      <c r="B13" s="3">
        <v>27</v>
      </c>
    </row>
    <row r="15" spans="1:5" ht="18.75">
      <c r="A15" s="105" t="s">
        <v>7</v>
      </c>
      <c r="B15" s="106"/>
      <c r="C15" s="106"/>
      <c r="D15" s="106"/>
      <c r="E15" s="106"/>
    </row>
    <row r="17" spans="1:6">
      <c r="A17" s="5" t="s">
        <v>8</v>
      </c>
      <c r="B17" s="5"/>
    </row>
    <row r="18" spans="1:6" ht="30">
      <c r="A18" s="6" t="s">
        <v>9</v>
      </c>
      <c r="B18" s="7" t="s">
        <v>10</v>
      </c>
      <c r="C18" s="7" t="s">
        <v>11</v>
      </c>
      <c r="D18" s="7" t="s">
        <v>12</v>
      </c>
      <c r="E18" s="8" t="s">
        <v>13</v>
      </c>
    </row>
    <row r="19" spans="1:6">
      <c r="A19" s="3" t="s">
        <v>14</v>
      </c>
      <c r="B19" s="9"/>
      <c r="C19" s="10">
        <f>B9*8*11</f>
        <v>156666.4</v>
      </c>
      <c r="D19" s="9">
        <v>140999.4</v>
      </c>
      <c r="E19" s="11">
        <f>C19-D19</f>
        <v>15667</v>
      </c>
    </row>
    <row r="20" spans="1:6">
      <c r="A20" s="3" t="s">
        <v>15</v>
      </c>
      <c r="B20" s="9"/>
      <c r="C20" s="10">
        <f>B9*2.94*11</f>
        <v>57574.901999999995</v>
      </c>
      <c r="D20" s="9">
        <v>32911.040000000001</v>
      </c>
      <c r="E20" s="11">
        <f t="shared" ref="E20:E22" si="0">C20-D20</f>
        <v>24663.861999999994</v>
      </c>
    </row>
    <row r="21" spans="1:6">
      <c r="A21" s="3" t="s">
        <v>16</v>
      </c>
      <c r="B21" s="9"/>
      <c r="C21" s="10">
        <f>B9*0.42*9</f>
        <v>6729.5339999999997</v>
      </c>
      <c r="D21" s="9">
        <v>6056.57</v>
      </c>
      <c r="E21" s="11">
        <f t="shared" si="0"/>
        <v>672.96399999999994</v>
      </c>
    </row>
    <row r="22" spans="1:6">
      <c r="A22" s="3" t="s">
        <v>17</v>
      </c>
      <c r="B22" s="9"/>
      <c r="C22" s="10">
        <f>1780.3*3.18*9</f>
        <v>50952.186000000002</v>
      </c>
      <c r="D22" s="9">
        <v>45946.55</v>
      </c>
      <c r="E22" s="11">
        <f t="shared" si="0"/>
        <v>5005.6359999999986</v>
      </c>
    </row>
    <row r="23" spans="1:6">
      <c r="A23" s="6" t="s">
        <v>18</v>
      </c>
      <c r="B23" s="12">
        <v>0</v>
      </c>
      <c r="C23" s="12">
        <f>SUM(C19:C22)</f>
        <v>271923.022</v>
      </c>
      <c r="D23" s="12">
        <f t="shared" ref="D23" si="1">C23-E23</f>
        <v>225913.56</v>
      </c>
      <c r="E23" s="12">
        <f>SUM(E19:E22)</f>
        <v>46009.461999999992</v>
      </c>
      <c r="F23" s="13">
        <f>C23-D23</f>
        <v>46009.462</v>
      </c>
    </row>
    <row r="24" spans="1:6">
      <c r="C24" s="14"/>
    </row>
    <row r="25" spans="1:6">
      <c r="A25" s="5" t="s">
        <v>19</v>
      </c>
      <c r="B25" s="5"/>
      <c r="C25" s="15">
        <f>D23/C23*100</f>
        <v>83.079968124214204</v>
      </c>
    </row>
    <row r="26" spans="1:6">
      <c r="A26" s="5" t="s">
        <v>20</v>
      </c>
      <c r="B26" s="5"/>
      <c r="C26" s="15">
        <f>D23/(C23+B23)*100</f>
        <v>83.079968124214204</v>
      </c>
    </row>
    <row r="27" spans="1:6">
      <c r="A27" s="16" t="s">
        <v>21</v>
      </c>
      <c r="C27" s="15">
        <f>E23/(C23/11)</f>
        <v>1.8612035063364363</v>
      </c>
    </row>
    <row r="28" spans="1:6">
      <c r="A28" s="16"/>
      <c r="C28" s="15"/>
    </row>
    <row r="29" spans="1:6">
      <c r="A29" s="16"/>
      <c r="C29" s="15"/>
    </row>
    <row r="30" spans="1:6">
      <c r="A30" s="5" t="s">
        <v>22</v>
      </c>
      <c r="B30" s="5"/>
    </row>
    <row r="31" spans="1:6" ht="30">
      <c r="A31" s="6" t="s">
        <v>9</v>
      </c>
      <c r="B31" s="7" t="s">
        <v>10</v>
      </c>
      <c r="C31" s="7" t="s">
        <v>23</v>
      </c>
      <c r="D31" s="7" t="s">
        <v>12</v>
      </c>
      <c r="E31" s="8" t="s">
        <v>13</v>
      </c>
    </row>
    <row r="32" spans="1:6">
      <c r="A32" s="3" t="s">
        <v>14</v>
      </c>
      <c r="B32" s="9"/>
      <c r="C32" s="10">
        <f>B10*8*11</f>
        <v>48822.399999999994</v>
      </c>
      <c r="D32" s="9">
        <v>33544.18</v>
      </c>
      <c r="E32" s="17">
        <f>C32-D32</f>
        <v>15278.219999999994</v>
      </c>
    </row>
    <row r="33" spans="1:6">
      <c r="A33" s="3" t="s">
        <v>15</v>
      </c>
      <c r="B33" s="9"/>
      <c r="C33" s="10">
        <f>B10*11*2.94</f>
        <v>17942.231999999996</v>
      </c>
      <c r="D33" s="9">
        <v>5000</v>
      </c>
      <c r="E33" s="11">
        <f>C33-D33</f>
        <v>12942.231999999996</v>
      </c>
    </row>
    <row r="34" spans="1:6">
      <c r="A34" s="6" t="s">
        <v>18</v>
      </c>
      <c r="B34" s="12">
        <v>0</v>
      </c>
      <c r="C34" s="12">
        <f>SUM(C32:C33)</f>
        <v>66764.631999999983</v>
      </c>
      <c r="D34" s="12">
        <f t="shared" ref="D34" si="2">C34-E34</f>
        <v>38544.179999999993</v>
      </c>
      <c r="E34" s="12">
        <f>SUM(E32:E33)</f>
        <v>28220.45199999999</v>
      </c>
      <c r="F34" s="13">
        <f>C34-D34</f>
        <v>28220.45199999999</v>
      </c>
    </row>
    <row r="35" spans="1:6">
      <c r="C35" s="14"/>
      <c r="E35" s="13"/>
    </row>
    <row r="36" spans="1:6">
      <c r="A36" s="5" t="s">
        <v>19</v>
      </c>
      <c r="B36" s="5"/>
      <c r="C36" s="15">
        <f>D34/C34*100</f>
        <v>57.731434811173678</v>
      </c>
    </row>
    <row r="37" spans="1:6">
      <c r="A37" s="5" t="s">
        <v>20</v>
      </c>
      <c r="B37" s="5"/>
      <c r="C37" s="15">
        <f>D34/(C34+B34)*100</f>
        <v>57.731434811173678</v>
      </c>
    </row>
    <row r="38" spans="1:6">
      <c r="A38" s="16" t="s">
        <v>21</v>
      </c>
      <c r="C38" s="15">
        <f>E34/(C34/11)</f>
        <v>4.6495421707708946</v>
      </c>
    </row>
    <row r="39" spans="1:6">
      <c r="A39" s="16"/>
      <c r="C39" s="15"/>
    </row>
    <row r="40" spans="1:6">
      <c r="A40" s="107" t="s">
        <v>24</v>
      </c>
      <c r="B40" s="109"/>
      <c r="C40" s="18" t="s">
        <v>25</v>
      </c>
      <c r="D40" s="19" t="s">
        <v>26</v>
      </c>
    </row>
    <row r="41" spans="1:6">
      <c r="A41" s="108"/>
      <c r="B41" s="110"/>
      <c r="C41" s="18">
        <f>C20+C21+C32+C33+C19+C22</f>
        <v>338687.65399999998</v>
      </c>
      <c r="D41" s="12">
        <f>D20+D21+D32+D33+D19+D22</f>
        <v>264457.74</v>
      </c>
    </row>
    <row r="42" spans="1:6">
      <c r="A42" s="20"/>
      <c r="B42" s="21"/>
      <c r="C42" s="15"/>
      <c r="D42" s="22"/>
    </row>
    <row r="43" spans="1:6" ht="18.75">
      <c r="A43" s="90" t="s">
        <v>27</v>
      </c>
      <c r="B43" s="90"/>
      <c r="C43" s="15"/>
    </row>
    <row r="44" spans="1:6" ht="18.75">
      <c r="A44" s="91" t="s">
        <v>28</v>
      </c>
      <c r="B44" s="91"/>
      <c r="C44" s="15"/>
    </row>
    <row r="45" spans="1:6">
      <c r="A45" s="16"/>
      <c r="C45" s="15"/>
    </row>
    <row r="46" spans="1:6" ht="30">
      <c r="A46" s="23" t="s">
        <v>29</v>
      </c>
      <c r="B46" s="23" t="s">
        <v>30</v>
      </c>
      <c r="C46" s="24" t="s">
        <v>31</v>
      </c>
    </row>
    <row r="47" spans="1:6">
      <c r="A47" s="92" t="s">
        <v>32</v>
      </c>
      <c r="B47" s="93"/>
      <c r="C47" s="94"/>
      <c r="F47" s="25"/>
    </row>
    <row r="48" spans="1:6" ht="30">
      <c r="A48" s="26" t="s">
        <v>33</v>
      </c>
      <c r="B48" s="10">
        <v>25564.19</v>
      </c>
      <c r="C48" s="11">
        <f>B48/E48/9</f>
        <v>1.595498261841013</v>
      </c>
      <c r="E48" s="27">
        <v>1780.3</v>
      </c>
      <c r="F48" s="25"/>
    </row>
    <row r="49" spans="1:6">
      <c r="A49" s="28" t="s">
        <v>34</v>
      </c>
      <c r="B49" s="10">
        <v>400</v>
      </c>
      <c r="C49" s="11">
        <f t="shared" ref="C49:C54" si="3">B49/E49/9</f>
        <v>2.496458149999688E-2</v>
      </c>
      <c r="E49" s="27">
        <v>1780.3</v>
      </c>
      <c r="F49" s="25"/>
    </row>
    <row r="50" spans="1:6">
      <c r="A50" s="28" t="s">
        <v>35</v>
      </c>
      <c r="B50" s="10">
        <v>528</v>
      </c>
      <c r="C50" s="11">
        <f t="shared" si="3"/>
        <v>3.2953247579995876E-2</v>
      </c>
      <c r="E50" s="27">
        <v>1780.3</v>
      </c>
      <c r="F50" s="25"/>
    </row>
    <row r="51" spans="1:6" ht="30">
      <c r="A51" s="26" t="s">
        <v>36</v>
      </c>
      <c r="B51" s="10">
        <v>16200</v>
      </c>
      <c r="C51" s="11">
        <f t="shared" si="3"/>
        <v>1.0110655507498736</v>
      </c>
      <c r="E51" s="27">
        <v>1780.3</v>
      </c>
      <c r="F51" s="29">
        <f>C22</f>
        <v>50952.186000000002</v>
      </c>
    </row>
    <row r="52" spans="1:6">
      <c r="A52" s="26" t="s">
        <v>37</v>
      </c>
      <c r="B52" s="10">
        <v>2000</v>
      </c>
      <c r="C52" s="11">
        <f t="shared" si="3"/>
        <v>0.12482290749998441</v>
      </c>
      <c r="E52" s="27">
        <v>1780.3</v>
      </c>
      <c r="F52" s="25"/>
    </row>
    <row r="53" spans="1:6">
      <c r="A53" s="28" t="s">
        <v>38</v>
      </c>
      <c r="B53" s="10">
        <v>500</v>
      </c>
      <c r="C53" s="11">
        <f t="shared" si="3"/>
        <v>3.1205726874996103E-2</v>
      </c>
      <c r="E53" s="27">
        <v>1780.3</v>
      </c>
      <c r="F53" s="25"/>
    </row>
    <row r="54" spans="1:6">
      <c r="A54" s="28" t="s">
        <v>39</v>
      </c>
      <c r="B54" s="10">
        <v>5760</v>
      </c>
      <c r="C54" s="11">
        <f t="shared" si="3"/>
        <v>0.35948997359995505</v>
      </c>
      <c r="E54" s="27">
        <v>1780.3</v>
      </c>
      <c r="F54" s="25"/>
    </row>
    <row r="55" spans="1:6">
      <c r="A55" s="30" t="s">
        <v>40</v>
      </c>
      <c r="B55" s="31">
        <f>SUM(B48:B54)</f>
        <v>50952.19</v>
      </c>
      <c r="C55" s="31">
        <v>3.18</v>
      </c>
      <c r="E55" s="27">
        <v>3538.9</v>
      </c>
      <c r="F55" s="25"/>
    </row>
    <row r="56" spans="1:6">
      <c r="A56" s="95" t="s">
        <v>41</v>
      </c>
      <c r="B56" s="96"/>
      <c r="C56" s="96"/>
      <c r="D56" s="13"/>
      <c r="F56" s="25"/>
    </row>
    <row r="57" spans="1:6" ht="30">
      <c r="A57" s="32" t="s">
        <v>42</v>
      </c>
      <c r="B57" s="33">
        <f>C57*E57*9</f>
        <v>5928.3990000000003</v>
      </c>
      <c r="C57" s="34" t="s">
        <v>43</v>
      </c>
      <c r="D57" s="29"/>
      <c r="E57" s="25">
        <v>1780.3</v>
      </c>
      <c r="F57" s="25"/>
    </row>
    <row r="58" spans="1:6">
      <c r="A58" s="32" t="s">
        <v>44</v>
      </c>
      <c r="B58" s="33">
        <f>C58*E58*9</f>
        <v>801.13499999999999</v>
      </c>
      <c r="C58" s="34" t="s">
        <v>45</v>
      </c>
      <c r="D58" s="29"/>
      <c r="E58" s="25">
        <v>1780.3</v>
      </c>
      <c r="F58" s="25"/>
    </row>
    <row r="59" spans="1:6">
      <c r="A59" s="35" t="s">
        <v>46</v>
      </c>
      <c r="B59" s="31">
        <f>B57+B58</f>
        <v>6729.5340000000006</v>
      </c>
      <c r="C59" s="36" t="s">
        <v>47</v>
      </c>
      <c r="D59" s="29"/>
      <c r="E59" s="25"/>
      <c r="F59" s="25"/>
    </row>
    <row r="60" spans="1:6">
      <c r="A60" s="37" t="s">
        <v>48</v>
      </c>
      <c r="B60" s="33">
        <v>20548.849999999999</v>
      </c>
      <c r="C60" s="33">
        <f>B60/11/2335.1</f>
        <v>0.79999883205313382</v>
      </c>
      <c r="D60" s="29"/>
      <c r="E60" s="29"/>
      <c r="F60" s="25">
        <v>0.8</v>
      </c>
    </row>
    <row r="61" spans="1:6">
      <c r="A61" s="37" t="s">
        <v>49</v>
      </c>
      <c r="B61" s="33">
        <v>1827.3</v>
      </c>
      <c r="C61" s="33">
        <f t="shared" ref="C61:C81" si="4">B61/11/2335.1</f>
        <v>7.1139643620479559E-2</v>
      </c>
      <c r="D61" s="25"/>
      <c r="E61" s="29">
        <v>5</v>
      </c>
      <c r="F61" s="25">
        <v>2226.6999999999998</v>
      </c>
    </row>
    <row r="62" spans="1:6">
      <c r="A62" s="37" t="s">
        <v>50</v>
      </c>
      <c r="B62" s="33">
        <v>1240.43</v>
      </c>
      <c r="C62" s="33">
        <f t="shared" si="4"/>
        <v>4.8291877708176799E-2</v>
      </c>
      <c r="D62" s="29"/>
      <c r="E62" s="25"/>
      <c r="F62" s="25">
        <v>2226.6999999999998</v>
      </c>
    </row>
    <row r="63" spans="1:6" ht="30">
      <c r="A63" s="38" t="s">
        <v>51</v>
      </c>
      <c r="B63" s="33">
        <v>2728.4</v>
      </c>
      <c r="C63" s="33">
        <f t="shared" si="4"/>
        <v>0.10622087432502404</v>
      </c>
      <c r="D63" s="25"/>
      <c r="E63" s="25"/>
      <c r="F63" s="25">
        <v>2226.6999999999998</v>
      </c>
    </row>
    <row r="64" spans="1:6">
      <c r="A64" s="37" t="s">
        <v>52</v>
      </c>
      <c r="B64" s="33">
        <v>1825.16</v>
      </c>
      <c r="C64" s="33">
        <f t="shared" si="4"/>
        <v>7.1056330077357024E-2</v>
      </c>
      <c r="D64" s="25"/>
      <c r="E64" s="25"/>
      <c r="F64" s="25">
        <v>2226.6999999999998</v>
      </c>
    </row>
    <row r="65" spans="1:6" ht="30">
      <c r="A65" s="38" t="s">
        <v>53</v>
      </c>
      <c r="B65" s="33">
        <v>1153.42</v>
      </c>
      <c r="C65" s="33">
        <f t="shared" si="4"/>
        <v>4.4904442480563418E-2</v>
      </c>
      <c r="D65" s="25"/>
      <c r="E65" s="25"/>
      <c r="F65" s="25">
        <v>2226.6999999999998</v>
      </c>
    </row>
    <row r="66" spans="1:6">
      <c r="A66" s="37" t="s">
        <v>54</v>
      </c>
      <c r="B66" s="33">
        <v>2145.85</v>
      </c>
      <c r="C66" s="33">
        <f t="shared" si="4"/>
        <v>8.3541292761454639E-2</v>
      </c>
      <c r="D66" s="25"/>
      <c r="E66" s="25"/>
      <c r="F66" s="25">
        <v>2226.6999999999998</v>
      </c>
    </row>
    <row r="67" spans="1:6">
      <c r="A67" s="37" t="s">
        <v>55</v>
      </c>
      <c r="B67" s="33">
        <v>1029.5899999999999</v>
      </c>
      <c r="C67" s="33">
        <f t="shared" si="4"/>
        <v>4.0083547132495782E-2</v>
      </c>
      <c r="D67" s="25"/>
      <c r="E67" s="25"/>
      <c r="F67" s="25">
        <v>2226.6999999999998</v>
      </c>
    </row>
    <row r="68" spans="1:6">
      <c r="A68" s="37" t="s">
        <v>56</v>
      </c>
      <c r="B68" s="33">
        <v>1541.2</v>
      </c>
      <c r="C68" s="33">
        <f t="shared" si="4"/>
        <v>6.0001323673115038E-2</v>
      </c>
      <c r="D68" s="25"/>
      <c r="E68" s="25"/>
      <c r="F68" s="25">
        <v>2226.6999999999998</v>
      </c>
    </row>
    <row r="69" spans="1:6">
      <c r="A69" s="37" t="s">
        <v>57</v>
      </c>
      <c r="B69" s="33">
        <v>10005.24</v>
      </c>
      <c r="C69" s="33">
        <f t="shared" si="4"/>
        <v>0.38951962345393032</v>
      </c>
      <c r="F69" s="25">
        <v>2226.6999999999998</v>
      </c>
    </row>
    <row r="70" spans="1:6">
      <c r="A70" s="37" t="s">
        <v>58</v>
      </c>
      <c r="B70" s="33">
        <v>16141.11</v>
      </c>
      <c r="C70" s="33">
        <f t="shared" si="4"/>
        <v>0.62839862805174795</v>
      </c>
      <c r="F70" s="25">
        <v>2226.6999999999998</v>
      </c>
    </row>
    <row r="71" spans="1:6">
      <c r="A71" s="37" t="s">
        <v>59</v>
      </c>
      <c r="B71" s="33">
        <v>21318.45</v>
      </c>
      <c r="C71" s="33">
        <f t="shared" si="4"/>
        <v>0.8299605623274845</v>
      </c>
      <c r="F71" s="25">
        <v>2226.6999999999998</v>
      </c>
    </row>
    <row r="72" spans="1:6">
      <c r="A72" s="38" t="s">
        <v>60</v>
      </c>
      <c r="B72" s="33">
        <v>63819.43</v>
      </c>
      <c r="C72" s="33">
        <f t="shared" si="4"/>
        <v>2.4845901090473062</v>
      </c>
      <c r="D72" s="97"/>
      <c r="E72" s="98"/>
      <c r="F72" s="25">
        <v>2226.6999999999998</v>
      </c>
    </row>
    <row r="73" spans="1:6">
      <c r="A73" s="37" t="s">
        <v>61</v>
      </c>
      <c r="B73" s="33">
        <v>21647.65</v>
      </c>
      <c r="C73" s="33">
        <f t="shared" si="4"/>
        <v>0.84277683260596203</v>
      </c>
      <c r="D73" s="39" t="s">
        <v>29</v>
      </c>
      <c r="E73" s="23" t="s">
        <v>62</v>
      </c>
      <c r="F73" s="25">
        <v>2226.6999999999998</v>
      </c>
    </row>
    <row r="74" spans="1:6">
      <c r="A74" s="37" t="s">
        <v>63</v>
      </c>
      <c r="B74" s="33">
        <v>6771.84</v>
      </c>
      <c r="C74" s="33">
        <f t="shared" si="4"/>
        <v>0.26363831021447398</v>
      </c>
      <c r="D74" s="99" t="s">
        <v>64</v>
      </c>
      <c r="E74" s="102">
        <v>4224.3999999999996</v>
      </c>
      <c r="F74" s="25">
        <v>2226.6999999999998</v>
      </c>
    </row>
    <row r="75" spans="1:6">
      <c r="A75" s="38" t="s">
        <v>65</v>
      </c>
      <c r="B75" s="33">
        <v>349.23</v>
      </c>
      <c r="C75" s="33">
        <f t="shared" si="4"/>
        <v>1.3596069469479603E-2</v>
      </c>
      <c r="D75" s="100"/>
      <c r="E75" s="103"/>
      <c r="F75" s="25">
        <v>2226.6999999999998</v>
      </c>
    </row>
    <row r="76" spans="1:6">
      <c r="A76" s="40" t="s">
        <v>66</v>
      </c>
      <c r="B76" s="33">
        <v>7236.09</v>
      </c>
      <c r="C76" s="33">
        <f t="shared" si="4"/>
        <v>0.28171228796897935</v>
      </c>
      <c r="D76" s="101"/>
      <c r="E76" s="104"/>
      <c r="F76" s="25">
        <v>2226.6999999999998</v>
      </c>
    </row>
    <row r="77" spans="1:6">
      <c r="A77" s="37" t="s">
        <v>67</v>
      </c>
      <c r="B77" s="33">
        <v>1453.73</v>
      </c>
      <c r="C77" s="33">
        <f t="shared" si="4"/>
        <v>5.659597992688653E-2</v>
      </c>
      <c r="D77" s="84" t="s">
        <v>68</v>
      </c>
      <c r="E77" s="87">
        <v>15030.84</v>
      </c>
      <c r="F77" s="25">
        <v>2226.6999999999998</v>
      </c>
    </row>
    <row r="78" spans="1:6" ht="30">
      <c r="A78" s="38" t="s">
        <v>69</v>
      </c>
      <c r="B78" s="33">
        <v>4187.55</v>
      </c>
      <c r="C78" s="33">
        <f t="shared" si="4"/>
        <v>0.1630278633190714</v>
      </c>
      <c r="D78" s="85"/>
      <c r="E78" s="88"/>
      <c r="F78" s="25">
        <v>2226.6999999999998</v>
      </c>
    </row>
    <row r="79" spans="1:6">
      <c r="A79" s="26" t="s">
        <v>70</v>
      </c>
      <c r="B79" s="33">
        <v>9136.48</v>
      </c>
      <c r="C79" s="33">
        <f t="shared" si="4"/>
        <v>0.35569743947115362</v>
      </c>
      <c r="D79" s="86"/>
      <c r="E79" s="89"/>
      <c r="F79" s="25">
        <v>2226.6999999999998</v>
      </c>
    </row>
    <row r="80" spans="1:6">
      <c r="A80" s="38" t="s">
        <v>71</v>
      </c>
      <c r="B80" s="33">
        <v>8375.11</v>
      </c>
      <c r="C80" s="33">
        <f t="shared" si="4"/>
        <v>0.32605611595376488</v>
      </c>
      <c r="D80" s="41" t="s">
        <v>85</v>
      </c>
      <c r="E80" s="42">
        <v>18655.8</v>
      </c>
      <c r="F80" s="25">
        <v>2226.6999999999998</v>
      </c>
    </row>
    <row r="81" spans="1:8">
      <c r="A81" s="38" t="s">
        <v>72</v>
      </c>
      <c r="B81" s="33">
        <v>1006.69</v>
      </c>
      <c r="C81" s="33">
        <f t="shared" si="4"/>
        <v>3.9192014357960145E-2</v>
      </c>
      <c r="D81" s="43"/>
      <c r="E81" s="42"/>
      <c r="F81" s="25"/>
    </row>
    <row r="82" spans="1:8">
      <c r="A82" s="6" t="s">
        <v>73</v>
      </c>
      <c r="B82" s="44">
        <f>SUM(B60:B81)</f>
        <v>205488.8</v>
      </c>
      <c r="C82" s="44">
        <f>SUM(C60:C81)</f>
        <v>8.0000000000000018</v>
      </c>
      <c r="D82" s="45"/>
      <c r="E82" s="46"/>
      <c r="F82" s="25"/>
    </row>
    <row r="83" spans="1:8">
      <c r="A83" s="28" t="s">
        <v>74</v>
      </c>
      <c r="B83" s="44">
        <f>E83</f>
        <v>37911.039999999994</v>
      </c>
      <c r="C83" s="3"/>
      <c r="D83" s="47" t="s">
        <v>75</v>
      </c>
      <c r="E83" s="48">
        <f>SUM(E74:E80)</f>
        <v>37911.039999999994</v>
      </c>
    </row>
    <row r="84" spans="1:8">
      <c r="A84" s="49" t="s">
        <v>76</v>
      </c>
      <c r="B84" s="50">
        <f>B83+B82+B59+B55</f>
        <v>301081.56400000001</v>
      </c>
      <c r="D84" s="51"/>
      <c r="E84" s="52"/>
    </row>
    <row r="85" spans="1:8">
      <c r="A85" s="53"/>
      <c r="B85" s="54"/>
      <c r="C85" s="54"/>
    </row>
    <row r="86" spans="1:8">
      <c r="A86" s="49"/>
      <c r="B86" s="54"/>
      <c r="F86" t="s">
        <v>77</v>
      </c>
    </row>
    <row r="87" spans="1:8" ht="60">
      <c r="A87" s="55"/>
      <c r="B87" s="56" t="s">
        <v>78</v>
      </c>
      <c r="C87" s="7" t="s">
        <v>79</v>
      </c>
      <c r="D87" s="7" t="s">
        <v>80</v>
      </c>
      <c r="E87" s="7" t="s">
        <v>81</v>
      </c>
      <c r="F87" s="56" t="s">
        <v>82</v>
      </c>
    </row>
    <row r="88" spans="1:8">
      <c r="A88" s="55" t="s">
        <v>83</v>
      </c>
      <c r="B88" s="57">
        <f>B19+B21+B32</f>
        <v>0</v>
      </c>
      <c r="C88" s="57">
        <f>C19+C21+C32</f>
        <v>212218.334</v>
      </c>
      <c r="D88" s="57">
        <f>D19+D21+D32</f>
        <v>180600.15</v>
      </c>
      <c r="E88" s="57">
        <f>B82+B59</f>
        <v>212218.334</v>
      </c>
      <c r="F88" s="10">
        <f>B88+C88-D88</f>
        <v>31618.184000000008</v>
      </c>
      <c r="H88" s="13">
        <f>C88-E88</f>
        <v>0</v>
      </c>
    </row>
    <row r="89" spans="1:8">
      <c r="A89" s="55" t="s">
        <v>15</v>
      </c>
      <c r="B89" s="57">
        <f>B20+B33</f>
        <v>0</v>
      </c>
      <c r="C89" s="57">
        <f>C20+C33</f>
        <v>75517.133999999991</v>
      </c>
      <c r="D89" s="57">
        <f>D20+D33</f>
        <v>37911.040000000001</v>
      </c>
      <c r="E89" s="57">
        <f>B83</f>
        <v>37911.039999999994</v>
      </c>
      <c r="F89" s="10">
        <f t="shared" ref="F89:F90" si="5">B89+C89-D89</f>
        <v>37606.09399999999</v>
      </c>
    </row>
    <row r="90" spans="1:8">
      <c r="A90" s="55" t="s">
        <v>17</v>
      </c>
      <c r="B90" s="57">
        <f>B22</f>
        <v>0</v>
      </c>
      <c r="C90" s="57">
        <f>C22</f>
        <v>50952.186000000002</v>
      </c>
      <c r="D90" s="57">
        <f>D22</f>
        <v>45946.55</v>
      </c>
      <c r="E90" s="57">
        <f>B55</f>
        <v>50952.19</v>
      </c>
      <c r="F90" s="10">
        <f t="shared" si="5"/>
        <v>5005.6359999999986</v>
      </c>
      <c r="H90" s="13">
        <f>C90-E90</f>
        <v>-4.0000000008149073E-3</v>
      </c>
    </row>
    <row r="91" spans="1:8">
      <c r="A91" s="55" t="s">
        <v>84</v>
      </c>
      <c r="B91" s="44">
        <f>SUM(B88:B90)</f>
        <v>0</v>
      </c>
      <c r="C91" s="44">
        <f>SUM(C88:C90)</f>
        <v>338687.65399999998</v>
      </c>
      <c r="D91" s="12">
        <f>SUM(D88:D90)</f>
        <v>264457.74</v>
      </c>
      <c r="E91" s="12">
        <f>SUM(E88:E90)</f>
        <v>301081.56400000001</v>
      </c>
      <c r="F91" s="12">
        <f>SUM(F88:F90)</f>
        <v>74229.91399999999</v>
      </c>
    </row>
    <row r="92" spans="1:8">
      <c r="A92" s="49"/>
      <c r="B92" s="50"/>
      <c r="C92" s="50"/>
      <c r="D92" s="22"/>
      <c r="E92" s="22"/>
      <c r="F92" s="22"/>
    </row>
    <row r="93" spans="1:8">
      <c r="A93" s="49"/>
      <c r="B93" s="22"/>
    </row>
    <row r="94" spans="1:8">
      <c r="A94" s="58"/>
      <c r="B94" s="53"/>
    </row>
  </sheetData>
  <mergeCells count="15">
    <mergeCell ref="A4:E4"/>
    <mergeCell ref="A5:E5"/>
    <mergeCell ref="A6:E6"/>
    <mergeCell ref="A15:E15"/>
    <mergeCell ref="A40:A41"/>
    <mergeCell ref="B40:B41"/>
    <mergeCell ref="D77:D79"/>
    <mergeCell ref="E77:E79"/>
    <mergeCell ref="A43:B43"/>
    <mergeCell ref="A44:B44"/>
    <mergeCell ref="A47:C47"/>
    <mergeCell ref="A56:C56"/>
    <mergeCell ref="D72:E72"/>
    <mergeCell ref="D74:D76"/>
    <mergeCell ref="E74:E76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H94"/>
  <sheetViews>
    <sheetView topLeftCell="A83" workbookViewId="0">
      <selection activeCell="A43" sqref="A43:F91"/>
    </sheetView>
  </sheetViews>
  <sheetFormatPr defaultRowHeight="15"/>
  <cols>
    <col min="1" max="1" width="44.28515625" customWidth="1"/>
    <col min="2" max="2" width="17.42578125" customWidth="1"/>
    <col min="3" max="3" width="16.5703125" customWidth="1"/>
    <col min="4" max="4" width="16.7109375" customWidth="1"/>
    <col min="5" max="5" width="16.85546875" customWidth="1"/>
    <col min="6" max="6" width="17" customWidth="1"/>
    <col min="8" max="8" width="11.28515625" customWidth="1"/>
  </cols>
  <sheetData>
    <row r="4" spans="1:5" ht="18.75">
      <c r="A4" s="91" t="s">
        <v>0</v>
      </c>
      <c r="B4" s="91"/>
      <c r="C4" s="91"/>
      <c r="D4" s="91"/>
      <c r="E4" s="91"/>
    </row>
    <row r="5" spans="1:5" ht="18.75">
      <c r="A5" s="91" t="s">
        <v>1</v>
      </c>
      <c r="B5" s="91"/>
      <c r="C5" s="91"/>
      <c r="D5" s="91"/>
      <c r="E5" s="91"/>
    </row>
    <row r="6" spans="1:5" ht="18.75">
      <c r="A6" s="91" t="s">
        <v>88</v>
      </c>
      <c r="B6" s="91"/>
      <c r="C6" s="91"/>
      <c r="D6" s="91"/>
      <c r="E6" s="91"/>
    </row>
    <row r="8" spans="1:5" ht="18.75">
      <c r="A8" s="1"/>
      <c r="B8" s="2" t="s">
        <v>86</v>
      </c>
    </row>
    <row r="9" spans="1:5">
      <c r="A9" s="3" t="s">
        <v>2</v>
      </c>
      <c r="B9" s="59">
        <v>1780.3</v>
      </c>
    </row>
    <row r="10" spans="1:5">
      <c r="A10" s="4" t="s">
        <v>3</v>
      </c>
      <c r="B10" s="3">
        <v>554.79999999999995</v>
      </c>
    </row>
    <row r="11" spans="1:5">
      <c r="A11" s="3" t="s">
        <v>4</v>
      </c>
      <c r="B11" s="3">
        <v>9</v>
      </c>
    </row>
    <row r="12" spans="1:5">
      <c r="A12" s="3" t="s">
        <v>5</v>
      </c>
      <c r="B12" s="3">
        <v>1</v>
      </c>
    </row>
    <row r="13" spans="1:5">
      <c r="A13" s="3" t="s">
        <v>6</v>
      </c>
      <c r="B13" s="3">
        <v>27</v>
      </c>
    </row>
    <row r="15" spans="1:5" ht="18.75">
      <c r="A15" s="105" t="s">
        <v>7</v>
      </c>
      <c r="B15" s="106"/>
      <c r="C15" s="106"/>
      <c r="D15" s="106"/>
      <c r="E15" s="106"/>
    </row>
    <row r="17" spans="1:6">
      <c r="A17" s="5" t="s">
        <v>8</v>
      </c>
      <c r="B17" s="5"/>
    </row>
    <row r="18" spans="1:6" ht="30">
      <c r="A18" s="6" t="s">
        <v>9</v>
      </c>
      <c r="B18" s="7" t="s">
        <v>90</v>
      </c>
      <c r="C18" s="7" t="s">
        <v>89</v>
      </c>
      <c r="D18" s="7" t="s">
        <v>91</v>
      </c>
      <c r="E18" s="8" t="s">
        <v>92</v>
      </c>
    </row>
    <row r="19" spans="1:6">
      <c r="A19" s="3" t="s">
        <v>14</v>
      </c>
      <c r="B19" s="9">
        <f>'2008'!E19</f>
        <v>15667</v>
      </c>
      <c r="C19" s="10">
        <f>B9*8*2+B9*10.06*10</f>
        <v>207582.97999999998</v>
      </c>
      <c r="D19" s="9">
        <v>220845.15</v>
      </c>
      <c r="E19" s="11">
        <f>B19+C19-D19</f>
        <v>2404.8299999999872</v>
      </c>
    </row>
    <row r="20" spans="1:6">
      <c r="A20" s="3" t="s">
        <v>15</v>
      </c>
      <c r="B20" s="9">
        <f>'2008'!E20</f>
        <v>24663.861999999994</v>
      </c>
      <c r="C20" s="10">
        <f>B9*2.94*2+B9*3.58*10</f>
        <v>74202.90400000001</v>
      </c>
      <c r="D20" s="9">
        <v>39997.01</v>
      </c>
      <c r="E20" s="11">
        <f t="shared" ref="E20:E22" si="0">B20+C20-D20</f>
        <v>58869.756000000001</v>
      </c>
    </row>
    <row r="21" spans="1:6">
      <c r="A21" s="3" t="s">
        <v>16</v>
      </c>
      <c r="B21" s="9">
        <f>'2008'!E21</f>
        <v>672.96399999999994</v>
      </c>
      <c r="C21" s="10">
        <f>B9*0.42*12</f>
        <v>8972.7119999999995</v>
      </c>
      <c r="D21" s="9">
        <v>8972.7099999999991</v>
      </c>
      <c r="E21" s="11">
        <f t="shared" si="0"/>
        <v>672.96600000000035</v>
      </c>
    </row>
    <row r="22" spans="1:6">
      <c r="A22" s="3" t="s">
        <v>17</v>
      </c>
      <c r="B22" s="9">
        <f>'2008'!E22</f>
        <v>5005.6359999999986</v>
      </c>
      <c r="C22" s="10">
        <f>1780.3*3.18*2+B9*3.39*10</f>
        <v>71674.877999999997</v>
      </c>
      <c r="D22" s="9">
        <v>76680.509999999995</v>
      </c>
      <c r="E22" s="11">
        <f t="shared" si="0"/>
        <v>4.0000000008149073E-3</v>
      </c>
    </row>
    <row r="23" spans="1:6">
      <c r="A23" s="6" t="s">
        <v>18</v>
      </c>
      <c r="B23" s="12">
        <f>SUM(B19:B22)</f>
        <v>46009.461999999992</v>
      </c>
      <c r="C23" s="12">
        <f>SUM(C19:C22)</f>
        <v>362433.47399999993</v>
      </c>
      <c r="D23" s="12">
        <f>SUM(D19:D22)</f>
        <v>346495.38</v>
      </c>
      <c r="E23" s="12">
        <f>SUM(E19:E22)</f>
        <v>61947.55599999999</v>
      </c>
      <c r="F23" s="13">
        <f>B23+C23-D23</f>
        <v>61947.555999999924</v>
      </c>
    </row>
    <row r="24" spans="1:6">
      <c r="C24" s="14"/>
    </row>
    <row r="25" spans="1:6">
      <c r="A25" s="5" t="s">
        <v>19</v>
      </c>
      <c r="B25" s="5"/>
      <c r="C25" s="15">
        <f>D23/C23*100</f>
        <v>95.602477380441982</v>
      </c>
    </row>
    <row r="26" spans="1:6">
      <c r="A26" s="5" t="s">
        <v>20</v>
      </c>
      <c r="B26" s="5"/>
      <c r="C26" s="15">
        <f>D23/(C23+B23)*100</f>
        <v>84.833240940173852</v>
      </c>
    </row>
    <row r="27" spans="1:6">
      <c r="A27" s="16" t="s">
        <v>21</v>
      </c>
      <c r="C27" s="15">
        <f>E23/(C23/12)</f>
        <v>2.0510541253151469</v>
      </c>
    </row>
    <row r="28" spans="1:6">
      <c r="A28" s="16"/>
      <c r="C28" s="15"/>
    </row>
    <row r="29" spans="1:6">
      <c r="A29" s="16"/>
      <c r="C29" s="15"/>
    </row>
    <row r="30" spans="1:6">
      <c r="A30" s="5" t="s">
        <v>22</v>
      </c>
      <c r="B30" s="5"/>
    </row>
    <row r="31" spans="1:6" ht="30">
      <c r="A31" s="6" t="s">
        <v>9</v>
      </c>
      <c r="B31" s="7" t="s">
        <v>90</v>
      </c>
      <c r="C31" s="7" t="s">
        <v>89</v>
      </c>
      <c r="D31" s="7" t="s">
        <v>91</v>
      </c>
      <c r="E31" s="8" t="s">
        <v>92</v>
      </c>
    </row>
    <row r="32" spans="1:6">
      <c r="A32" s="3" t="s">
        <v>14</v>
      </c>
      <c r="B32" s="9">
        <f>'2008'!E32</f>
        <v>15278.219999999994</v>
      </c>
      <c r="C32" s="10">
        <f>B10*8*2+B10*10.06*10</f>
        <v>64689.679999999993</v>
      </c>
      <c r="D32" s="9">
        <v>73576.25</v>
      </c>
      <c r="E32" s="17">
        <f>B32+C32-D32</f>
        <v>6391.6499999999942</v>
      </c>
    </row>
    <row r="33" spans="1:6">
      <c r="A33" s="3" t="s">
        <v>15</v>
      </c>
      <c r="B33" s="9">
        <f>'2008'!E33</f>
        <v>12942.231999999996</v>
      </c>
      <c r="C33" s="10">
        <f>B10*2*2.94+B10*10*3.58</f>
        <v>23124.063999999998</v>
      </c>
      <c r="D33" s="9">
        <v>34139.230000000003</v>
      </c>
      <c r="E33" s="17">
        <f>B33+C33-D33</f>
        <v>1927.0659999999916</v>
      </c>
    </row>
    <row r="34" spans="1:6">
      <c r="A34" s="6" t="s">
        <v>18</v>
      </c>
      <c r="B34" s="12">
        <f>'2008'!E34</f>
        <v>28220.45199999999</v>
      </c>
      <c r="C34" s="12">
        <f>SUM(C32:C33)</f>
        <v>87813.743999999992</v>
      </c>
      <c r="D34" s="12">
        <f>SUM(D32:D33)</f>
        <v>107715.48000000001</v>
      </c>
      <c r="E34" s="12">
        <f>SUM(E32:E33)</f>
        <v>8318.7159999999858</v>
      </c>
      <c r="F34" s="13">
        <f>B34+C34-D34</f>
        <v>8318.7159999999712</v>
      </c>
    </row>
    <row r="35" spans="1:6">
      <c r="C35" s="14"/>
      <c r="E35" s="13"/>
    </row>
    <row r="36" spans="1:6">
      <c r="A36" s="5" t="s">
        <v>19</v>
      </c>
      <c r="B36" s="5"/>
      <c r="C36" s="15">
        <f>D34/C34*100</f>
        <v>122.66357758302621</v>
      </c>
    </row>
    <row r="37" spans="1:6">
      <c r="A37" s="5" t="s">
        <v>20</v>
      </c>
      <c r="B37" s="5"/>
      <c r="C37" s="15">
        <f>D34/(C34+B34)*100</f>
        <v>92.83080653223989</v>
      </c>
    </row>
    <row r="38" spans="1:6">
      <c r="A38" s="16" t="s">
        <v>21</v>
      </c>
      <c r="C38" s="15">
        <f>E34/(C34/12)</f>
        <v>1.1367764025640432</v>
      </c>
    </row>
    <row r="39" spans="1:6">
      <c r="A39" s="16"/>
      <c r="C39" s="15"/>
    </row>
    <row r="40" spans="1:6">
      <c r="A40" s="107" t="s">
        <v>93</v>
      </c>
      <c r="B40" s="109"/>
      <c r="C40" s="18" t="s">
        <v>25</v>
      </c>
      <c r="D40" s="19" t="s">
        <v>26</v>
      </c>
    </row>
    <row r="41" spans="1:6">
      <c r="A41" s="108"/>
      <c r="B41" s="110"/>
      <c r="C41" s="18">
        <f>C20+C21+C32+C33+C19+C22</f>
        <v>450247.21799999999</v>
      </c>
      <c r="D41" s="12">
        <f>D20+D21+D32+D33+D19+D22</f>
        <v>454210.86</v>
      </c>
    </row>
    <row r="42" spans="1:6">
      <c r="A42" s="20"/>
      <c r="B42" s="21"/>
      <c r="C42" s="15"/>
      <c r="D42" s="22"/>
    </row>
    <row r="43" spans="1:6" ht="18.75">
      <c r="A43" s="90" t="s">
        <v>27</v>
      </c>
      <c r="B43" s="90"/>
      <c r="C43" s="15"/>
    </row>
    <row r="44" spans="1:6" ht="18.75">
      <c r="A44" s="91" t="s">
        <v>94</v>
      </c>
      <c r="B44" s="91"/>
      <c r="C44" s="15"/>
    </row>
    <row r="45" spans="1:6">
      <c r="A45" s="16"/>
      <c r="C45" s="15"/>
    </row>
    <row r="46" spans="1:6" ht="30">
      <c r="A46" s="23" t="s">
        <v>29</v>
      </c>
      <c r="B46" s="23" t="s">
        <v>30</v>
      </c>
      <c r="C46" s="24" t="s">
        <v>31</v>
      </c>
    </row>
    <row r="47" spans="1:6">
      <c r="A47" s="92" t="s">
        <v>32</v>
      </c>
      <c r="B47" s="93"/>
      <c r="C47" s="94"/>
      <c r="F47" s="25"/>
    </row>
    <row r="48" spans="1:6" ht="30">
      <c r="A48" s="26" t="s">
        <v>33</v>
      </c>
      <c r="B48" s="10">
        <v>31652.94</v>
      </c>
      <c r="C48" s="11">
        <f>B48/E48/12</f>
        <v>1.4816295006459586</v>
      </c>
      <c r="E48" s="27">
        <v>1780.3</v>
      </c>
      <c r="F48" s="25"/>
    </row>
    <row r="49" spans="1:6">
      <c r="A49" s="28" t="s">
        <v>34</v>
      </c>
      <c r="B49" s="10">
        <v>0</v>
      </c>
      <c r="C49" s="11">
        <f t="shared" ref="C49:C54" si="1">B49/E49/12</f>
        <v>0</v>
      </c>
      <c r="E49" s="27">
        <v>1780.3</v>
      </c>
      <c r="F49" s="25"/>
    </row>
    <row r="50" spans="1:6">
      <c r="A50" s="28" t="s">
        <v>35</v>
      </c>
      <c r="B50" s="10">
        <v>3283.94</v>
      </c>
      <c r="C50" s="11">
        <f t="shared" si="1"/>
        <v>0.15371660207081203</v>
      </c>
      <c r="E50" s="27">
        <v>1780.3</v>
      </c>
      <c r="F50" s="25"/>
    </row>
    <row r="51" spans="1:6" ht="30">
      <c r="A51" s="26" t="s">
        <v>36</v>
      </c>
      <c r="B51" s="10">
        <v>25488</v>
      </c>
      <c r="C51" s="11">
        <f t="shared" si="1"/>
        <v>1.1930573498848509</v>
      </c>
      <c r="E51" s="27">
        <v>1780.3</v>
      </c>
      <c r="F51" s="29">
        <f>C22</f>
        <v>71674.877999999997</v>
      </c>
    </row>
    <row r="52" spans="1:6">
      <c r="A52" s="26" t="s">
        <v>37</v>
      </c>
      <c r="B52" s="10">
        <v>4000</v>
      </c>
      <c r="C52" s="11">
        <f t="shared" si="1"/>
        <v>0.18723436124997661</v>
      </c>
      <c r="E52" s="27">
        <v>1780.3</v>
      </c>
      <c r="F52" s="25"/>
    </row>
    <row r="53" spans="1:6">
      <c r="A53" s="28" t="s">
        <v>38</v>
      </c>
      <c r="B53" s="10">
        <v>750</v>
      </c>
      <c r="C53" s="11">
        <f t="shared" si="1"/>
        <v>3.5106442734370615E-2</v>
      </c>
      <c r="E53" s="27">
        <v>1780.3</v>
      </c>
      <c r="F53" s="25"/>
    </row>
    <row r="54" spans="1:6">
      <c r="A54" s="28" t="s">
        <v>39</v>
      </c>
      <c r="B54" s="10">
        <v>6500</v>
      </c>
      <c r="C54" s="11">
        <f t="shared" si="1"/>
        <v>0.30425583703121201</v>
      </c>
      <c r="E54" s="27">
        <v>1780.3</v>
      </c>
      <c r="F54" s="25"/>
    </row>
    <row r="55" spans="1:6">
      <c r="A55" s="30" t="s">
        <v>40</v>
      </c>
      <c r="B55" s="31">
        <f>SUM(B48:B54)</f>
        <v>71674.880000000005</v>
      </c>
      <c r="C55" s="31">
        <v>3.36</v>
      </c>
      <c r="E55" s="27">
        <v>3538.9</v>
      </c>
      <c r="F55" s="25"/>
    </row>
    <row r="56" spans="1:6">
      <c r="A56" s="95" t="s">
        <v>41</v>
      </c>
      <c r="B56" s="96"/>
      <c r="C56" s="96"/>
      <c r="D56" s="13"/>
      <c r="F56" s="25"/>
    </row>
    <row r="57" spans="1:6" ht="30">
      <c r="A57" s="32" t="s">
        <v>42</v>
      </c>
      <c r="B57" s="33">
        <f>C57*E57*12</f>
        <v>7904.5320000000002</v>
      </c>
      <c r="C57" s="34" t="s">
        <v>43</v>
      </c>
      <c r="D57" s="29"/>
      <c r="E57" s="25">
        <v>1780.3</v>
      </c>
      <c r="F57" s="25"/>
    </row>
    <row r="58" spans="1:6">
      <c r="A58" s="32" t="s">
        <v>44</v>
      </c>
      <c r="B58" s="33">
        <f>C58*E58*12</f>
        <v>1068.18</v>
      </c>
      <c r="C58" s="34" t="s">
        <v>45</v>
      </c>
      <c r="D58" s="29"/>
      <c r="E58" s="25">
        <v>1780.3</v>
      </c>
      <c r="F58" s="25"/>
    </row>
    <row r="59" spans="1:6">
      <c r="A59" s="35" t="s">
        <v>46</v>
      </c>
      <c r="B59" s="31">
        <f>B57+B58</f>
        <v>8972.7119999999995</v>
      </c>
      <c r="C59" s="36" t="s">
        <v>47</v>
      </c>
      <c r="D59" s="29"/>
      <c r="E59" s="25"/>
      <c r="F59" s="25"/>
    </row>
    <row r="60" spans="1:6">
      <c r="A60" s="37" t="s">
        <v>48</v>
      </c>
      <c r="B60" s="33">
        <v>19884.55</v>
      </c>
      <c r="C60" s="33">
        <f>B60/12/2335.1</f>
        <v>0.70962521233922893</v>
      </c>
      <c r="D60" s="29"/>
      <c r="E60" s="29"/>
      <c r="F60" s="25">
        <v>0.8</v>
      </c>
    </row>
    <row r="61" spans="1:6">
      <c r="A61" s="37" t="s">
        <v>49</v>
      </c>
      <c r="B61" s="33">
        <v>2267.0100000000002</v>
      </c>
      <c r="C61" s="33">
        <f t="shared" ref="C61:C81" si="2">B61/12/2335.1</f>
        <v>8.0903387435227625E-2</v>
      </c>
      <c r="D61" s="25"/>
      <c r="E61" s="29">
        <v>5</v>
      </c>
      <c r="F61" s="25">
        <v>2226.6999999999998</v>
      </c>
    </row>
    <row r="62" spans="1:6">
      <c r="A62" s="37" t="s">
        <v>50</v>
      </c>
      <c r="B62" s="33">
        <v>2164.6999999999998</v>
      </c>
      <c r="C62" s="33">
        <f t="shared" si="2"/>
        <v>7.7252223316631688E-2</v>
      </c>
      <c r="D62" s="29"/>
      <c r="E62" s="25"/>
      <c r="F62" s="25">
        <v>2226.6999999999998</v>
      </c>
    </row>
    <row r="63" spans="1:6" ht="30">
      <c r="A63" s="38" t="s">
        <v>51</v>
      </c>
      <c r="B63" s="33">
        <v>1600.79</v>
      </c>
      <c r="C63" s="33">
        <f t="shared" si="2"/>
        <v>5.7127817509599881E-2</v>
      </c>
      <c r="D63" s="25"/>
      <c r="E63" s="25"/>
      <c r="F63" s="25">
        <v>2226.6999999999998</v>
      </c>
    </row>
    <row r="64" spans="1:6">
      <c r="A64" s="37" t="s">
        <v>52</v>
      </c>
      <c r="B64" s="33">
        <v>4070.34</v>
      </c>
      <c r="C64" s="33">
        <f t="shared" si="2"/>
        <v>0.14525930367007836</v>
      </c>
      <c r="D64" s="25"/>
      <c r="E64" s="25"/>
      <c r="F64" s="25">
        <v>2226.6999999999998</v>
      </c>
    </row>
    <row r="65" spans="1:6" ht="30">
      <c r="A65" s="38" t="s">
        <v>53</v>
      </c>
      <c r="B65" s="33">
        <v>4204.55</v>
      </c>
      <c r="C65" s="33">
        <f t="shared" si="2"/>
        <v>0.15004889155353804</v>
      </c>
      <c r="D65" s="25"/>
      <c r="E65" s="25"/>
      <c r="F65" s="25">
        <v>2226.6999999999998</v>
      </c>
    </row>
    <row r="66" spans="1:6">
      <c r="A66" s="37" t="s">
        <v>54</v>
      </c>
      <c r="B66" s="33">
        <v>1111.49</v>
      </c>
      <c r="C66" s="33">
        <f t="shared" si="2"/>
        <v>3.9666038570796397E-2</v>
      </c>
      <c r="D66" s="25"/>
      <c r="E66" s="25"/>
      <c r="F66" s="25">
        <v>2226.6999999999998</v>
      </c>
    </row>
    <row r="67" spans="1:6">
      <c r="A67" s="37" t="s">
        <v>55</v>
      </c>
      <c r="B67" s="33">
        <v>1050.03</v>
      </c>
      <c r="C67" s="33">
        <f t="shared" si="2"/>
        <v>3.7472699242002486E-2</v>
      </c>
      <c r="D67" s="25"/>
      <c r="E67" s="25"/>
      <c r="F67" s="25">
        <v>2226.6999999999998</v>
      </c>
    </row>
    <row r="68" spans="1:6">
      <c r="A68" s="37" t="s">
        <v>56</v>
      </c>
      <c r="B68" s="33">
        <v>1509.46</v>
      </c>
      <c r="C68" s="33">
        <f t="shared" si="2"/>
        <v>5.3868499564615369E-2</v>
      </c>
      <c r="D68" s="25"/>
      <c r="E68" s="25"/>
      <c r="F68" s="25">
        <v>2226.6999999999998</v>
      </c>
    </row>
    <row r="69" spans="1:6">
      <c r="A69" s="37" t="s">
        <v>57</v>
      </c>
      <c r="B69" s="33">
        <v>15119.98</v>
      </c>
      <c r="C69" s="33">
        <f t="shared" si="2"/>
        <v>0.53959073844089478</v>
      </c>
      <c r="F69" s="25">
        <v>2226.6999999999998</v>
      </c>
    </row>
    <row r="70" spans="1:6">
      <c r="A70" s="37" t="s">
        <v>58</v>
      </c>
      <c r="B70" s="33">
        <v>17088.72</v>
      </c>
      <c r="C70" s="33">
        <f t="shared" si="2"/>
        <v>0.60984968523831962</v>
      </c>
      <c r="F70" s="25">
        <v>2226.6999999999998</v>
      </c>
    </row>
    <row r="71" spans="1:6">
      <c r="A71" s="37" t="s">
        <v>59</v>
      </c>
      <c r="B71" s="33">
        <v>21851.96</v>
      </c>
      <c r="C71" s="33">
        <f t="shared" si="2"/>
        <v>0.77983669507372988</v>
      </c>
      <c r="F71" s="25">
        <v>2226.6999999999998</v>
      </c>
    </row>
    <row r="72" spans="1:6">
      <c r="A72" s="38" t="s">
        <v>60</v>
      </c>
      <c r="B72" s="33">
        <v>106309.15</v>
      </c>
      <c r="C72" s="33">
        <f t="shared" si="2"/>
        <v>3.7938828458452885</v>
      </c>
      <c r="D72" s="97"/>
      <c r="E72" s="98"/>
      <c r="F72" s="25">
        <v>2226.6999999999998</v>
      </c>
    </row>
    <row r="73" spans="1:6">
      <c r="A73" s="37" t="s">
        <v>61</v>
      </c>
      <c r="B73" s="33">
        <v>26477.49</v>
      </c>
      <c r="C73" s="33">
        <f t="shared" si="2"/>
        <v>0.94490921159693375</v>
      </c>
      <c r="D73" s="39" t="s">
        <v>29</v>
      </c>
      <c r="E73" s="23" t="s">
        <v>62</v>
      </c>
      <c r="F73" s="25">
        <v>2226.6999999999998</v>
      </c>
    </row>
    <row r="74" spans="1:6">
      <c r="A74" s="37" t="s">
        <v>63</v>
      </c>
      <c r="B74" s="33">
        <v>8625.16</v>
      </c>
      <c r="C74" s="33">
        <f t="shared" si="2"/>
        <v>0.30780837365994318</v>
      </c>
      <c r="D74" s="99" t="s">
        <v>124</v>
      </c>
      <c r="E74" s="102">
        <v>40276.36</v>
      </c>
      <c r="F74" s="25">
        <v>2226.6999999999998</v>
      </c>
    </row>
    <row r="75" spans="1:6">
      <c r="A75" s="38" t="s">
        <v>65</v>
      </c>
      <c r="B75" s="33">
        <v>560.41999999999996</v>
      </c>
      <c r="C75" s="33">
        <f t="shared" si="2"/>
        <v>1.9999857250938575E-2</v>
      </c>
      <c r="D75" s="100"/>
      <c r="E75" s="103"/>
      <c r="F75" s="25">
        <v>2226.6999999999998</v>
      </c>
    </row>
    <row r="76" spans="1:6">
      <c r="A76" s="40" t="s">
        <v>66</v>
      </c>
      <c r="B76" s="33">
        <v>8406.36</v>
      </c>
      <c r="C76" s="33">
        <f t="shared" si="2"/>
        <v>0.30000000000000004</v>
      </c>
      <c r="D76" s="101"/>
      <c r="E76" s="104"/>
      <c r="F76" s="25">
        <v>2226.6999999999998</v>
      </c>
    </row>
    <row r="77" spans="1:6">
      <c r="A77" s="37" t="s">
        <v>67</v>
      </c>
      <c r="B77" s="33">
        <v>0</v>
      </c>
      <c r="C77" s="33">
        <f t="shared" si="2"/>
        <v>0</v>
      </c>
      <c r="D77" s="84" t="s">
        <v>68</v>
      </c>
      <c r="E77" s="87">
        <v>3923.5</v>
      </c>
      <c r="F77" s="25">
        <v>2226.6999999999998</v>
      </c>
    </row>
    <row r="78" spans="1:6" ht="30">
      <c r="A78" s="38" t="s">
        <v>69</v>
      </c>
      <c r="B78" s="33">
        <v>4419.5</v>
      </c>
      <c r="C78" s="33">
        <f t="shared" si="2"/>
        <v>0.15771986924185974</v>
      </c>
      <c r="D78" s="85"/>
      <c r="E78" s="88"/>
      <c r="F78" s="25">
        <v>2226.6999999999998</v>
      </c>
    </row>
    <row r="79" spans="1:6">
      <c r="A79" s="26" t="s">
        <v>70</v>
      </c>
      <c r="B79" s="33">
        <v>12276.38</v>
      </c>
      <c r="C79" s="33">
        <f t="shared" si="2"/>
        <v>0.43811043067391831</v>
      </c>
      <c r="D79" s="86"/>
      <c r="E79" s="89"/>
      <c r="F79" s="25">
        <v>2226.6999999999998</v>
      </c>
    </row>
    <row r="80" spans="1:6">
      <c r="A80" s="38" t="s">
        <v>71</v>
      </c>
      <c r="B80" s="33">
        <v>12374.59</v>
      </c>
      <c r="C80" s="33">
        <f t="shared" si="2"/>
        <v>0.44161527700455377</v>
      </c>
      <c r="D80" s="41" t="s">
        <v>125</v>
      </c>
      <c r="E80" s="42">
        <v>17733.150000000001</v>
      </c>
      <c r="F80" s="25">
        <v>2226.6999999999998</v>
      </c>
    </row>
    <row r="81" spans="1:8">
      <c r="A81" s="38" t="s">
        <v>72</v>
      </c>
      <c r="B81" s="33">
        <v>900.03</v>
      </c>
      <c r="C81" s="33">
        <f t="shared" si="2"/>
        <v>3.2119609438567939E-2</v>
      </c>
      <c r="D81" s="41" t="s">
        <v>126</v>
      </c>
      <c r="E81" s="42">
        <v>12203.23</v>
      </c>
      <c r="F81" s="25"/>
    </row>
    <row r="82" spans="1:8">
      <c r="A82" s="6" t="s">
        <v>73</v>
      </c>
      <c r="B82" s="44">
        <f>SUM(B60:B81)</f>
        <v>272272.66000000003</v>
      </c>
      <c r="C82" s="44">
        <f>SUM(C60:C81)</f>
        <v>9.7166666666666668</v>
      </c>
      <c r="D82" s="45"/>
      <c r="E82" s="46"/>
      <c r="F82" s="25"/>
    </row>
    <row r="83" spans="1:8">
      <c r="A83" s="28" t="s">
        <v>74</v>
      </c>
      <c r="B83" s="44">
        <f>E83</f>
        <v>74136.240000000005</v>
      </c>
      <c r="C83" s="3"/>
      <c r="D83" s="47" t="s">
        <v>75</v>
      </c>
      <c r="E83" s="48">
        <f>SUM(E74:E82)</f>
        <v>74136.240000000005</v>
      </c>
    </row>
    <row r="84" spans="1:8">
      <c r="A84" s="49" t="s">
        <v>121</v>
      </c>
      <c r="B84" s="50">
        <f>B83+B82+B59+B55</f>
        <v>427056.49200000003</v>
      </c>
      <c r="D84" s="51"/>
      <c r="E84" s="52"/>
    </row>
    <row r="85" spans="1:8">
      <c r="A85" s="53"/>
      <c r="B85" s="54"/>
      <c r="C85" s="54"/>
    </row>
    <row r="86" spans="1:8">
      <c r="A86" s="49"/>
      <c r="B86" s="54"/>
      <c r="F86" t="s">
        <v>77</v>
      </c>
    </row>
    <row r="87" spans="1:8" ht="60">
      <c r="A87" s="55"/>
      <c r="B87" s="56" t="s">
        <v>82</v>
      </c>
      <c r="C87" s="7" t="s">
        <v>95</v>
      </c>
      <c r="D87" s="7" t="s">
        <v>96</v>
      </c>
      <c r="E87" s="7" t="s">
        <v>97</v>
      </c>
      <c r="F87" s="56" t="s">
        <v>98</v>
      </c>
    </row>
    <row r="88" spans="1:8">
      <c r="A88" s="55" t="s">
        <v>83</v>
      </c>
      <c r="B88" s="57">
        <f>B19+B21+B32</f>
        <v>31618.183999999994</v>
      </c>
      <c r="C88" s="57">
        <f>C19+C21+C32</f>
        <v>281245.37199999997</v>
      </c>
      <c r="D88" s="57">
        <f>D19+D21+D32</f>
        <v>303394.11</v>
      </c>
      <c r="E88" s="57">
        <f>B82+B59</f>
        <v>281245.37200000003</v>
      </c>
      <c r="F88" s="10">
        <f>B88+C88-D88</f>
        <v>9469.4459999999963</v>
      </c>
      <c r="H88" s="13">
        <f>C88-E88</f>
        <v>0</v>
      </c>
    </row>
    <row r="89" spans="1:8">
      <c r="A89" s="55" t="s">
        <v>15</v>
      </c>
      <c r="B89" s="57">
        <f>B20+B33</f>
        <v>37606.09399999999</v>
      </c>
      <c r="C89" s="57">
        <f>C20+C33</f>
        <v>97326.968000000008</v>
      </c>
      <c r="D89" s="57">
        <f>D20+D33</f>
        <v>74136.240000000005</v>
      </c>
      <c r="E89" s="57">
        <f>B83</f>
        <v>74136.240000000005</v>
      </c>
      <c r="F89" s="10">
        <f>B89+C89-D89</f>
        <v>60796.822</v>
      </c>
    </row>
    <row r="90" spans="1:8">
      <c r="A90" s="55" t="s">
        <v>17</v>
      </c>
      <c r="B90" s="57">
        <f>B22</f>
        <v>5005.6359999999986</v>
      </c>
      <c r="C90" s="57">
        <f>C22</f>
        <v>71674.877999999997</v>
      </c>
      <c r="D90" s="57">
        <f>D22</f>
        <v>76680.509999999995</v>
      </c>
      <c r="E90" s="57">
        <f>B55</f>
        <v>71674.880000000005</v>
      </c>
      <c r="F90" s="10">
        <f>B90+C90-D90</f>
        <v>4.0000000008149073E-3</v>
      </c>
      <c r="H90" s="13">
        <f>C90-E90</f>
        <v>-2.0000000076834112E-3</v>
      </c>
    </row>
    <row r="91" spans="1:8">
      <c r="A91" s="55" t="s">
        <v>84</v>
      </c>
      <c r="B91" s="44">
        <f>SUM(B88:B90)</f>
        <v>74229.91399999999</v>
      </c>
      <c r="C91" s="44">
        <f>SUM(C88:C90)</f>
        <v>450247.21799999999</v>
      </c>
      <c r="D91" s="12">
        <f>SUM(D88:D90)</f>
        <v>454210.86</v>
      </c>
      <c r="E91" s="12">
        <f>SUM(E88:E90)</f>
        <v>427056.49200000003</v>
      </c>
      <c r="F91" s="12">
        <f>SUM(F88:F90)</f>
        <v>70266.271999999997</v>
      </c>
    </row>
    <row r="92" spans="1:8">
      <c r="A92" s="49"/>
      <c r="B92" s="50"/>
      <c r="C92" s="50"/>
      <c r="D92" s="22"/>
      <c r="E92" s="22"/>
      <c r="F92" s="22"/>
    </row>
    <row r="93" spans="1:8">
      <c r="A93" s="49"/>
      <c r="B93" s="22"/>
    </row>
    <row r="94" spans="1:8">
      <c r="A94" s="58"/>
      <c r="B94" s="53"/>
    </row>
  </sheetData>
  <mergeCells count="15">
    <mergeCell ref="D77:D79"/>
    <mergeCell ref="E77:E79"/>
    <mergeCell ref="A43:B43"/>
    <mergeCell ref="A44:B44"/>
    <mergeCell ref="A47:C47"/>
    <mergeCell ref="A56:C56"/>
    <mergeCell ref="D72:E72"/>
    <mergeCell ref="D74:D76"/>
    <mergeCell ref="E74:E76"/>
    <mergeCell ref="A4:E4"/>
    <mergeCell ref="A5:E5"/>
    <mergeCell ref="A6:E6"/>
    <mergeCell ref="A15:E15"/>
    <mergeCell ref="A40:A41"/>
    <mergeCell ref="B40:B4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H101"/>
  <sheetViews>
    <sheetView topLeftCell="A93" workbookViewId="0">
      <selection activeCell="A43" sqref="A43:F101"/>
    </sheetView>
  </sheetViews>
  <sheetFormatPr defaultRowHeight="15"/>
  <cols>
    <col min="1" max="1" width="44.28515625" customWidth="1"/>
    <col min="2" max="2" width="17.42578125" customWidth="1"/>
    <col min="3" max="3" width="16.5703125" customWidth="1"/>
    <col min="4" max="4" width="16.7109375" customWidth="1"/>
    <col min="5" max="5" width="16.85546875" customWidth="1"/>
    <col min="6" max="6" width="17" customWidth="1"/>
    <col min="8" max="8" width="11.28515625" customWidth="1"/>
  </cols>
  <sheetData>
    <row r="4" spans="1:5" ht="18.75">
      <c r="A4" s="91" t="s">
        <v>0</v>
      </c>
      <c r="B4" s="91"/>
      <c r="C4" s="91"/>
      <c r="D4" s="91"/>
      <c r="E4" s="91"/>
    </row>
    <row r="5" spans="1:5" ht="18.75">
      <c r="A5" s="91" t="s">
        <v>1</v>
      </c>
      <c r="B5" s="91"/>
      <c r="C5" s="91"/>
      <c r="D5" s="91"/>
      <c r="E5" s="91"/>
    </row>
    <row r="6" spans="1:5" ht="18.75">
      <c r="A6" s="91" t="s">
        <v>99</v>
      </c>
      <c r="B6" s="91"/>
      <c r="C6" s="91"/>
      <c r="D6" s="91"/>
      <c r="E6" s="91"/>
    </row>
    <row r="8" spans="1:5" ht="18.75">
      <c r="A8" s="1"/>
      <c r="B8" s="2" t="s">
        <v>86</v>
      </c>
    </row>
    <row r="9" spans="1:5">
      <c r="A9" s="3" t="s">
        <v>2</v>
      </c>
      <c r="B9" s="59">
        <v>1780.3</v>
      </c>
    </row>
    <row r="10" spans="1:5">
      <c r="A10" s="4" t="s">
        <v>3</v>
      </c>
      <c r="B10" s="3">
        <v>554.79999999999995</v>
      </c>
    </row>
    <row r="11" spans="1:5">
      <c r="A11" s="3" t="s">
        <v>4</v>
      </c>
      <c r="B11" s="3">
        <v>9</v>
      </c>
    </row>
    <row r="12" spans="1:5">
      <c r="A12" s="3" t="s">
        <v>5</v>
      </c>
      <c r="B12" s="3">
        <v>1</v>
      </c>
    </row>
    <row r="13" spans="1:5">
      <c r="A13" s="3" t="s">
        <v>6</v>
      </c>
      <c r="B13" s="3">
        <v>27</v>
      </c>
    </row>
    <row r="15" spans="1:5" ht="18.75">
      <c r="A15" s="105" t="s">
        <v>7</v>
      </c>
      <c r="B15" s="106"/>
      <c r="C15" s="106"/>
      <c r="D15" s="106"/>
      <c r="E15" s="106"/>
    </row>
    <row r="17" spans="1:6">
      <c r="A17" s="5" t="s">
        <v>8</v>
      </c>
      <c r="B17" s="5"/>
    </row>
    <row r="18" spans="1:6" ht="30">
      <c r="A18" s="6" t="s">
        <v>9</v>
      </c>
      <c r="B18" s="7" t="s">
        <v>100</v>
      </c>
      <c r="C18" s="7" t="s">
        <v>101</v>
      </c>
      <c r="D18" s="7" t="s">
        <v>102</v>
      </c>
      <c r="E18" s="8" t="s">
        <v>103</v>
      </c>
    </row>
    <row r="19" spans="1:6">
      <c r="A19" s="3" t="s">
        <v>14</v>
      </c>
      <c r="B19" s="9">
        <f>'2009'!E19</f>
        <v>2404.8299999999872</v>
      </c>
      <c r="C19" s="10">
        <f>B9*10.06*12</f>
        <v>214917.81599999999</v>
      </c>
      <c r="D19" s="9">
        <v>140405.15</v>
      </c>
      <c r="E19" s="11">
        <f>B19+C19-D19</f>
        <v>76917.495999999985</v>
      </c>
    </row>
    <row r="20" spans="1:6">
      <c r="A20" s="3" t="s">
        <v>15</v>
      </c>
      <c r="B20" s="9">
        <f>'2009'!E20</f>
        <v>58869.756000000001</v>
      </c>
      <c r="C20" s="10">
        <f>B9*3.58*12</f>
        <v>76481.687999999995</v>
      </c>
      <c r="D20" s="9">
        <v>135351.44</v>
      </c>
      <c r="E20" s="11">
        <f t="shared" ref="E20:E22" si="0">B20+C20-D20</f>
        <v>3.999999986262992E-3</v>
      </c>
    </row>
    <row r="21" spans="1:6">
      <c r="A21" s="3" t="s">
        <v>16</v>
      </c>
      <c r="B21" s="9">
        <f>'2009'!E21</f>
        <v>672.96600000000035</v>
      </c>
      <c r="C21" s="10">
        <f>B9*0.42*12</f>
        <v>8972.7119999999995</v>
      </c>
      <c r="D21" s="9">
        <v>8972.7099999999991</v>
      </c>
      <c r="E21" s="11">
        <f t="shared" si="0"/>
        <v>672.96800000000076</v>
      </c>
    </row>
    <row r="22" spans="1:6">
      <c r="A22" s="3" t="s">
        <v>17</v>
      </c>
      <c r="B22" s="9">
        <f>'2009'!E22</f>
        <v>4.0000000008149073E-3</v>
      </c>
      <c r="C22" s="10">
        <f>B9*3.39*12</f>
        <v>72422.603999999992</v>
      </c>
      <c r="D22" s="9">
        <v>71674.880000000005</v>
      </c>
      <c r="E22" s="11">
        <f t="shared" si="0"/>
        <v>747.72799999998824</v>
      </c>
    </row>
    <row r="23" spans="1:6">
      <c r="A23" s="6" t="s">
        <v>18</v>
      </c>
      <c r="B23" s="12">
        <f>SUM(B19:B22)</f>
        <v>61947.55599999999</v>
      </c>
      <c r="C23" s="12">
        <f>SUM(C19:C22)</f>
        <v>372794.81999999995</v>
      </c>
      <c r="D23" s="12">
        <f>SUM(D19:D22)</f>
        <v>356404.18</v>
      </c>
      <c r="E23" s="12">
        <f>SUM(E19:E22)</f>
        <v>78338.195999999953</v>
      </c>
      <c r="F23" s="13">
        <f>B23+C23-D23</f>
        <v>78338.195999999938</v>
      </c>
    </row>
    <row r="24" spans="1:6">
      <c r="C24" s="14"/>
    </row>
    <row r="25" spans="1:6">
      <c r="A25" s="5" t="s">
        <v>19</v>
      </c>
      <c r="B25" s="5"/>
      <c r="C25" s="15">
        <f>D23/C23*100</f>
        <v>95.60330800733766</v>
      </c>
    </row>
    <row r="26" spans="1:6">
      <c r="A26" s="5" t="s">
        <v>20</v>
      </c>
      <c r="B26" s="5"/>
      <c r="C26" s="15">
        <f>D23/(C23+B23)*100</f>
        <v>81.980547486357764</v>
      </c>
    </row>
    <row r="27" spans="1:6">
      <c r="A27" s="16" t="s">
        <v>21</v>
      </c>
      <c r="C27" s="15">
        <f>E23/(C23/12)</f>
        <v>2.5216507890318849</v>
      </c>
    </row>
    <row r="28" spans="1:6">
      <c r="A28" s="16"/>
      <c r="C28" s="15"/>
    </row>
    <row r="29" spans="1:6">
      <c r="A29" s="16"/>
      <c r="C29" s="15"/>
    </row>
    <row r="30" spans="1:6">
      <c r="A30" s="5" t="s">
        <v>22</v>
      </c>
      <c r="B30" s="5"/>
    </row>
    <row r="31" spans="1:6" ht="30">
      <c r="A31" s="6" t="s">
        <v>9</v>
      </c>
      <c r="B31" s="7" t="s">
        <v>100</v>
      </c>
      <c r="C31" s="7" t="s">
        <v>101</v>
      </c>
      <c r="D31" s="7" t="s">
        <v>102</v>
      </c>
      <c r="E31" s="8" t="s">
        <v>103</v>
      </c>
    </row>
    <row r="32" spans="1:6">
      <c r="A32" s="3" t="s">
        <v>14</v>
      </c>
      <c r="B32" s="9">
        <f>'2009'!E32</f>
        <v>6391.6499999999942</v>
      </c>
      <c r="C32" s="10">
        <f>B10*10.06*12</f>
        <v>66975.455999999991</v>
      </c>
      <c r="D32" s="9">
        <v>58689.68</v>
      </c>
      <c r="E32" s="17">
        <f>B32+C32-D32</f>
        <v>14677.425999999985</v>
      </c>
    </row>
    <row r="33" spans="1:6">
      <c r="A33" s="3" t="s">
        <v>15</v>
      </c>
      <c r="B33" s="9">
        <f>'2009'!E33</f>
        <v>1927.0659999999916</v>
      </c>
      <c r="C33" s="10">
        <f>B10*12*3.58</f>
        <v>23834.207999999999</v>
      </c>
      <c r="D33" s="9">
        <v>19635.13</v>
      </c>
      <c r="E33" s="17">
        <f>B33+C33-D33</f>
        <v>6126.1439999999893</v>
      </c>
    </row>
    <row r="34" spans="1:6">
      <c r="A34" s="6" t="s">
        <v>18</v>
      </c>
      <c r="B34" s="12">
        <f>B32+B33</f>
        <v>8318.7159999999858</v>
      </c>
      <c r="C34" s="12">
        <f>SUM(C32:C33)</f>
        <v>90809.66399999999</v>
      </c>
      <c r="D34" s="12">
        <f>SUM(D32:D33)</f>
        <v>78324.81</v>
      </c>
      <c r="E34" s="12">
        <f>SUM(E32:E33)</f>
        <v>20803.569999999974</v>
      </c>
      <c r="F34" s="13">
        <f>B34+C34-D34</f>
        <v>20803.569999999978</v>
      </c>
    </row>
    <row r="35" spans="1:6">
      <c r="C35" s="14"/>
      <c r="E35" s="13"/>
    </row>
    <row r="36" spans="1:6">
      <c r="A36" s="5" t="s">
        <v>19</v>
      </c>
      <c r="B36" s="5"/>
      <c r="C36" s="15">
        <f>D34/C34*100</f>
        <v>86.251624056223804</v>
      </c>
    </row>
    <row r="37" spans="1:6">
      <c r="A37" s="5" t="s">
        <v>20</v>
      </c>
      <c r="B37" s="5"/>
      <c r="C37" s="15">
        <f>D34/(C34+B34)*100</f>
        <v>79.013507534371101</v>
      </c>
    </row>
    <row r="38" spans="1:6">
      <c r="A38" s="16" t="s">
        <v>21</v>
      </c>
      <c r="C38" s="15">
        <f>E34/(C34/12)</f>
        <v>2.7490778954979915</v>
      </c>
    </row>
    <row r="39" spans="1:6">
      <c r="A39" s="16"/>
      <c r="C39" s="15"/>
    </row>
    <row r="40" spans="1:6">
      <c r="A40" s="107" t="s">
        <v>104</v>
      </c>
      <c r="B40" s="109"/>
      <c r="C40" s="18" t="s">
        <v>25</v>
      </c>
      <c r="D40" s="19" t="s">
        <v>26</v>
      </c>
    </row>
    <row r="41" spans="1:6">
      <c r="A41" s="108"/>
      <c r="B41" s="110"/>
      <c r="C41" s="18">
        <f>C20+C21+C32+C33+C19+C22</f>
        <v>463604.48399999994</v>
      </c>
      <c r="D41" s="12">
        <f>D20+D21+D32+D33+D19+D22</f>
        <v>434728.99</v>
      </c>
    </row>
    <row r="42" spans="1:6">
      <c r="A42" s="20"/>
      <c r="B42" s="21"/>
      <c r="C42" s="15"/>
      <c r="D42" s="22"/>
    </row>
    <row r="43" spans="1:6" ht="18.75">
      <c r="A43" s="90" t="s">
        <v>27</v>
      </c>
      <c r="B43" s="90"/>
      <c r="C43" s="15"/>
    </row>
    <row r="44" spans="1:6" ht="18.75">
      <c r="A44" s="91" t="s">
        <v>112</v>
      </c>
      <c r="B44" s="91"/>
      <c r="C44" s="15"/>
    </row>
    <row r="45" spans="1:6">
      <c r="A45" s="16"/>
      <c r="C45" s="15"/>
    </row>
    <row r="46" spans="1:6" ht="30">
      <c r="A46" s="23" t="s">
        <v>29</v>
      </c>
      <c r="B46" s="23" t="s">
        <v>30</v>
      </c>
      <c r="C46" s="24" t="s">
        <v>31</v>
      </c>
    </row>
    <row r="47" spans="1:6">
      <c r="A47" s="92" t="s">
        <v>32</v>
      </c>
      <c r="B47" s="93"/>
      <c r="C47" s="94"/>
      <c r="F47" s="25"/>
    </row>
    <row r="48" spans="1:6" ht="30">
      <c r="A48" s="26" t="s">
        <v>33</v>
      </c>
      <c r="B48" s="10">
        <v>31561.599999999999</v>
      </c>
      <c r="C48" s="11">
        <f>B48/E48/12</f>
        <v>1.4773540040068154</v>
      </c>
      <c r="E48" s="27">
        <v>1780.3</v>
      </c>
      <c r="F48" s="25"/>
    </row>
    <row r="49" spans="1:6">
      <c r="A49" s="28" t="s">
        <v>34</v>
      </c>
      <c r="B49" s="10">
        <v>233</v>
      </c>
      <c r="C49" s="11">
        <f t="shared" ref="C49:C54" si="1">B49/E49/12</f>
        <v>1.0906401542811138E-2</v>
      </c>
      <c r="E49" s="27">
        <v>1780.3</v>
      </c>
      <c r="F49" s="25"/>
    </row>
    <row r="50" spans="1:6">
      <c r="A50" s="28" t="s">
        <v>35</v>
      </c>
      <c r="B50" s="10">
        <v>2100</v>
      </c>
      <c r="C50" s="11">
        <f t="shared" si="1"/>
        <v>9.8298039656237721E-2</v>
      </c>
      <c r="E50" s="27">
        <v>1780.3</v>
      </c>
      <c r="F50" s="25"/>
    </row>
    <row r="51" spans="1:6" ht="30">
      <c r="A51" s="26" t="s">
        <v>36</v>
      </c>
      <c r="B51" s="10">
        <v>25488</v>
      </c>
      <c r="C51" s="11">
        <f t="shared" si="1"/>
        <v>1.1930573498848509</v>
      </c>
      <c r="E51" s="27">
        <v>1780.3</v>
      </c>
      <c r="F51" s="29">
        <f>C22</f>
        <v>72422.603999999992</v>
      </c>
    </row>
    <row r="52" spans="1:6">
      <c r="A52" s="26" t="s">
        <v>37</v>
      </c>
      <c r="B52" s="10">
        <v>5000</v>
      </c>
      <c r="C52" s="11">
        <f t="shared" si="1"/>
        <v>0.23404295156247076</v>
      </c>
      <c r="E52" s="27">
        <v>1780.3</v>
      </c>
      <c r="F52" s="25"/>
    </row>
    <row r="53" spans="1:6">
      <c r="A53" s="28" t="s">
        <v>38</v>
      </c>
      <c r="B53" s="10">
        <v>600</v>
      </c>
      <c r="C53" s="11">
        <f t="shared" si="1"/>
        <v>2.8085154187496492E-2</v>
      </c>
      <c r="E53" s="27">
        <v>1780.3</v>
      </c>
      <c r="F53" s="25"/>
    </row>
    <row r="54" spans="1:6">
      <c r="A54" s="28" t="s">
        <v>39</v>
      </c>
      <c r="B54" s="10">
        <v>7440</v>
      </c>
      <c r="C54" s="11">
        <f t="shared" si="1"/>
        <v>0.34825591192495647</v>
      </c>
      <c r="E54" s="27">
        <v>1780.3</v>
      </c>
      <c r="F54" s="25"/>
    </row>
    <row r="55" spans="1:6">
      <c r="A55" s="30" t="s">
        <v>40</v>
      </c>
      <c r="B55" s="31">
        <f>SUM(B48:B54)</f>
        <v>72422.600000000006</v>
      </c>
      <c r="C55" s="31">
        <v>3.39</v>
      </c>
      <c r="E55" s="27">
        <v>3538.9</v>
      </c>
      <c r="F55" s="25"/>
    </row>
    <row r="56" spans="1:6">
      <c r="A56" s="95" t="s">
        <v>41</v>
      </c>
      <c r="B56" s="96"/>
      <c r="C56" s="96"/>
      <c r="D56" s="13"/>
      <c r="F56" s="25"/>
    </row>
    <row r="57" spans="1:6" ht="30">
      <c r="A57" s="32" t="s">
        <v>42</v>
      </c>
      <c r="B57" s="33">
        <f>C57*E57*12</f>
        <v>7904.5320000000002</v>
      </c>
      <c r="C57" s="34" t="s">
        <v>43</v>
      </c>
      <c r="D57" s="29"/>
      <c r="E57" s="25">
        <v>1780.3</v>
      </c>
      <c r="F57" s="25"/>
    </row>
    <row r="58" spans="1:6">
      <c r="A58" s="32" t="s">
        <v>44</v>
      </c>
      <c r="B58" s="33">
        <f>C58*E58*12</f>
        <v>1068.18</v>
      </c>
      <c r="C58" s="34" t="s">
        <v>45</v>
      </c>
      <c r="D58" s="29"/>
      <c r="E58" s="25">
        <v>1780.3</v>
      </c>
      <c r="F58" s="25"/>
    </row>
    <row r="59" spans="1:6">
      <c r="A59" s="35" t="s">
        <v>46</v>
      </c>
      <c r="B59" s="31">
        <f>B57+B58</f>
        <v>8972.7119999999995</v>
      </c>
      <c r="C59" s="36" t="s">
        <v>47</v>
      </c>
      <c r="D59" s="29"/>
      <c r="E59" s="25"/>
      <c r="F59" s="25"/>
    </row>
    <row r="60" spans="1:6">
      <c r="A60" s="37" t="s">
        <v>48</v>
      </c>
      <c r="B60" s="33">
        <v>22428.94</v>
      </c>
      <c r="C60" s="33">
        <f>B60/12/2335.1</f>
        <v>0.80042753343896755</v>
      </c>
      <c r="D60" s="29"/>
      <c r="E60" s="29"/>
      <c r="F60" s="25">
        <v>0.8</v>
      </c>
    </row>
    <row r="61" spans="1:6">
      <c r="A61" s="37" t="s">
        <v>49</v>
      </c>
      <c r="B61" s="33">
        <v>4743.25</v>
      </c>
      <c r="C61" s="33">
        <f t="shared" ref="C61:C82" si="2">B61/12/2335.1</f>
        <v>0.16927362140093929</v>
      </c>
      <c r="D61" s="25"/>
      <c r="E61" s="29">
        <v>5</v>
      </c>
      <c r="F61" s="25">
        <v>2226.6999999999998</v>
      </c>
    </row>
    <row r="62" spans="1:6">
      <c r="A62" s="37" t="s">
        <v>50</v>
      </c>
      <c r="B62" s="33">
        <v>5616.8</v>
      </c>
      <c r="C62" s="33">
        <f t="shared" si="2"/>
        <v>0.20044823205287426</v>
      </c>
      <c r="D62" s="29"/>
      <c r="E62" s="25"/>
      <c r="F62" s="25">
        <v>2226.6999999999998</v>
      </c>
    </row>
    <row r="63" spans="1:6" ht="30">
      <c r="A63" s="38" t="s">
        <v>51</v>
      </c>
      <c r="B63" s="33">
        <v>3114.62</v>
      </c>
      <c r="C63" s="33">
        <f t="shared" si="2"/>
        <v>0.11115227042382197</v>
      </c>
      <c r="D63" s="25"/>
      <c r="E63" s="25"/>
      <c r="F63" s="25">
        <v>2226.6999999999998</v>
      </c>
    </row>
    <row r="64" spans="1:6">
      <c r="A64" s="37" t="s">
        <v>52</v>
      </c>
      <c r="B64" s="33">
        <v>2293.35</v>
      </c>
      <c r="C64" s="33">
        <f t="shared" si="2"/>
        <v>8.184339000471072E-2</v>
      </c>
      <c r="D64" s="25"/>
      <c r="E64" s="25"/>
      <c r="F64" s="25">
        <v>2226.6999999999998</v>
      </c>
    </row>
    <row r="65" spans="1:6" ht="30">
      <c r="A65" s="38" t="s">
        <v>53</v>
      </c>
      <c r="B65" s="33">
        <v>4108.17</v>
      </c>
      <c r="C65" s="33">
        <f t="shared" si="2"/>
        <v>0.14660935291850458</v>
      </c>
      <c r="D65" s="25"/>
      <c r="E65" s="25"/>
      <c r="F65" s="25">
        <v>2226.6999999999998</v>
      </c>
    </row>
    <row r="66" spans="1:6">
      <c r="A66" s="37" t="s">
        <v>54</v>
      </c>
      <c r="B66" s="33">
        <v>1047.07</v>
      </c>
      <c r="C66" s="33">
        <f t="shared" si="2"/>
        <v>3.7367064936548039E-2</v>
      </c>
      <c r="D66" s="25"/>
      <c r="E66" s="25"/>
      <c r="F66" s="25">
        <v>2226.6999999999998</v>
      </c>
    </row>
    <row r="67" spans="1:6">
      <c r="A67" s="37" t="s">
        <v>55</v>
      </c>
      <c r="B67" s="33">
        <v>488.65</v>
      </c>
      <c r="C67" s="33">
        <f t="shared" si="2"/>
        <v>1.7438582216321927E-2</v>
      </c>
      <c r="D67" s="25"/>
      <c r="E67" s="25"/>
      <c r="F67" s="25">
        <v>2226.6999999999998</v>
      </c>
    </row>
    <row r="68" spans="1:6">
      <c r="A68" s="37" t="s">
        <v>56</v>
      </c>
      <c r="B68" s="33">
        <v>1264.46</v>
      </c>
      <c r="C68" s="33">
        <f t="shared" si="2"/>
        <v>4.5125119552338944E-2</v>
      </c>
      <c r="D68" s="25"/>
      <c r="E68" s="25"/>
      <c r="F68" s="25">
        <v>2226.6999999999998</v>
      </c>
    </row>
    <row r="69" spans="1:6">
      <c r="A69" s="37" t="s">
        <v>57</v>
      </c>
      <c r="B69" s="33">
        <v>15979.56</v>
      </c>
      <c r="C69" s="33">
        <f t="shared" si="2"/>
        <v>0.57026679799580315</v>
      </c>
      <c r="F69" s="25">
        <v>2226.6999999999998</v>
      </c>
    </row>
    <row r="70" spans="1:6">
      <c r="A70" s="37" t="s">
        <v>58</v>
      </c>
      <c r="B70" s="33">
        <v>17230.13</v>
      </c>
      <c r="C70" s="33">
        <f t="shared" si="2"/>
        <v>0.61489622143234413</v>
      </c>
      <c r="D70" s="118" t="s">
        <v>105</v>
      </c>
      <c r="E70" s="119"/>
      <c r="F70" s="119"/>
    </row>
    <row r="71" spans="1:6">
      <c r="A71" s="37" t="s">
        <v>59</v>
      </c>
      <c r="B71" s="33">
        <v>18665.97</v>
      </c>
      <c r="C71" s="33">
        <f t="shared" si="2"/>
        <v>0.66613742452143387</v>
      </c>
      <c r="D71" s="120" t="s">
        <v>29</v>
      </c>
      <c r="E71" s="121"/>
      <c r="F71" s="23" t="s">
        <v>62</v>
      </c>
    </row>
    <row r="72" spans="1:6">
      <c r="A72" s="38" t="s">
        <v>60</v>
      </c>
      <c r="B72" s="33">
        <v>89659.04</v>
      </c>
      <c r="C72" s="33">
        <f t="shared" si="2"/>
        <v>3.1996859520648653</v>
      </c>
      <c r="D72" s="111" t="s">
        <v>64</v>
      </c>
      <c r="E72" s="112"/>
      <c r="F72" s="60">
        <v>51214</v>
      </c>
    </row>
    <row r="73" spans="1:6">
      <c r="A73" s="37" t="s">
        <v>61</v>
      </c>
      <c r="B73" s="33">
        <v>22381.1</v>
      </c>
      <c r="C73" s="33">
        <f t="shared" si="2"/>
        <v>0.7987202546643255</v>
      </c>
      <c r="D73" s="111" t="s">
        <v>68</v>
      </c>
      <c r="E73" s="112"/>
      <c r="F73" s="60">
        <v>14779</v>
      </c>
    </row>
    <row r="74" spans="1:6" ht="15" customHeight="1">
      <c r="A74" s="37" t="s">
        <v>63</v>
      </c>
      <c r="B74" s="33">
        <v>13403.6</v>
      </c>
      <c r="C74" s="33">
        <f t="shared" si="2"/>
        <v>0.47833782992876828</v>
      </c>
      <c r="D74" s="61" t="s">
        <v>106</v>
      </c>
      <c r="E74" s="62"/>
      <c r="F74" s="63">
        <v>901.29</v>
      </c>
    </row>
    <row r="75" spans="1:6">
      <c r="A75" s="38" t="s">
        <v>65</v>
      </c>
      <c r="B75" s="33">
        <v>1985.5</v>
      </c>
      <c r="C75" s="33">
        <f t="shared" si="2"/>
        <v>7.0857065364795233E-2</v>
      </c>
      <c r="D75" s="113" t="s">
        <v>107</v>
      </c>
      <c r="E75" s="114"/>
      <c r="F75" s="63">
        <v>20074</v>
      </c>
    </row>
    <row r="76" spans="1:6">
      <c r="A76" s="40" t="s">
        <v>66</v>
      </c>
      <c r="B76" s="33">
        <v>9516.67</v>
      </c>
      <c r="C76" s="33">
        <f t="shared" si="2"/>
        <v>0.33962392759767607</v>
      </c>
      <c r="D76" s="111" t="s">
        <v>108</v>
      </c>
      <c r="E76" s="112"/>
      <c r="F76" s="60">
        <v>421.8</v>
      </c>
    </row>
    <row r="77" spans="1:6" ht="15" customHeight="1">
      <c r="A77" s="37" t="s">
        <v>67</v>
      </c>
      <c r="B77" s="33">
        <v>6911.56</v>
      </c>
      <c r="C77" s="33">
        <f t="shared" si="2"/>
        <v>0.24665467574550701</v>
      </c>
      <c r="D77" s="111" t="s">
        <v>109</v>
      </c>
      <c r="E77" s="112"/>
      <c r="F77" s="60">
        <v>8805.6</v>
      </c>
    </row>
    <row r="78" spans="1:6" ht="30">
      <c r="A78" s="38" t="s">
        <v>69</v>
      </c>
      <c r="B78" s="33">
        <v>4758.33</v>
      </c>
      <c r="C78" s="33">
        <f t="shared" si="2"/>
        <v>0.16981178536251124</v>
      </c>
      <c r="D78" s="111" t="s">
        <v>110</v>
      </c>
      <c r="E78" s="112"/>
      <c r="F78" s="60">
        <v>26571.88</v>
      </c>
    </row>
    <row r="79" spans="1:6">
      <c r="A79" s="26" t="s">
        <v>70</v>
      </c>
      <c r="B79" s="33">
        <v>14728.17</v>
      </c>
      <c r="C79" s="33">
        <f t="shared" si="2"/>
        <v>0.52560811100167026</v>
      </c>
      <c r="D79" s="113" t="s">
        <v>111</v>
      </c>
      <c r="E79" s="114"/>
      <c r="F79" s="63">
        <v>306976</v>
      </c>
    </row>
    <row r="80" spans="1:6">
      <c r="A80" s="38" t="s">
        <v>71</v>
      </c>
      <c r="B80" s="33">
        <v>10876.19</v>
      </c>
      <c r="C80" s="33">
        <f t="shared" si="2"/>
        <v>0.38814147859477827</v>
      </c>
      <c r="D80" s="113"/>
      <c r="E80" s="114"/>
      <c r="F80" s="63"/>
    </row>
    <row r="81" spans="1:8">
      <c r="A81" s="38" t="s">
        <v>72</v>
      </c>
      <c r="B81" s="33">
        <v>687.14</v>
      </c>
      <c r="C81" s="33">
        <f t="shared" si="2"/>
        <v>2.4522147516880075E-2</v>
      </c>
      <c r="D81" s="115" t="s">
        <v>75</v>
      </c>
      <c r="E81" s="115"/>
      <c r="F81" s="64">
        <f>SUM(F72:F80)</f>
        <v>429743.57</v>
      </c>
    </row>
    <row r="82" spans="1:8">
      <c r="A82" s="38" t="s">
        <v>123</v>
      </c>
      <c r="B82" s="33">
        <v>10005</v>
      </c>
      <c r="C82" s="33">
        <f t="shared" si="2"/>
        <v>0.35705108988908402</v>
      </c>
      <c r="D82" s="113" t="s">
        <v>153</v>
      </c>
      <c r="E82" s="114"/>
      <c r="F82" s="64">
        <f>60500+3920</f>
        <v>64420</v>
      </c>
    </row>
    <row r="83" spans="1:8">
      <c r="A83" s="38"/>
      <c r="B83" s="33"/>
      <c r="C83" s="33"/>
      <c r="D83" s="113" t="s">
        <v>143</v>
      </c>
      <c r="E83" s="114"/>
      <c r="F83" s="64">
        <f>F82*15%</f>
        <v>9663</v>
      </c>
    </row>
    <row r="84" spans="1:8">
      <c r="A84" s="6" t="s">
        <v>73</v>
      </c>
      <c r="B84" s="44">
        <f>SUM(B60:B82)</f>
        <v>281893.27</v>
      </c>
      <c r="C84" s="44">
        <f>SUM(C60:C82)</f>
        <v>10.059999928625471</v>
      </c>
      <c r="D84" s="113" t="s">
        <v>144</v>
      </c>
      <c r="E84" s="114"/>
      <c r="F84" s="64">
        <f>F82-F83</f>
        <v>54757</v>
      </c>
    </row>
    <row r="85" spans="1:8">
      <c r="A85" s="28" t="s">
        <v>74</v>
      </c>
      <c r="B85" s="44">
        <f>F85</f>
        <v>374986.57</v>
      </c>
      <c r="C85" s="3"/>
      <c r="D85" s="116" t="s">
        <v>75</v>
      </c>
      <c r="E85" s="117"/>
      <c r="F85" s="64">
        <f>F81-F84</f>
        <v>374986.57</v>
      </c>
    </row>
    <row r="86" spans="1:8">
      <c r="A86" s="49" t="s">
        <v>122</v>
      </c>
      <c r="B86" s="50">
        <f>B85+B84+B59+B55</f>
        <v>738275.15200000012</v>
      </c>
      <c r="D86" s="51"/>
      <c r="E86" s="52"/>
    </row>
    <row r="87" spans="1:8">
      <c r="A87" s="53"/>
      <c r="B87" s="54"/>
      <c r="C87" s="54"/>
    </row>
    <row r="88" spans="1:8">
      <c r="A88" s="49"/>
      <c r="B88" s="54"/>
      <c r="F88" t="s">
        <v>77</v>
      </c>
    </row>
    <row r="89" spans="1:8" ht="60">
      <c r="A89" s="55"/>
      <c r="B89" s="56" t="s">
        <v>98</v>
      </c>
      <c r="C89" s="7" t="s">
        <v>117</v>
      </c>
      <c r="D89" s="7" t="s">
        <v>118</v>
      </c>
      <c r="E89" s="7" t="s">
        <v>119</v>
      </c>
      <c r="F89" s="56" t="s">
        <v>120</v>
      </c>
    </row>
    <row r="90" spans="1:8">
      <c r="A90" s="55" t="s">
        <v>83</v>
      </c>
      <c r="B90" s="57">
        <f>B19+B21+B32</f>
        <v>9469.4459999999817</v>
      </c>
      <c r="C90" s="57">
        <f>C19+C21+C32</f>
        <v>290865.984</v>
      </c>
      <c r="D90" s="57">
        <f>D19+D21+D32</f>
        <v>208067.53999999998</v>
      </c>
      <c r="E90" s="57">
        <f>B84+B59</f>
        <v>290865.98200000002</v>
      </c>
      <c r="F90" s="10">
        <f>B90+C90-D90</f>
        <v>92267.890000000014</v>
      </c>
      <c r="H90" s="13">
        <f>C90-E90</f>
        <v>1.9999999785795808E-3</v>
      </c>
    </row>
    <row r="91" spans="1:8">
      <c r="A91" s="55" t="s">
        <v>15</v>
      </c>
      <c r="B91" s="57">
        <f>B20+B33</f>
        <v>60796.821999999993</v>
      </c>
      <c r="C91" s="57">
        <f>C20+C33</f>
        <v>100315.89599999999</v>
      </c>
      <c r="D91" s="57">
        <f>D20+D33</f>
        <v>154986.57</v>
      </c>
      <c r="E91" s="57">
        <f>B85</f>
        <v>374986.57</v>
      </c>
      <c r="F91" s="10">
        <f>B91+C91-D91</f>
        <v>6126.1479999999865</v>
      </c>
    </row>
    <row r="92" spans="1:8">
      <c r="A92" s="55" t="s">
        <v>17</v>
      </c>
      <c r="B92" s="57">
        <f>B22</f>
        <v>4.0000000008149073E-3</v>
      </c>
      <c r="C92" s="57">
        <f>C22</f>
        <v>72422.603999999992</v>
      </c>
      <c r="D92" s="57">
        <f>D22</f>
        <v>71674.880000000005</v>
      </c>
      <c r="E92" s="57">
        <f>B55</f>
        <v>72422.600000000006</v>
      </c>
      <c r="F92" s="10">
        <f>B92+C92-D92</f>
        <v>747.72799999998824</v>
      </c>
      <c r="H92" s="13">
        <f>C92-E92</f>
        <v>3.999999986262992E-3</v>
      </c>
    </row>
    <row r="93" spans="1:8">
      <c r="A93" s="55" t="s">
        <v>84</v>
      </c>
      <c r="B93" s="44">
        <f>SUM(B90:B92)</f>
        <v>70266.271999999983</v>
      </c>
      <c r="C93" s="44">
        <f>SUM(C90:C92)</f>
        <v>463604.484</v>
      </c>
      <c r="D93" s="12">
        <f>SUM(D90:D92)</f>
        <v>434728.99</v>
      </c>
      <c r="E93" s="12">
        <f>SUM(E90:E92)</f>
        <v>738275.152</v>
      </c>
      <c r="F93" s="12">
        <f>SUM(F90:F92)</f>
        <v>99141.765999999989</v>
      </c>
    </row>
    <row r="94" spans="1:8">
      <c r="A94" s="49"/>
      <c r="B94" s="50"/>
      <c r="C94" s="50"/>
      <c r="D94" s="22"/>
      <c r="E94" s="22"/>
      <c r="F94" s="22"/>
    </row>
    <row r="95" spans="1:8">
      <c r="A95" s="49"/>
      <c r="B95" s="22"/>
    </row>
    <row r="96" spans="1:8">
      <c r="A96" s="58"/>
      <c r="B96" s="53"/>
    </row>
    <row r="97" spans="1:6">
      <c r="A97" s="6" t="s">
        <v>15</v>
      </c>
      <c r="B97" s="12">
        <v>2008</v>
      </c>
      <c r="C97" s="6">
        <v>2009</v>
      </c>
      <c r="D97" s="6">
        <v>2010</v>
      </c>
      <c r="E97" s="6" t="s">
        <v>18</v>
      </c>
    </row>
    <row r="98" spans="1:6">
      <c r="A98" s="3" t="s">
        <v>113</v>
      </c>
      <c r="B98" s="10">
        <f>'2008'!C89</f>
        <v>75517.133999999991</v>
      </c>
      <c r="C98" s="10">
        <f>'2009'!C89</f>
        <v>97326.968000000008</v>
      </c>
      <c r="D98" s="10">
        <f>C91</f>
        <v>100315.89599999999</v>
      </c>
      <c r="E98" s="10">
        <f>B98+C98+D98</f>
        <v>273159.99800000002</v>
      </c>
    </row>
    <row r="99" spans="1:6">
      <c r="A99" s="3" t="s">
        <v>114</v>
      </c>
      <c r="B99" s="10">
        <f>'2008'!E89</f>
        <v>37911.039999999994</v>
      </c>
      <c r="C99" s="10">
        <f>'2009'!E89</f>
        <v>74136.240000000005</v>
      </c>
      <c r="D99" s="10">
        <f>E91</f>
        <v>374986.57</v>
      </c>
      <c r="E99" s="10">
        <f t="shared" ref="E99:E101" si="3">B99+C99+D99</f>
        <v>487033.85</v>
      </c>
    </row>
    <row r="100" spans="1:6">
      <c r="A100" s="3" t="s">
        <v>115</v>
      </c>
      <c r="B100" s="10">
        <f>B98-B99</f>
        <v>37606.093999999997</v>
      </c>
      <c r="C100" s="10">
        <f t="shared" ref="C100:D100" si="4">C98-C99</f>
        <v>23190.728000000003</v>
      </c>
      <c r="D100" s="10">
        <f t="shared" si="4"/>
        <v>-274670.674</v>
      </c>
      <c r="E100" s="12">
        <f t="shared" si="3"/>
        <v>-213873.85200000001</v>
      </c>
    </row>
    <row r="101" spans="1:6">
      <c r="A101" s="3" t="s">
        <v>116</v>
      </c>
      <c r="B101" s="10">
        <f>'2008'!E89</f>
        <v>37911.039999999994</v>
      </c>
      <c r="C101" s="10">
        <f>'2009'!D89</f>
        <v>74136.240000000005</v>
      </c>
      <c r="D101" s="10">
        <f>D91</f>
        <v>154986.57</v>
      </c>
      <c r="E101" s="10">
        <f t="shared" si="3"/>
        <v>267033.84999999998</v>
      </c>
      <c r="F101" s="13"/>
    </row>
  </sheetData>
  <mergeCells count="25">
    <mergeCell ref="D80:E80"/>
    <mergeCell ref="D81:E81"/>
    <mergeCell ref="D84:E84"/>
    <mergeCell ref="D85:E85"/>
    <mergeCell ref="D70:F70"/>
    <mergeCell ref="D71:E71"/>
    <mergeCell ref="D73:E73"/>
    <mergeCell ref="D75:E75"/>
    <mergeCell ref="D76:E76"/>
    <mergeCell ref="D77:E77"/>
    <mergeCell ref="D78:E78"/>
    <mergeCell ref="D79:E79"/>
    <mergeCell ref="D82:E82"/>
    <mergeCell ref="D83:E83"/>
    <mergeCell ref="A43:B43"/>
    <mergeCell ref="A44:B44"/>
    <mergeCell ref="A47:C47"/>
    <mergeCell ref="A56:C56"/>
    <mergeCell ref="D72:E72"/>
    <mergeCell ref="A4:E4"/>
    <mergeCell ref="A5:E5"/>
    <mergeCell ref="A6:E6"/>
    <mergeCell ref="A15:E15"/>
    <mergeCell ref="A40:A41"/>
    <mergeCell ref="B40:B4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3:I95"/>
  <sheetViews>
    <sheetView tabSelected="1" topLeftCell="A71" workbookViewId="0">
      <selection activeCell="B42" sqref="B42:G91"/>
    </sheetView>
  </sheetViews>
  <sheetFormatPr defaultRowHeight="15"/>
  <cols>
    <col min="2" max="2" width="45.42578125" customWidth="1"/>
    <col min="3" max="6" width="18.85546875" customWidth="1"/>
    <col min="7" max="7" width="18.28515625" customWidth="1"/>
    <col min="9" max="9" width="11.140625" customWidth="1"/>
  </cols>
  <sheetData>
    <row r="3" spans="2:6" ht="18.75">
      <c r="B3" s="91" t="s">
        <v>0</v>
      </c>
      <c r="C3" s="91"/>
      <c r="D3" s="91"/>
      <c r="E3" s="91"/>
      <c r="F3" s="91"/>
    </row>
    <row r="4" spans="2:6" ht="18.75">
      <c r="B4" s="91" t="s">
        <v>1</v>
      </c>
      <c r="C4" s="91"/>
      <c r="D4" s="91"/>
      <c r="E4" s="91"/>
      <c r="F4" s="91"/>
    </row>
    <row r="5" spans="2:6" ht="18.75">
      <c r="B5" s="91" t="s">
        <v>151</v>
      </c>
      <c r="C5" s="91"/>
      <c r="D5" s="91"/>
      <c r="E5" s="91"/>
      <c r="F5" s="91"/>
    </row>
    <row r="7" spans="2:6" ht="18.75">
      <c r="B7" s="1"/>
      <c r="C7" s="2" t="s">
        <v>86</v>
      </c>
    </row>
    <row r="8" spans="2:6">
      <c r="B8" s="3" t="s">
        <v>2</v>
      </c>
      <c r="C8" s="59">
        <v>1780.3</v>
      </c>
    </row>
    <row r="9" spans="2:6">
      <c r="B9" s="4" t="s">
        <v>3</v>
      </c>
      <c r="C9" s="3">
        <v>554.79999999999995</v>
      </c>
    </row>
    <row r="10" spans="2:6">
      <c r="B10" s="3" t="s">
        <v>4</v>
      </c>
      <c r="C10" s="3">
        <v>9</v>
      </c>
    </row>
    <row r="11" spans="2:6">
      <c r="B11" s="3" t="s">
        <v>5</v>
      </c>
      <c r="C11" s="3">
        <v>1</v>
      </c>
    </row>
    <row r="12" spans="2:6">
      <c r="B12" s="3" t="s">
        <v>6</v>
      </c>
      <c r="C12" s="3">
        <v>27</v>
      </c>
    </row>
    <row r="14" spans="2:6" ht="18.75">
      <c r="B14" s="105" t="s">
        <v>7</v>
      </c>
      <c r="C14" s="106"/>
      <c r="D14" s="106"/>
      <c r="E14" s="106"/>
      <c r="F14" s="106"/>
    </row>
    <row r="16" spans="2:6">
      <c r="B16" s="5" t="s">
        <v>8</v>
      </c>
      <c r="C16" s="5"/>
    </row>
    <row r="17" spans="2:7" ht="30">
      <c r="B17" s="6" t="s">
        <v>9</v>
      </c>
      <c r="C17" s="67" t="s">
        <v>127</v>
      </c>
      <c r="D17" s="67" t="s">
        <v>128</v>
      </c>
      <c r="E17" s="67" t="s">
        <v>129</v>
      </c>
      <c r="F17" s="8" t="s">
        <v>130</v>
      </c>
    </row>
    <row r="18" spans="2:7">
      <c r="B18" s="3" t="s">
        <v>14</v>
      </c>
      <c r="C18" s="9">
        <f>'2010'!E19</f>
        <v>76917.495999999985</v>
      </c>
      <c r="D18" s="10">
        <f>C8*10.06*11</f>
        <v>197007.99799999999</v>
      </c>
      <c r="E18" s="9">
        <v>193925.49</v>
      </c>
      <c r="F18" s="11">
        <f>C18+D18-E18</f>
        <v>80000.003999999957</v>
      </c>
    </row>
    <row r="19" spans="2:7">
      <c r="B19" s="3" t="s">
        <v>15</v>
      </c>
      <c r="C19" s="9">
        <f>'2010'!E20</f>
        <v>3.999999986262992E-3</v>
      </c>
      <c r="D19" s="10">
        <f>C8*3.58*11</f>
        <v>70108.214000000007</v>
      </c>
      <c r="E19" s="9">
        <v>4391.5</v>
      </c>
      <c r="F19" s="11">
        <f t="shared" ref="F19:F21" si="0">C19+D19-E19</f>
        <v>65716.717999999993</v>
      </c>
    </row>
    <row r="20" spans="2:7">
      <c r="B20" s="3" t="s">
        <v>16</v>
      </c>
      <c r="C20" s="9">
        <f>'2010'!E21</f>
        <v>672.96800000000076</v>
      </c>
      <c r="D20" s="10">
        <f>C8*0.42*11</f>
        <v>8224.9860000000008</v>
      </c>
      <c r="E20" s="9">
        <v>8150.22</v>
      </c>
      <c r="F20" s="11">
        <f t="shared" si="0"/>
        <v>747.73400000000129</v>
      </c>
    </row>
    <row r="21" spans="2:7">
      <c r="B21" s="3" t="s">
        <v>17</v>
      </c>
      <c r="C21" s="9">
        <f>'2010'!E22</f>
        <v>747.72799999998824</v>
      </c>
      <c r="D21" s="10">
        <f>C8*3.39*11</f>
        <v>66387.387000000002</v>
      </c>
      <c r="E21" s="9">
        <v>61099.9</v>
      </c>
      <c r="F21" s="11">
        <f t="shared" si="0"/>
        <v>6035.2149999999892</v>
      </c>
    </row>
    <row r="22" spans="2:7">
      <c r="B22" s="6" t="s">
        <v>18</v>
      </c>
      <c r="C22" s="12">
        <f>SUM(C18:C21)</f>
        <v>78338.195999999953</v>
      </c>
      <c r="D22" s="12">
        <f>SUM(D18:D21)</f>
        <v>341728.58499999996</v>
      </c>
      <c r="E22" s="12">
        <f>SUM(E18:E21)</f>
        <v>267567.11</v>
      </c>
      <c r="F22" s="12">
        <f>SUM(F18:F21)</f>
        <v>152499.67099999994</v>
      </c>
      <c r="G22" s="13">
        <f>C22+D22-E22</f>
        <v>152499.67099999991</v>
      </c>
    </row>
    <row r="23" spans="2:7">
      <c r="D23" s="14"/>
    </row>
    <row r="24" spans="2:7">
      <c r="B24" s="5" t="s">
        <v>19</v>
      </c>
      <c r="C24" s="5"/>
      <c r="D24" s="15">
        <f>E22/D22*100</f>
        <v>78.298135346213442</v>
      </c>
    </row>
    <row r="25" spans="2:7">
      <c r="B25" s="5" t="s">
        <v>20</v>
      </c>
      <c r="C25" s="5"/>
      <c r="D25" s="15">
        <f>E22/(D22+C22)*100</f>
        <v>63.696326894270662</v>
      </c>
    </row>
    <row r="26" spans="2:7">
      <c r="B26" s="16" t="s">
        <v>21</v>
      </c>
      <c r="D26" s="15">
        <f>F22/(D22/11)</f>
        <v>4.9088559009484074</v>
      </c>
    </row>
    <row r="27" spans="2:7">
      <c r="B27" s="16"/>
      <c r="D27" s="15"/>
    </row>
    <row r="28" spans="2:7">
      <c r="B28" s="16"/>
      <c r="D28" s="15"/>
    </row>
    <row r="29" spans="2:7">
      <c r="B29" s="5" t="s">
        <v>22</v>
      </c>
      <c r="C29" s="5"/>
    </row>
    <row r="30" spans="2:7" ht="30">
      <c r="B30" s="6" t="s">
        <v>9</v>
      </c>
      <c r="C30" s="67" t="s">
        <v>127</v>
      </c>
      <c r="D30" s="67" t="s">
        <v>128</v>
      </c>
      <c r="E30" s="67" t="s">
        <v>129</v>
      </c>
      <c r="F30" s="8" t="s">
        <v>130</v>
      </c>
    </row>
    <row r="31" spans="2:7">
      <c r="B31" s="3" t="s">
        <v>14</v>
      </c>
      <c r="C31" s="9">
        <f>'2010'!E32</f>
        <v>14677.425999999985</v>
      </c>
      <c r="D31" s="10">
        <f>C9*10.06*11</f>
        <v>61394.167999999998</v>
      </c>
      <c r="E31" s="9">
        <v>76071.59</v>
      </c>
      <c r="F31" s="17">
        <f>C31+D31-E31</f>
        <v>3.999999986262992E-3</v>
      </c>
    </row>
    <row r="32" spans="2:7">
      <c r="B32" s="3" t="s">
        <v>15</v>
      </c>
      <c r="C32" s="9">
        <f>'2010'!E33</f>
        <v>6126.1439999999893</v>
      </c>
      <c r="D32" s="10">
        <f>C9*3.58*11</f>
        <v>21848.024000000001</v>
      </c>
      <c r="E32" s="9">
        <v>3000</v>
      </c>
      <c r="F32" s="17">
        <f>C32+D32-E32</f>
        <v>24974.167999999991</v>
      </c>
    </row>
    <row r="33" spans="2:7">
      <c r="B33" s="6" t="s">
        <v>18</v>
      </c>
      <c r="C33" s="12">
        <f>C31+C32</f>
        <v>20803.569999999974</v>
      </c>
      <c r="D33" s="12">
        <f>SUM(D31:D32)</f>
        <v>83242.191999999995</v>
      </c>
      <c r="E33" s="12">
        <f>E31+E32</f>
        <v>79071.59</v>
      </c>
      <c r="F33" s="12">
        <f>SUM(F31:F32)+0.01</f>
        <v>24974.181999999975</v>
      </c>
      <c r="G33" s="13">
        <f>C33+D33-E33</f>
        <v>24974.171999999977</v>
      </c>
    </row>
    <row r="34" spans="2:7">
      <c r="D34" s="14"/>
      <c r="F34" s="13"/>
    </row>
    <row r="35" spans="2:7">
      <c r="B35" s="5" t="s">
        <v>19</v>
      </c>
      <c r="C35" s="5"/>
      <c r="D35" s="15">
        <f>E33/D33*100</f>
        <v>94.989797962071933</v>
      </c>
    </row>
    <row r="36" spans="2:7">
      <c r="B36" s="5" t="s">
        <v>20</v>
      </c>
      <c r="C36" s="5"/>
      <c r="D36" s="15">
        <f>E33/(D33+C33)*100</f>
        <v>75.996934887170141</v>
      </c>
    </row>
    <row r="37" spans="2:7">
      <c r="B37" s="16" t="s">
        <v>21</v>
      </c>
      <c r="D37" s="15">
        <f>F33/(D33/11)</f>
        <v>3.3002014411153389</v>
      </c>
    </row>
    <row r="38" spans="2:7">
      <c r="B38" s="16"/>
      <c r="D38" s="15"/>
    </row>
    <row r="39" spans="2:7">
      <c r="B39" s="107" t="s">
        <v>131</v>
      </c>
      <c r="C39" s="109"/>
      <c r="D39" s="18" t="s">
        <v>25</v>
      </c>
      <c r="E39" s="19" t="s">
        <v>26</v>
      </c>
    </row>
    <row r="40" spans="2:7">
      <c r="B40" s="108"/>
      <c r="C40" s="110"/>
      <c r="D40" s="18">
        <f>D19+D20+D31+D32+D18+D21</f>
        <v>424970.777</v>
      </c>
      <c r="E40" s="12">
        <f>E19+E20+E31+E32+E18+E21</f>
        <v>346638.7</v>
      </c>
    </row>
    <row r="41" spans="2:7">
      <c r="B41" s="20"/>
      <c r="C41" s="21"/>
      <c r="D41" s="15"/>
      <c r="E41" s="22"/>
    </row>
    <row r="42" spans="2:7" ht="18.75">
      <c r="B42" s="90" t="s">
        <v>27</v>
      </c>
      <c r="C42" s="90"/>
      <c r="D42" s="15"/>
    </row>
    <row r="43" spans="2:7" ht="18.75">
      <c r="B43" s="91" t="s">
        <v>132</v>
      </c>
      <c r="C43" s="91"/>
      <c r="D43" s="91"/>
    </row>
    <row r="44" spans="2:7">
      <c r="B44" s="16"/>
      <c r="D44" s="15"/>
    </row>
    <row r="45" spans="2:7" ht="45">
      <c r="B45" s="23" t="s">
        <v>29</v>
      </c>
      <c r="C45" s="68" t="s">
        <v>133</v>
      </c>
      <c r="D45" s="24" t="s">
        <v>31</v>
      </c>
    </row>
    <row r="46" spans="2:7">
      <c r="B46" s="92" t="s">
        <v>32</v>
      </c>
      <c r="C46" s="93"/>
      <c r="D46" s="94"/>
      <c r="G46" s="25"/>
    </row>
    <row r="47" spans="2:7" ht="30">
      <c r="B47" s="26" t="s">
        <v>33</v>
      </c>
      <c r="C47" s="10">
        <f>'[1]исполнение 2011 зеон за 11 мес'!$K17</f>
        <v>24336.73</v>
      </c>
      <c r="D47" s="11">
        <f>C47/F47/11</f>
        <v>1.2427287535808571</v>
      </c>
      <c r="F47" s="27">
        <v>1780.3</v>
      </c>
      <c r="G47" s="25"/>
    </row>
    <row r="48" spans="2:7">
      <c r="B48" s="28" t="s">
        <v>34</v>
      </c>
      <c r="C48" s="10">
        <f>'[1]исполнение 2011 зеон за 11 мес'!$K18</f>
        <v>500</v>
      </c>
      <c r="D48" s="11">
        <f t="shared" ref="D48:D53" si="1">C48/F48/11</f>
        <v>2.5531958352269537E-2</v>
      </c>
      <c r="F48" s="27">
        <v>1780.3</v>
      </c>
      <c r="G48" s="25"/>
    </row>
    <row r="49" spans="2:7">
      <c r="B49" s="28" t="s">
        <v>35</v>
      </c>
      <c r="C49" s="10">
        <f>'[1]исполнение 2011 зеон за 11 мес'!$K19</f>
        <v>4000</v>
      </c>
      <c r="D49" s="11">
        <f t="shared" si="1"/>
        <v>0.2042556668181563</v>
      </c>
      <c r="F49" s="27">
        <v>1780.3</v>
      </c>
      <c r="G49" s="25"/>
    </row>
    <row r="50" spans="2:7" ht="30">
      <c r="B50" s="26" t="s">
        <v>36</v>
      </c>
      <c r="C50" s="10">
        <f>'[1]исполнение 2011 зеон за 11 мес'!$K20</f>
        <v>25310.66</v>
      </c>
      <c r="D50" s="11">
        <f t="shared" si="1"/>
        <v>1.2924614339769089</v>
      </c>
      <c r="F50" s="27">
        <v>1780.3</v>
      </c>
      <c r="G50" s="29">
        <f>D21</f>
        <v>66387.387000000002</v>
      </c>
    </row>
    <row r="51" spans="2:7">
      <c r="B51" s="26" t="s">
        <v>37</v>
      </c>
      <c r="C51" s="10">
        <f>'[1]исполнение 2011 зеон за 11 мес'!$K21</f>
        <v>4500</v>
      </c>
      <c r="D51" s="11">
        <f t="shared" si="1"/>
        <v>0.22978762517042581</v>
      </c>
      <c r="F51" s="27">
        <v>1780.3</v>
      </c>
      <c r="G51" s="25"/>
    </row>
    <row r="52" spans="2:7">
      <c r="B52" s="28" t="s">
        <v>38</v>
      </c>
      <c r="C52" s="10">
        <f>'[1]исполнение 2011 зеон за 11 мес'!$K22</f>
        <v>300</v>
      </c>
      <c r="D52" s="11">
        <f t="shared" si="1"/>
        <v>1.5319175011361723E-2</v>
      </c>
      <c r="F52" s="27">
        <v>1780.3</v>
      </c>
      <c r="G52" s="25"/>
    </row>
    <row r="53" spans="2:7">
      <c r="B53" s="28" t="s">
        <v>39</v>
      </c>
      <c r="C53" s="10">
        <f>'[1]исполнение 2011 зеон за 11 мес'!$K23</f>
        <v>7440</v>
      </c>
      <c r="D53" s="11">
        <f t="shared" si="1"/>
        <v>0.37991554028177071</v>
      </c>
      <c r="F53" s="27">
        <v>1780.3</v>
      </c>
      <c r="G53" s="25"/>
    </row>
    <row r="54" spans="2:7">
      <c r="B54" s="30" t="s">
        <v>40</v>
      </c>
      <c r="C54" s="31">
        <f>SUM(C47:C53)</f>
        <v>66387.39</v>
      </c>
      <c r="D54" s="31">
        <f>SUM(D47:D53)</f>
        <v>3.3900001531917501</v>
      </c>
      <c r="F54" s="27"/>
      <c r="G54" s="25"/>
    </row>
    <row r="55" spans="2:7">
      <c r="B55" s="95" t="s">
        <v>41</v>
      </c>
      <c r="C55" s="124"/>
      <c r="D55" s="18"/>
      <c r="E55" s="13"/>
      <c r="G55" s="25"/>
    </row>
    <row r="56" spans="2:7" ht="30">
      <c r="B56" s="32" t="s">
        <v>42</v>
      </c>
      <c r="C56" s="33">
        <f>D56*F56*11</f>
        <v>7245.8209999999999</v>
      </c>
      <c r="D56" s="34" t="s">
        <v>43</v>
      </c>
      <c r="E56" s="29"/>
      <c r="F56" s="25">
        <f>C8</f>
        <v>1780.3</v>
      </c>
      <c r="G56" s="25"/>
    </row>
    <row r="57" spans="2:7">
      <c r="B57" s="32" t="s">
        <v>44</v>
      </c>
      <c r="C57" s="33">
        <f>D57*F57*11</f>
        <v>979.16499999999996</v>
      </c>
      <c r="D57" s="34" t="s">
        <v>45</v>
      </c>
      <c r="E57" s="29"/>
      <c r="F57" s="25">
        <f>C8</f>
        <v>1780.3</v>
      </c>
      <c r="G57" s="25"/>
    </row>
    <row r="58" spans="2:7">
      <c r="B58" s="35" t="s">
        <v>46</v>
      </c>
      <c r="C58" s="31">
        <f>C56+C57</f>
        <v>8224.9860000000008</v>
      </c>
      <c r="D58" s="36" t="s">
        <v>47</v>
      </c>
      <c r="E58" s="29"/>
      <c r="F58" s="25"/>
      <c r="G58" s="25"/>
    </row>
    <row r="59" spans="2:7">
      <c r="B59" s="37" t="s">
        <v>48</v>
      </c>
      <c r="C59" s="33">
        <f>'[1]исполнение 2011 зеон за 11 мес'!$K28</f>
        <v>28006.878725471306</v>
      </c>
      <c r="D59" s="33">
        <f>C59/11/2335.1</f>
        <v>1.0903515413188964</v>
      </c>
      <c r="E59" s="29"/>
      <c r="F59" s="29"/>
      <c r="G59" s="25">
        <v>2226.6999999999998</v>
      </c>
    </row>
    <row r="60" spans="2:7">
      <c r="B60" s="37" t="s">
        <v>49</v>
      </c>
      <c r="C60" s="33">
        <f>'[1]исполнение 2011 зеон за 11 мес'!$K29</f>
        <v>3086.1187912015566</v>
      </c>
      <c r="D60" s="33">
        <f t="shared" ref="D60:D80" si="2">C60/11/2335.1</f>
        <v>0.12014742569722756</v>
      </c>
      <c r="E60" s="25"/>
      <c r="F60" s="29"/>
      <c r="G60" s="25">
        <v>2226.6999999999998</v>
      </c>
    </row>
    <row r="61" spans="2:7">
      <c r="B61" s="37" t="s">
        <v>50</v>
      </c>
      <c r="C61" s="33">
        <f>'[1]исполнение 2011 зеон за 11 мес'!$K30</f>
        <v>0</v>
      </c>
      <c r="D61" s="33">
        <f t="shared" si="2"/>
        <v>0</v>
      </c>
      <c r="E61" s="29"/>
      <c r="F61" s="25"/>
      <c r="G61" s="25">
        <v>2226.6999999999998</v>
      </c>
    </row>
    <row r="62" spans="2:7" ht="30">
      <c r="B62" s="38" t="s">
        <v>51</v>
      </c>
      <c r="C62" s="33">
        <f>'[1]исполнение 2011 зеон за 11 мес'!$K31</f>
        <v>2754.8342250000001</v>
      </c>
      <c r="D62" s="33">
        <f t="shared" si="2"/>
        <v>0.10725000000000001</v>
      </c>
      <c r="E62" s="25"/>
      <c r="F62" s="25"/>
      <c r="G62" s="25">
        <v>2226.6999999999998</v>
      </c>
    </row>
    <row r="63" spans="2:7">
      <c r="B63" s="37" t="s">
        <v>52</v>
      </c>
      <c r="C63" s="33">
        <f>'[1]исполнение 2011 зеон за 11 мес'!$K32</f>
        <v>1838.2374219999999</v>
      </c>
      <c r="D63" s="33">
        <f t="shared" si="2"/>
        <v>7.1565454545454543E-2</v>
      </c>
      <c r="E63" s="25"/>
      <c r="F63" s="25"/>
      <c r="G63" s="25">
        <v>2226.6999999999998</v>
      </c>
    </row>
    <row r="64" spans="2:7" ht="30">
      <c r="B64" s="38" t="s">
        <v>53</v>
      </c>
      <c r="C64" s="33">
        <f>'[1]исполнение 2011 зеон за 11 мес'!$K33</f>
        <v>3013.8974392498576</v>
      </c>
      <c r="D64" s="33">
        <f t="shared" si="2"/>
        <v>0.11733573564106102</v>
      </c>
      <c r="E64" s="25"/>
      <c r="F64" s="25"/>
      <c r="G64" s="25">
        <v>2226.6999999999998</v>
      </c>
    </row>
    <row r="65" spans="2:7">
      <c r="B65" s="37" t="s">
        <v>54</v>
      </c>
      <c r="C65" s="33">
        <f>'[1]исполнение 2011 зеон за 11 мес'!$K34</f>
        <v>870.6017827526066</v>
      </c>
      <c r="D65" s="33">
        <f t="shared" si="2"/>
        <v>3.3893887462581186E-2</v>
      </c>
      <c r="E65" s="25"/>
      <c r="F65" s="25"/>
      <c r="G65" s="25">
        <v>2226.6999999999998</v>
      </c>
    </row>
    <row r="66" spans="2:7">
      <c r="B66" s="37" t="s">
        <v>55</v>
      </c>
      <c r="C66" s="33">
        <f>'[1]исполнение 2011 зеон за 11 мес'!$K35</f>
        <v>563.70917625879667</v>
      </c>
      <c r="D66" s="33">
        <f t="shared" si="2"/>
        <v>2.1946078862061454E-2</v>
      </c>
      <c r="E66" s="25"/>
      <c r="F66" s="25"/>
      <c r="G66" s="25">
        <v>2226.6999999999998</v>
      </c>
    </row>
    <row r="67" spans="2:7">
      <c r="B67" s="37" t="s">
        <v>56</v>
      </c>
      <c r="C67" s="33">
        <f>'[1]исполнение 2011 зеон за 11 мес'!$K36</f>
        <v>1202.4574518734601</v>
      </c>
      <c r="D67" s="33">
        <f t="shared" si="2"/>
        <v>4.681354708863783E-2</v>
      </c>
      <c r="E67" s="25"/>
      <c r="F67" s="25"/>
      <c r="G67" s="25">
        <v>2226.6999999999998</v>
      </c>
    </row>
    <row r="68" spans="2:7">
      <c r="B68" s="37" t="s">
        <v>57</v>
      </c>
      <c r="C68" s="33">
        <f>'[1]исполнение 2011 зеон за 11 мес'!$K37</f>
        <v>14357.13466793895</v>
      </c>
      <c r="D68" s="33">
        <f t="shared" si="2"/>
        <v>0.55894568143622236</v>
      </c>
      <c r="G68" s="25">
        <v>2226.6999999999998</v>
      </c>
    </row>
    <row r="69" spans="2:7">
      <c r="B69" s="37" t="s">
        <v>58</v>
      </c>
      <c r="C69" s="33">
        <f>'[1]исполнение 2011 зеон за 11 мес'!$K38</f>
        <v>29210.114358722731</v>
      </c>
      <c r="D69" s="33">
        <f t="shared" si="2"/>
        <v>1.1371953842242588</v>
      </c>
      <c r="G69" s="25">
        <v>2226.6999999999998</v>
      </c>
    </row>
    <row r="70" spans="2:7">
      <c r="B70" s="37" t="s">
        <v>59</v>
      </c>
      <c r="C70" s="33">
        <f>'[1]исполнение 2011 зеон за 11 мес'!$K39</f>
        <v>27764</v>
      </c>
      <c r="D70" s="33">
        <f t="shared" si="2"/>
        <v>1.0808958931095027</v>
      </c>
      <c r="G70" s="25">
        <v>2226.6999999999998</v>
      </c>
    </row>
    <row r="71" spans="2:7">
      <c r="B71" s="37" t="s">
        <v>61</v>
      </c>
      <c r="C71" s="33">
        <f>'[1]исполнение 2011 зеон за 11 мес'!$K40</f>
        <v>24443.07</v>
      </c>
      <c r="D71" s="33">
        <f t="shared" si="2"/>
        <v>0.95160690023008565</v>
      </c>
      <c r="E71" s="118" t="s">
        <v>134</v>
      </c>
      <c r="F71" s="119"/>
      <c r="G71" s="119"/>
    </row>
    <row r="72" spans="2:7">
      <c r="B72" s="37" t="s">
        <v>63</v>
      </c>
      <c r="C72" s="33">
        <f>'[1]исполнение 2011 зеон за 11 мес'!$K41</f>
        <v>6354.9324481671993</v>
      </c>
      <c r="D72" s="33">
        <f t="shared" si="2"/>
        <v>0.24740744792581201</v>
      </c>
      <c r="E72" s="120" t="s">
        <v>29</v>
      </c>
      <c r="F72" s="121"/>
      <c r="G72" s="23" t="s">
        <v>62</v>
      </c>
    </row>
    <row r="73" spans="2:7">
      <c r="B73" s="38" t="s">
        <v>71</v>
      </c>
      <c r="C73" s="33">
        <f>'[1]исполнение 2011 зеон за 11 мес'!$K42</f>
        <v>1851.6712747209338</v>
      </c>
      <c r="D73" s="33">
        <f t="shared" si="2"/>
        <v>7.2088455418336528E-2</v>
      </c>
      <c r="E73" s="111" t="s">
        <v>64</v>
      </c>
      <c r="F73" s="112"/>
      <c r="G73" s="69"/>
    </row>
    <row r="74" spans="2:7">
      <c r="B74" s="38" t="s">
        <v>135</v>
      </c>
      <c r="C74" s="33">
        <f>'[1]исполнение 2011 зеон за 11 мес'!$K43</f>
        <v>9258.356373604669</v>
      </c>
      <c r="D74" s="33">
        <f t="shared" si="2"/>
        <v>0.36044227709168264</v>
      </c>
      <c r="E74" s="111" t="s">
        <v>68</v>
      </c>
      <c r="F74" s="112"/>
      <c r="G74" s="69">
        <v>5865.29</v>
      </c>
    </row>
    <row r="75" spans="2:7">
      <c r="B75" s="26" t="s">
        <v>70</v>
      </c>
      <c r="C75" s="33">
        <f>'[1]исполнение 2011 зеон за 11 мес'!$K44</f>
        <v>11222.25014982384</v>
      </c>
      <c r="D75" s="33">
        <f t="shared" si="2"/>
        <v>0.4368997298081001</v>
      </c>
      <c r="E75" s="83" t="s">
        <v>152</v>
      </c>
      <c r="F75" s="66"/>
      <c r="G75" s="70">
        <v>54261.84</v>
      </c>
    </row>
    <row r="76" spans="2:7">
      <c r="B76" s="26" t="s">
        <v>136</v>
      </c>
      <c r="C76" s="33">
        <f>'[1]исполнение 2011 зеон за 11 мес'!$K45</f>
        <v>10274.439999999999</v>
      </c>
      <c r="D76" s="33">
        <f t="shared" si="2"/>
        <v>0.39999999999999997</v>
      </c>
      <c r="E76" s="113" t="s">
        <v>107</v>
      </c>
      <c r="F76" s="114"/>
      <c r="G76" s="70">
        <v>209064</v>
      </c>
    </row>
    <row r="77" spans="2:7">
      <c r="B77" s="26" t="s">
        <v>137</v>
      </c>
      <c r="C77" s="33">
        <f>'[1]исполнение 2011 зеон за 11 мес'!$K46</f>
        <v>686.24059666172798</v>
      </c>
      <c r="D77" s="33">
        <f t="shared" si="2"/>
        <v>2.6716418477765326E-2</v>
      </c>
      <c r="E77" s="111"/>
      <c r="F77" s="112"/>
      <c r="G77" s="69"/>
    </row>
    <row r="78" spans="2:7">
      <c r="B78" s="71" t="s">
        <v>138</v>
      </c>
      <c r="C78" s="33">
        <f>'[1]исполнение 2011 зеон за 11 мес'!$K47</f>
        <v>665.47943388455371</v>
      </c>
      <c r="D78" s="33">
        <f t="shared" si="2"/>
        <v>2.5908153977620339E-2</v>
      </c>
      <c r="E78" s="111" t="s">
        <v>109</v>
      </c>
      <c r="F78" s="112"/>
      <c r="G78" s="69">
        <v>2601.1999999999998</v>
      </c>
    </row>
    <row r="79" spans="2:7">
      <c r="B79" s="71" t="s">
        <v>139</v>
      </c>
      <c r="C79" s="33">
        <f>'[1]исполнение 2011 зеон за 11 мес'!$K48</f>
        <v>7178.5673339694749</v>
      </c>
      <c r="D79" s="33">
        <f t="shared" si="2"/>
        <v>0.27947284071811118</v>
      </c>
      <c r="E79" s="111"/>
      <c r="F79" s="112"/>
      <c r="G79" s="69"/>
    </row>
    <row r="80" spans="2:7">
      <c r="B80" s="72" t="s">
        <v>140</v>
      </c>
      <c r="C80" s="33">
        <f>'[1]исполнение 2011 зеон за 11 мес'!$K49</f>
        <v>73799.174348698347</v>
      </c>
      <c r="D80" s="33">
        <f t="shared" si="2"/>
        <v>2.873117146966583</v>
      </c>
      <c r="E80" s="73" t="s">
        <v>141</v>
      </c>
      <c r="F80" s="74"/>
      <c r="G80" s="75">
        <f>SUM(G72:G79)</f>
        <v>271792.33</v>
      </c>
    </row>
    <row r="81" spans="2:9">
      <c r="B81" s="6" t="s">
        <v>73</v>
      </c>
      <c r="C81" s="44">
        <f>SUM(C59:C80)</f>
        <v>258402.166</v>
      </c>
      <c r="D81" s="44">
        <f>SUM(D59:D80)</f>
        <v>10.060000000000002</v>
      </c>
      <c r="E81" s="65" t="s">
        <v>142</v>
      </c>
      <c r="F81" s="66"/>
      <c r="G81" s="75">
        <v>28706.86</v>
      </c>
    </row>
    <row r="82" spans="2:9">
      <c r="B82" s="6"/>
      <c r="C82" s="44"/>
      <c r="D82" s="76"/>
      <c r="E82" s="111" t="s">
        <v>143</v>
      </c>
      <c r="F82" s="112"/>
      <c r="G82" s="75">
        <f>G81*15%</f>
        <v>4306.0289999999995</v>
      </c>
    </row>
    <row r="83" spans="2:9">
      <c r="B83" s="28" t="s">
        <v>74</v>
      </c>
      <c r="C83" s="44">
        <f>G84</f>
        <v>247391.49900000001</v>
      </c>
      <c r="D83" s="77"/>
      <c r="E83" s="122" t="s">
        <v>144</v>
      </c>
      <c r="F83" s="123"/>
      <c r="G83" s="12">
        <f>G81-G82</f>
        <v>24400.831000000002</v>
      </c>
    </row>
    <row r="84" spans="2:9">
      <c r="B84" s="49" t="s">
        <v>145</v>
      </c>
      <c r="C84" s="50">
        <f>C83+C81+C58+C54</f>
        <v>580406.04099999997</v>
      </c>
      <c r="E84" s="122" t="s">
        <v>146</v>
      </c>
      <c r="F84" s="123"/>
      <c r="G84" s="12">
        <f>G80-G83</f>
        <v>247391.49900000001</v>
      </c>
    </row>
    <row r="85" spans="2:9">
      <c r="B85" s="53"/>
      <c r="C85" s="54"/>
      <c r="D85" s="54"/>
    </row>
    <row r="86" spans="2:9">
      <c r="B86" s="49"/>
      <c r="C86" s="54"/>
      <c r="G86" t="s">
        <v>77</v>
      </c>
    </row>
    <row r="87" spans="2:9" ht="60">
      <c r="B87" s="55"/>
      <c r="C87" s="56" t="s">
        <v>120</v>
      </c>
      <c r="D87" s="67" t="s">
        <v>147</v>
      </c>
      <c r="E87" s="67" t="s">
        <v>148</v>
      </c>
      <c r="F87" s="67" t="s">
        <v>149</v>
      </c>
      <c r="G87" s="56" t="s">
        <v>150</v>
      </c>
    </row>
    <row r="88" spans="2:9">
      <c r="B88" s="55" t="s">
        <v>83</v>
      </c>
      <c r="C88" s="57">
        <f>C18+C20+C31</f>
        <v>92267.889999999956</v>
      </c>
      <c r="D88" s="57">
        <f>D18+D20+D31</f>
        <v>266627.152</v>
      </c>
      <c r="E88" s="57">
        <f>E18+E20+E31</f>
        <v>278147.3</v>
      </c>
      <c r="F88" s="57">
        <f>C81+C58</f>
        <v>266627.152</v>
      </c>
      <c r="G88" s="10">
        <f>C88+D88-E88</f>
        <v>80747.741999999969</v>
      </c>
      <c r="I88" s="13">
        <f>D88-F88</f>
        <v>0</v>
      </c>
    </row>
    <row r="89" spans="2:9">
      <c r="B89" s="55" t="s">
        <v>15</v>
      </c>
      <c r="C89" s="57">
        <f>C19+C32</f>
        <v>6126.1479999999756</v>
      </c>
      <c r="D89" s="57">
        <f>D19+D32</f>
        <v>91956.238000000012</v>
      </c>
      <c r="E89" s="57">
        <f>E19+E32</f>
        <v>7391.5</v>
      </c>
      <c r="F89" s="57">
        <f>C83</f>
        <v>247391.49900000001</v>
      </c>
      <c r="G89" s="10">
        <f>C89+D89-E89</f>
        <v>90690.885999999984</v>
      </c>
      <c r="I89" s="13">
        <f>E89-F89</f>
        <v>-239999.99900000001</v>
      </c>
    </row>
    <row r="90" spans="2:9">
      <c r="B90" s="55" t="s">
        <v>17</v>
      </c>
      <c r="C90" s="57">
        <f>C21</f>
        <v>747.72799999998824</v>
      </c>
      <c r="D90" s="57">
        <f>D21</f>
        <v>66387.387000000002</v>
      </c>
      <c r="E90" s="57">
        <f>E21</f>
        <v>61099.9</v>
      </c>
      <c r="F90" s="57">
        <f>C54</f>
        <v>66387.39</v>
      </c>
      <c r="G90" s="10">
        <f>C90+D90-E90</f>
        <v>6035.2149999999892</v>
      </c>
      <c r="I90" s="13">
        <f t="shared" ref="I90" si="3">D90-F90</f>
        <v>-2.9999999969732016E-3</v>
      </c>
    </row>
    <row r="91" spans="2:9">
      <c r="B91" s="55" t="s">
        <v>84</v>
      </c>
      <c r="C91" s="44">
        <f>SUM(C88:C90)</f>
        <v>99141.765999999916</v>
      </c>
      <c r="D91" s="44">
        <f>SUM(D88:D90)</f>
        <v>424970.777</v>
      </c>
      <c r="E91" s="12">
        <f>SUM(E88:E90)</f>
        <v>346638.7</v>
      </c>
      <c r="F91" s="12">
        <f>SUM(F88:F90)</f>
        <v>580406.04099999997</v>
      </c>
      <c r="G91" s="12">
        <f>SUM(G88:G90)</f>
        <v>177473.84299999996</v>
      </c>
    </row>
    <row r="92" spans="2:9">
      <c r="B92" s="49"/>
      <c r="C92" s="50"/>
      <c r="D92" s="50"/>
      <c r="E92" s="22"/>
      <c r="F92" s="22"/>
      <c r="G92" s="22"/>
    </row>
    <row r="93" spans="2:9">
      <c r="B93" s="49"/>
      <c r="C93" s="22"/>
      <c r="D93" s="54"/>
      <c r="E93" s="54"/>
      <c r="F93" s="54"/>
    </row>
    <row r="94" spans="2:9">
      <c r="B94" s="78"/>
      <c r="C94" s="79"/>
      <c r="D94" s="80"/>
      <c r="E94" s="80"/>
      <c r="F94" s="81"/>
    </row>
    <row r="95" spans="2:9">
      <c r="B95" s="49"/>
      <c r="C95" s="82"/>
      <c r="D95" s="82"/>
      <c r="E95" s="82"/>
      <c r="F95" s="22"/>
    </row>
  </sheetData>
  <mergeCells count="21">
    <mergeCell ref="E72:F72"/>
    <mergeCell ref="B3:F3"/>
    <mergeCell ref="B4:F4"/>
    <mergeCell ref="B5:F5"/>
    <mergeCell ref="B14:F14"/>
    <mergeCell ref="B39:B40"/>
    <mergeCell ref="C39:C40"/>
    <mergeCell ref="B42:C42"/>
    <mergeCell ref="B43:D43"/>
    <mergeCell ref="B46:D46"/>
    <mergeCell ref="B55:C55"/>
    <mergeCell ref="E71:G71"/>
    <mergeCell ref="E82:F82"/>
    <mergeCell ref="E83:F83"/>
    <mergeCell ref="E84:F84"/>
    <mergeCell ref="E73:F73"/>
    <mergeCell ref="E74:F74"/>
    <mergeCell ref="E76:F76"/>
    <mergeCell ref="E77:F77"/>
    <mergeCell ref="E78:F78"/>
    <mergeCell ref="E79:F79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2008</vt:lpstr>
      <vt:lpstr>2009</vt:lpstr>
      <vt:lpstr>2010</vt:lpstr>
      <vt:lpstr>2011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2011-12-26T11:35:14Z</dcterms:modified>
</cp:coreProperties>
</file>