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 firstSheet="39" activeTab="45"/>
  </bookViews>
  <sheets>
    <sheet name="Д. Событий 103" sheetId="1" r:id="rId1"/>
    <sheet name="Б. Хмельницкого 11" sheetId="2" r:id="rId2"/>
    <sheet name="Д. Событий 103Б" sheetId="3" r:id="rId3"/>
    <sheet name="Д. Событий 119" sheetId="4" r:id="rId4"/>
    <sheet name="Д. Событий 107Б" sheetId="5" r:id="rId5"/>
    <sheet name="Д. Событий 107А" sheetId="6" r:id="rId6"/>
    <sheet name="Д. Событий 105Б" sheetId="7" r:id="rId7"/>
    <sheet name="Д. Событий 103Д" sheetId="8" r:id="rId8"/>
    <sheet name="Д. Событий 103Г" sheetId="9" r:id="rId9"/>
    <sheet name="Красноярская 22" sheetId="10" r:id="rId10"/>
    <sheet name="Лызина 18" sheetId="11" r:id="rId11"/>
    <sheet name="Красноказачья 2" sheetId="12" r:id="rId12"/>
    <sheet name="Култукская 32" sheetId="13" r:id="rId13"/>
    <sheet name="Подаптечная 1" sheetId="14" r:id="rId14"/>
    <sheet name="Лызина 34" sheetId="15" r:id="rId15"/>
    <sheet name="Лызина 50" sheetId="16" r:id="rId16"/>
    <sheet name="Костычева 27,3" sheetId="17" r:id="rId17"/>
    <sheet name="Костычева 27,4" sheetId="18" r:id="rId18"/>
    <sheet name="Костычева 27,5" sheetId="20" r:id="rId19"/>
    <sheet name="Костычева 27,6" sheetId="21" r:id="rId20"/>
    <sheet name="Костычева 27,7" sheetId="22" r:id="rId21"/>
    <sheet name="Поленова 14" sheetId="23" r:id="rId22"/>
    <sheet name="Поленова 12" sheetId="24" r:id="rId23"/>
    <sheet name="Поленова 21" sheetId="25" r:id="rId24"/>
    <sheet name="Поленова 10" sheetId="26" r:id="rId25"/>
    <sheet name="Пионерский 3" sheetId="27" r:id="rId26"/>
    <sheet name="Поленова 16" sheetId="28" r:id="rId27"/>
    <sheet name="Советская 79" sheetId="29" r:id="rId28"/>
    <sheet name="Советская 73" sheetId="30" r:id="rId29"/>
    <sheet name="Советская 71" sheetId="31" r:id="rId30"/>
    <sheet name="Советская 69" sheetId="32" r:id="rId31"/>
    <sheet name="Советская 67" sheetId="33" r:id="rId32"/>
    <sheet name="Советская 65" sheetId="34" r:id="rId33"/>
    <sheet name="Советская 63" sheetId="35" r:id="rId34"/>
    <sheet name="Советская 81" sheetId="36" r:id="rId35"/>
    <sheet name="Советская 83" sheetId="37" r:id="rId36"/>
    <sheet name="Советская 85" sheetId="38" r:id="rId37"/>
    <sheet name="Советская 87" sheetId="39" r:id="rId38"/>
    <sheet name="Советская 127Б" sheetId="40" r:id="rId39"/>
    <sheet name="Советская 115" sheetId="41" r:id="rId40"/>
    <sheet name="Советская 113" sheetId="42" r:id="rId41"/>
    <sheet name="Советская 93" sheetId="43" r:id="rId42"/>
    <sheet name="Тимирязева 42" sheetId="44" r:id="rId43"/>
    <sheet name="Угольный 78" sheetId="45" r:id="rId44"/>
    <sheet name="Ф. Энгельса 5" sheetId="46" r:id="rId45"/>
    <sheet name="Ямская 40" sheetId="47" r:id="rId46"/>
  </sheets>
  <calcPr calcId="144525"/>
</workbook>
</file>

<file path=xl/calcChain.xml><?xml version="1.0" encoding="utf-8"?>
<calcChain xmlns="http://schemas.openxmlformats.org/spreadsheetml/2006/main">
  <c r="D117" i="47" l="1"/>
  <c r="D113" i="47"/>
  <c r="D108" i="47"/>
  <c r="D107" i="47"/>
  <c r="D105" i="47"/>
  <c r="D104" i="47"/>
  <c r="D103" i="47"/>
  <c r="D98" i="47"/>
  <c r="D97" i="47"/>
  <c r="D95" i="47"/>
  <c r="D94" i="47"/>
  <c r="D93" i="47"/>
  <c r="D88" i="47"/>
  <c r="D87" i="47"/>
  <c r="D85" i="47"/>
  <c r="D83" i="47"/>
  <c r="D75" i="47"/>
  <c r="D77" i="47"/>
  <c r="D76" i="47"/>
  <c r="D72" i="47"/>
  <c r="D74" i="47"/>
  <c r="D73" i="47"/>
  <c r="D26" i="47"/>
  <c r="D21" i="47"/>
  <c r="D113" i="46"/>
  <c r="D109" i="46"/>
  <c r="D104" i="46"/>
  <c r="D103" i="46"/>
  <c r="D101" i="46"/>
  <c r="D100" i="46"/>
  <c r="D99" i="46"/>
  <c r="D94" i="46"/>
  <c r="D93" i="46"/>
  <c r="D91" i="46"/>
  <c r="D90" i="46"/>
  <c r="D89" i="46"/>
  <c r="D84" i="46"/>
  <c r="D83" i="46"/>
  <c r="D81" i="46"/>
  <c r="D79" i="46"/>
  <c r="D71" i="46"/>
  <c r="D73" i="46"/>
  <c r="D72" i="46"/>
  <c r="D68" i="46"/>
  <c r="D70" i="46"/>
  <c r="D69" i="46"/>
  <c r="D26" i="46"/>
  <c r="D21" i="46"/>
  <c r="D17" i="46"/>
  <c r="D18" i="46"/>
  <c r="D114" i="45"/>
  <c r="D113" i="45"/>
  <c r="D111" i="45"/>
  <c r="D109" i="45"/>
  <c r="D104" i="45"/>
  <c r="D103" i="45"/>
  <c r="D101" i="45"/>
  <c r="D99" i="45"/>
  <c r="D94" i="45"/>
  <c r="D93" i="45"/>
  <c r="D91" i="45"/>
  <c r="D90" i="45"/>
  <c r="D89" i="45"/>
  <c r="D84" i="45"/>
  <c r="D83" i="45"/>
  <c r="D81" i="45"/>
  <c r="D79" i="45"/>
  <c r="D71" i="45"/>
  <c r="D73" i="45"/>
  <c r="D72" i="45"/>
  <c r="D68" i="45"/>
  <c r="D70" i="45"/>
  <c r="D69" i="45"/>
  <c r="D26" i="45"/>
  <c r="D21" i="45"/>
  <c r="D121" i="44"/>
  <c r="D117" i="44"/>
  <c r="D112" i="44"/>
  <c r="D111" i="44"/>
  <c r="D110" i="44"/>
  <c r="D109" i="44"/>
  <c r="D108" i="44"/>
  <c r="D107" i="44"/>
  <c r="D101" i="44"/>
  <c r="D98" i="44"/>
  <c r="D97" i="44"/>
  <c r="D92" i="44"/>
  <c r="D91" i="44"/>
  <c r="D90" i="44"/>
  <c r="D89" i="44"/>
  <c r="D87" i="44"/>
  <c r="D79" i="44"/>
  <c r="D81" i="44"/>
  <c r="D80" i="44"/>
  <c r="D76" i="44"/>
  <c r="D78" i="44"/>
  <c r="D77" i="44"/>
  <c r="D26" i="44"/>
  <c r="D21" i="44"/>
  <c r="D17" i="44"/>
  <c r="D18" i="44"/>
  <c r="D113" i="43"/>
  <c r="D109" i="43"/>
  <c r="D103" i="43"/>
  <c r="D100" i="43"/>
  <c r="D99" i="43"/>
  <c r="D93" i="43"/>
  <c r="D91" i="43"/>
  <c r="D90" i="43"/>
  <c r="D89" i="43"/>
  <c r="D84" i="43"/>
  <c r="D83" i="43"/>
  <c r="D81" i="43"/>
  <c r="D79" i="43"/>
  <c r="D71" i="43"/>
  <c r="D73" i="43"/>
  <c r="D72" i="43"/>
  <c r="D68" i="43"/>
  <c r="D70" i="43"/>
  <c r="D69" i="43"/>
  <c r="D26" i="43" l="1"/>
  <c r="D21" i="43"/>
  <c r="D118" i="42"/>
  <c r="D117" i="42"/>
  <c r="D115" i="42"/>
  <c r="D113" i="42"/>
  <c r="D108" i="42"/>
  <c r="D107" i="42"/>
  <c r="D105" i="42"/>
  <c r="D104" i="42"/>
  <c r="D103" i="42"/>
  <c r="D98" i="42"/>
  <c r="D97" i="42"/>
  <c r="D95" i="42"/>
  <c r="D94" i="42"/>
  <c r="D93" i="42"/>
  <c r="D88" i="42"/>
  <c r="D87" i="42"/>
  <c r="D85" i="42"/>
  <c r="D83" i="42"/>
  <c r="D75" i="42"/>
  <c r="D77" i="42"/>
  <c r="D76" i="42"/>
  <c r="D72" i="42"/>
  <c r="D74" i="42"/>
  <c r="D73" i="42"/>
  <c r="D26" i="42"/>
  <c r="D21" i="42"/>
  <c r="D17" i="42"/>
  <c r="D18" i="42"/>
  <c r="D118" i="41"/>
  <c r="D117" i="41"/>
  <c r="D115" i="41"/>
  <c r="D113" i="41"/>
  <c r="D108" i="41"/>
  <c r="D107" i="41"/>
  <c r="D105" i="41"/>
  <c r="D104" i="41"/>
  <c r="D103" i="41"/>
  <c r="D98" i="41"/>
  <c r="D97" i="41"/>
  <c r="D95" i="41"/>
  <c r="D94" i="41"/>
  <c r="D93" i="41"/>
  <c r="D88" i="41"/>
  <c r="D87" i="41"/>
  <c r="D85" i="41"/>
  <c r="D83" i="41"/>
  <c r="D75" i="41"/>
  <c r="D77" i="41"/>
  <c r="D76" i="41"/>
  <c r="D72" i="41"/>
  <c r="D74" i="41"/>
  <c r="D73" i="41"/>
  <c r="D26" i="41"/>
  <c r="D21" i="41"/>
  <c r="D130" i="40"/>
  <c r="D117" i="40"/>
  <c r="D113" i="40"/>
  <c r="D107" i="40"/>
  <c r="D104" i="40"/>
  <c r="D103" i="40"/>
  <c r="D97" i="40"/>
  <c r="D94" i="40"/>
  <c r="D93" i="40"/>
  <c r="D88" i="40"/>
  <c r="D87" i="40"/>
  <c r="D85" i="40"/>
  <c r="D83" i="40"/>
  <c r="D75" i="40"/>
  <c r="D77" i="40"/>
  <c r="D76" i="40"/>
  <c r="D72" i="40"/>
  <c r="D74" i="40"/>
  <c r="D73" i="40"/>
  <c r="D26" i="40"/>
  <c r="D21" i="40"/>
  <c r="D134" i="39"/>
  <c r="D121" i="39"/>
  <c r="D117" i="39"/>
  <c r="D111" i="39"/>
  <c r="D108" i="39"/>
  <c r="D107" i="39"/>
  <c r="D102" i="39"/>
  <c r="D101" i="39"/>
  <c r="D99" i="39"/>
  <c r="D98" i="39"/>
  <c r="D97" i="39"/>
  <c r="D92" i="39"/>
  <c r="D91" i="39"/>
  <c r="D89" i="39"/>
  <c r="D87" i="39"/>
  <c r="D79" i="39"/>
  <c r="D81" i="39"/>
  <c r="D80" i="39"/>
  <c r="D76" i="39"/>
  <c r="D78" i="39"/>
  <c r="D77" i="39"/>
  <c r="D26" i="39"/>
  <c r="D21" i="39"/>
  <c r="D17" i="39"/>
  <c r="D18" i="39"/>
  <c r="D130" i="38"/>
  <c r="D117" i="38"/>
  <c r="D113" i="38"/>
  <c r="D108" i="38"/>
  <c r="D107" i="38"/>
  <c r="D105" i="38"/>
  <c r="D104" i="38"/>
  <c r="D103" i="38"/>
  <c r="D97" i="38"/>
  <c r="D95" i="38"/>
  <c r="D94" i="38"/>
  <c r="D93" i="38"/>
  <c r="D88" i="38"/>
  <c r="D87" i="38"/>
  <c r="D86" i="38"/>
  <c r="D85" i="38"/>
  <c r="D83" i="38"/>
  <c r="D75" i="38"/>
  <c r="D77" i="38"/>
  <c r="D76" i="38"/>
  <c r="D72" i="38"/>
  <c r="D74" i="38"/>
  <c r="D73" i="38"/>
  <c r="D26" i="38"/>
  <c r="D21" i="38"/>
  <c r="D18" i="38"/>
  <c r="D17" i="38"/>
  <c r="D121" i="37"/>
  <c r="D117" i="37"/>
  <c r="D111" i="37"/>
  <c r="D108" i="37"/>
  <c r="D107" i="37"/>
  <c r="D101" i="37"/>
  <c r="D98" i="37"/>
  <c r="D97" i="37"/>
  <c r="D92" i="37"/>
  <c r="D91" i="37"/>
  <c r="D89" i="37"/>
  <c r="D87" i="37"/>
  <c r="D79" i="37"/>
  <c r="D81" i="37"/>
  <c r="D80" i="37"/>
  <c r="D76" i="37"/>
  <c r="D78" i="37"/>
  <c r="D77" i="37"/>
  <c r="D26" i="37"/>
  <c r="D21" i="37"/>
  <c r="D17" i="37"/>
  <c r="D18" i="37"/>
  <c r="D114" i="36"/>
  <c r="D113" i="36"/>
  <c r="D111" i="36"/>
  <c r="D109" i="36"/>
  <c r="D104" i="36"/>
  <c r="D103" i="36"/>
  <c r="D101" i="36"/>
  <c r="D100" i="36"/>
  <c r="D99" i="36"/>
  <c r="D94" i="36"/>
  <c r="D93" i="36"/>
  <c r="D91" i="36"/>
  <c r="D90" i="36"/>
  <c r="D89" i="36"/>
  <c r="D84" i="36"/>
  <c r="D83" i="36"/>
  <c r="D81" i="36"/>
  <c r="D79" i="36"/>
  <c r="D71" i="36"/>
  <c r="D73" i="36"/>
  <c r="D72" i="36"/>
  <c r="D68" i="36"/>
  <c r="D70" i="36"/>
  <c r="D69" i="36"/>
  <c r="D26" i="36"/>
  <c r="D21" i="36"/>
  <c r="D17" i="36"/>
  <c r="D18" i="36"/>
  <c r="D110" i="35" l="1"/>
  <c r="D109" i="35"/>
  <c r="D107" i="35"/>
  <c r="D105" i="35"/>
  <c r="D100" i="35"/>
  <c r="D99" i="35"/>
  <c r="D97" i="35"/>
  <c r="D96" i="35"/>
  <c r="D95" i="35"/>
  <c r="D90" i="35"/>
  <c r="D89" i="35"/>
  <c r="D87" i="35"/>
  <c r="D86" i="35"/>
  <c r="D85" i="35"/>
  <c r="D80" i="35"/>
  <c r="D79" i="35"/>
  <c r="D77" i="35"/>
  <c r="D75" i="35"/>
  <c r="D67" i="35"/>
  <c r="D69" i="35"/>
  <c r="D68" i="35"/>
  <c r="D64" i="35"/>
  <c r="D66" i="35"/>
  <c r="D65" i="35"/>
  <c r="D26" i="35"/>
  <c r="D21" i="35"/>
  <c r="D18" i="35"/>
  <c r="D122" i="34"/>
  <c r="D109" i="34"/>
  <c r="D105" i="34"/>
  <c r="D100" i="34"/>
  <c r="D99" i="34"/>
  <c r="D97" i="34"/>
  <c r="D96" i="34"/>
  <c r="D95" i="34"/>
  <c r="D89" i="34"/>
  <c r="D86" i="34"/>
  <c r="D85" i="34"/>
  <c r="D80" i="34"/>
  <c r="D79" i="34"/>
  <c r="D77" i="34"/>
  <c r="D75" i="34"/>
  <c r="D67" i="34"/>
  <c r="D69" i="34"/>
  <c r="D68" i="34"/>
  <c r="D64" i="34"/>
  <c r="D66" i="34"/>
  <c r="D65" i="34"/>
  <c r="D26" i="34"/>
  <c r="D21" i="34"/>
  <c r="D17" i="34"/>
  <c r="D18" i="34"/>
  <c r="D118" i="33"/>
  <c r="D117" i="33"/>
  <c r="D115" i="33"/>
  <c r="D113" i="33"/>
  <c r="D107" i="33"/>
  <c r="D104" i="33"/>
  <c r="D103" i="33"/>
  <c r="D98" i="33"/>
  <c r="D97" i="33"/>
  <c r="D95" i="33"/>
  <c r="D94" i="33"/>
  <c r="D93" i="33"/>
  <c r="D87" i="33"/>
  <c r="D83" i="33"/>
  <c r="D75" i="33"/>
  <c r="D77" i="33"/>
  <c r="D76" i="33"/>
  <c r="D72" i="33"/>
  <c r="D74" i="33"/>
  <c r="D73" i="33"/>
  <c r="D26" i="33"/>
  <c r="D21" i="33"/>
  <c r="D17" i="33"/>
  <c r="D18" i="33"/>
  <c r="D130" i="32"/>
  <c r="D118" i="32"/>
  <c r="D117" i="32"/>
  <c r="D115" i="32"/>
  <c r="D113" i="32"/>
  <c r="D107" i="32"/>
  <c r="D104" i="32"/>
  <c r="D103" i="32"/>
  <c r="D97" i="32"/>
  <c r="D94" i="32"/>
  <c r="D93" i="32"/>
  <c r="D88" i="32"/>
  <c r="D87" i="32"/>
  <c r="D85" i="32"/>
  <c r="D84" i="32"/>
  <c r="D83" i="32"/>
  <c r="D75" i="32"/>
  <c r="D77" i="32"/>
  <c r="D76" i="32"/>
  <c r="D72" i="32"/>
  <c r="D74" i="32"/>
  <c r="D73" i="32"/>
  <c r="D26" i="32"/>
  <c r="D21" i="32"/>
  <c r="D17" i="32"/>
  <c r="D18" i="32"/>
  <c r="D71" i="31" l="1"/>
  <c r="D73" i="31"/>
  <c r="D72" i="31"/>
  <c r="D68" i="31"/>
  <c r="D70" i="31"/>
  <c r="D69" i="31"/>
  <c r="D71" i="30"/>
  <c r="D73" i="30"/>
  <c r="D72" i="30"/>
  <c r="D68" i="30"/>
  <c r="D70" i="30"/>
  <c r="D69" i="30"/>
  <c r="D71" i="29"/>
  <c r="D73" i="29"/>
  <c r="D72" i="29"/>
  <c r="D68" i="29"/>
  <c r="D70" i="29"/>
  <c r="D69" i="29"/>
  <c r="D79" i="28"/>
  <c r="D81" i="28"/>
  <c r="D80" i="28"/>
  <c r="D76" i="28"/>
  <c r="D78" i="28"/>
  <c r="D77" i="28"/>
  <c r="D79" i="27"/>
  <c r="D81" i="27"/>
  <c r="D80" i="27"/>
  <c r="D76" i="27"/>
  <c r="D78" i="27"/>
  <c r="D77" i="27"/>
  <c r="D63" i="26"/>
  <c r="D65" i="26"/>
  <c r="D64" i="26"/>
  <c r="D60" i="26"/>
  <c r="D62" i="26"/>
  <c r="D61" i="26"/>
  <c r="D91" i="25"/>
  <c r="D93" i="25"/>
  <c r="D92" i="25"/>
  <c r="D88" i="25"/>
  <c r="D90" i="25"/>
  <c r="D89" i="25"/>
  <c r="D17" i="25"/>
  <c r="D18" i="25"/>
  <c r="D75" i="24"/>
  <c r="D77" i="24"/>
  <c r="D76" i="24"/>
  <c r="D72" i="24"/>
  <c r="D74" i="24"/>
  <c r="D73" i="24"/>
  <c r="D79" i="23"/>
  <c r="D81" i="23"/>
  <c r="D80" i="23"/>
  <c r="D76" i="23"/>
  <c r="D78" i="23"/>
  <c r="D77" i="23"/>
  <c r="D131" i="22" l="1"/>
  <c r="D133" i="22"/>
  <c r="D132" i="22"/>
  <c r="D17" i="22"/>
  <c r="D119" i="21"/>
  <c r="D121" i="21"/>
  <c r="D120" i="21"/>
  <c r="D17" i="21"/>
  <c r="D119" i="20"/>
  <c r="D121" i="20"/>
  <c r="D120" i="20"/>
  <c r="D135" i="18"/>
  <c r="D137" i="18"/>
  <c r="D136" i="18"/>
  <c r="D119" i="17"/>
  <c r="D121" i="17"/>
  <c r="D120" i="17"/>
  <c r="D67" i="16"/>
  <c r="D69" i="16"/>
  <c r="D68" i="16"/>
  <c r="D64" i="16"/>
  <c r="D66" i="16"/>
  <c r="D65" i="16"/>
  <c r="D71" i="15"/>
  <c r="D73" i="15"/>
  <c r="D72" i="15"/>
  <c r="D75" i="14"/>
  <c r="D77" i="14"/>
  <c r="D76" i="14"/>
  <c r="D72" i="14"/>
  <c r="D74" i="14"/>
  <c r="D73" i="14"/>
  <c r="D17" i="14"/>
  <c r="D18" i="14"/>
  <c r="D71" i="13"/>
  <c r="D73" i="13"/>
  <c r="D72" i="13"/>
  <c r="D68" i="13"/>
  <c r="D70" i="13"/>
  <c r="D69" i="13"/>
  <c r="D75" i="12"/>
  <c r="D77" i="12"/>
  <c r="D76" i="12"/>
  <c r="D72" i="12"/>
  <c r="D74" i="12"/>
  <c r="D73" i="12"/>
  <c r="D17" i="12"/>
  <c r="D18" i="12"/>
  <c r="D75" i="11"/>
  <c r="D77" i="11"/>
  <c r="D76" i="11"/>
  <c r="D72" i="11"/>
  <c r="D74" i="11"/>
  <c r="D73" i="11"/>
  <c r="D71" i="10"/>
  <c r="D73" i="10"/>
  <c r="D72" i="10"/>
  <c r="D68" i="10"/>
  <c r="D70" i="10"/>
  <c r="D69" i="10"/>
  <c r="D63" i="9"/>
  <c r="D65" i="9"/>
  <c r="D64" i="9"/>
  <c r="D60" i="9"/>
  <c r="D62" i="9"/>
  <c r="D61" i="9"/>
  <c r="D17" i="9"/>
  <c r="D18" i="9"/>
  <c r="D71" i="8"/>
  <c r="D73" i="8"/>
  <c r="D72" i="8"/>
  <c r="D68" i="8"/>
  <c r="D70" i="8"/>
  <c r="D69" i="8"/>
  <c r="D17" i="8"/>
  <c r="D18" i="8"/>
  <c r="D75" i="7"/>
  <c r="D77" i="7"/>
  <c r="D76" i="7"/>
  <c r="D72" i="7"/>
  <c r="D74" i="7"/>
  <c r="D73" i="7"/>
  <c r="D17" i="7"/>
  <c r="D18" i="7"/>
  <c r="D75" i="6"/>
  <c r="D77" i="6"/>
  <c r="D76" i="6"/>
  <c r="D72" i="6"/>
  <c r="D74" i="6"/>
  <c r="D73" i="6"/>
  <c r="D17" i="6"/>
  <c r="D18" i="6"/>
  <c r="D83" i="5"/>
  <c r="D85" i="5"/>
  <c r="D84" i="5"/>
  <c r="D80" i="5"/>
  <c r="D82" i="5"/>
  <c r="D81" i="5"/>
  <c r="D79" i="4"/>
  <c r="D81" i="4"/>
  <c r="D80" i="4"/>
  <c r="D76" i="4"/>
  <c r="D78" i="4"/>
  <c r="D77" i="4"/>
  <c r="D71" i="3"/>
  <c r="D72" i="3"/>
  <c r="D73" i="3"/>
  <c r="D69" i="3"/>
  <c r="D68" i="3"/>
  <c r="D70" i="3"/>
  <c r="D63" i="2"/>
  <c r="D65" i="2"/>
  <c r="D64" i="2"/>
  <c r="D61" i="2"/>
  <c r="D60" i="2"/>
  <c r="D62" i="2"/>
  <c r="D18" i="2"/>
  <c r="D17" i="2"/>
  <c r="D87" i="1"/>
  <c r="D89" i="1"/>
  <c r="D88" i="1"/>
  <c r="D85" i="1"/>
  <c r="D84" i="1"/>
  <c r="D86" i="1"/>
  <c r="D17" i="1"/>
  <c r="D18" i="1"/>
  <c r="D113" i="31" l="1"/>
  <c r="D109" i="31"/>
  <c r="D103" i="31"/>
  <c r="D100" i="31"/>
  <c r="D99" i="31"/>
  <c r="D93" i="31"/>
  <c r="D90" i="31"/>
  <c r="D89" i="31"/>
  <c r="D83" i="31"/>
  <c r="D81" i="31"/>
  <c r="D79" i="31"/>
  <c r="D26" i="31"/>
  <c r="D21" i="31"/>
  <c r="D17" i="31"/>
  <c r="D18" i="31"/>
  <c r="D114" i="30"/>
  <c r="D113" i="30"/>
  <c r="D111" i="30"/>
  <c r="D109" i="30"/>
  <c r="D103" i="30"/>
  <c r="D100" i="30"/>
  <c r="D99" i="30"/>
  <c r="D93" i="30"/>
  <c r="D90" i="30"/>
  <c r="D89" i="30"/>
  <c r="D84" i="30"/>
  <c r="D83" i="30"/>
  <c r="D81" i="30"/>
  <c r="D79" i="30"/>
  <c r="D26" i="30"/>
  <c r="D21" i="30"/>
  <c r="D18" i="30"/>
  <c r="D17" i="30"/>
  <c r="D13" i="30"/>
  <c r="D113" i="29"/>
  <c r="D109" i="29"/>
  <c r="D104" i="29"/>
  <c r="D103" i="29"/>
  <c r="D101" i="29"/>
  <c r="D100" i="29"/>
  <c r="D99" i="29"/>
  <c r="D93" i="29"/>
  <c r="D90" i="29"/>
  <c r="D89" i="29"/>
  <c r="D84" i="29"/>
  <c r="D83" i="29"/>
  <c r="D81" i="29"/>
  <c r="D79" i="29"/>
  <c r="D26" i="29"/>
  <c r="D18" i="29"/>
  <c r="D17" i="29"/>
  <c r="D21" i="29"/>
  <c r="D134" i="28" l="1"/>
  <c r="D122" i="28"/>
  <c r="D121" i="28"/>
  <c r="D119" i="28"/>
  <c r="D117" i="28"/>
  <c r="D112" i="28"/>
  <c r="D111" i="28"/>
  <c r="D109" i="28"/>
  <c r="D108" i="28"/>
  <c r="D107" i="28"/>
  <c r="D102" i="28"/>
  <c r="D101" i="28"/>
  <c r="D99" i="28"/>
  <c r="D98" i="28"/>
  <c r="D97" i="28"/>
  <c r="D92" i="28"/>
  <c r="D91" i="28"/>
  <c r="D89" i="28"/>
  <c r="D87" i="28"/>
  <c r="D26" i="28"/>
  <c r="D21" i="28"/>
  <c r="D18" i="28"/>
  <c r="D122" i="27"/>
  <c r="D121" i="27"/>
  <c r="D119" i="27"/>
  <c r="D117" i="27"/>
  <c r="D112" i="27"/>
  <c r="D111" i="27"/>
  <c r="D109" i="27"/>
  <c r="D108" i="27"/>
  <c r="D107" i="27"/>
  <c r="D101" i="27"/>
  <c r="D98" i="27"/>
  <c r="D97" i="27"/>
  <c r="D92" i="27"/>
  <c r="D91" i="27"/>
  <c r="D89" i="27"/>
  <c r="D87" i="27"/>
  <c r="D26" i="27"/>
  <c r="D21" i="27"/>
  <c r="D18" i="27"/>
  <c r="D17" i="27"/>
  <c r="D118" i="26"/>
  <c r="D106" i="26"/>
  <c r="D105" i="26"/>
  <c r="D103" i="26"/>
  <c r="D101" i="26"/>
  <c r="D95" i="26"/>
  <c r="D92" i="26"/>
  <c r="D91" i="26"/>
  <c r="D86" i="26"/>
  <c r="D85" i="26"/>
  <c r="D83" i="26"/>
  <c r="D82" i="26"/>
  <c r="D81" i="26"/>
  <c r="D76" i="26"/>
  <c r="D75" i="26"/>
  <c r="D73" i="26"/>
  <c r="D71" i="26"/>
  <c r="D26" i="26"/>
  <c r="D21" i="26"/>
  <c r="D134" i="25" l="1"/>
  <c r="D133" i="25"/>
  <c r="D131" i="25"/>
  <c r="D129" i="25"/>
  <c r="D124" i="25"/>
  <c r="D123" i="25"/>
  <c r="D121" i="25"/>
  <c r="D120" i="25"/>
  <c r="D119" i="25"/>
  <c r="D114" i="25"/>
  <c r="D113" i="25"/>
  <c r="D111" i="25"/>
  <c r="D110" i="25"/>
  <c r="D109" i="25"/>
  <c r="D104" i="25"/>
  <c r="D103" i="25"/>
  <c r="D101" i="25"/>
  <c r="D99" i="25"/>
  <c r="D26" i="25"/>
  <c r="D24" i="25"/>
  <c r="D21" i="25"/>
  <c r="D130" i="24" l="1"/>
  <c r="D117" i="24"/>
  <c r="D113" i="24"/>
  <c r="D107" i="24"/>
  <c r="D104" i="24"/>
  <c r="D103" i="24"/>
  <c r="D97" i="24"/>
  <c r="D94" i="24"/>
  <c r="D93" i="24"/>
  <c r="D88" i="24"/>
  <c r="D87" i="24"/>
  <c r="D85" i="24"/>
  <c r="D83" i="24"/>
  <c r="D21" i="24"/>
  <c r="D26" i="24"/>
  <c r="D18" i="24"/>
  <c r="D122" i="23"/>
  <c r="D121" i="23"/>
  <c r="D119" i="23"/>
  <c r="D117" i="23"/>
  <c r="D112" i="23"/>
  <c r="D111" i="23"/>
  <c r="D109" i="23"/>
  <c r="D108" i="23"/>
  <c r="D107" i="23"/>
  <c r="D102" i="23"/>
  <c r="D101" i="23"/>
  <c r="D99" i="23"/>
  <c r="D98" i="23"/>
  <c r="D97" i="23"/>
  <c r="D91" i="23"/>
  <c r="D87" i="23"/>
  <c r="D26" i="23"/>
  <c r="D21" i="23"/>
  <c r="D174" i="22"/>
  <c r="D173" i="22"/>
  <c r="D171" i="22"/>
  <c r="D169" i="22"/>
  <c r="D164" i="22"/>
  <c r="D163" i="22"/>
  <c r="D161" i="22"/>
  <c r="D160" i="22"/>
  <c r="D159" i="22"/>
  <c r="D154" i="22"/>
  <c r="D153" i="22"/>
  <c r="D151" i="22"/>
  <c r="D150" i="22"/>
  <c r="D149" i="22"/>
  <c r="D148" i="22"/>
  <c r="D144" i="22"/>
  <c r="D143" i="22"/>
  <c r="D141" i="22"/>
  <c r="D139" i="22"/>
  <c r="D21" i="22"/>
  <c r="D162" i="21"/>
  <c r="D161" i="21"/>
  <c r="D159" i="21"/>
  <c r="D152" i="21"/>
  <c r="D151" i="21"/>
  <c r="D149" i="21"/>
  <c r="D148" i="21"/>
  <c r="D147" i="21"/>
  <c r="D142" i="21"/>
  <c r="D141" i="21"/>
  <c r="D139" i="21"/>
  <c r="D138" i="21"/>
  <c r="D137" i="21"/>
  <c r="D136" i="21"/>
  <c r="D132" i="21"/>
  <c r="D131" i="21"/>
  <c r="D129" i="21"/>
  <c r="D127" i="21"/>
  <c r="D21" i="21"/>
  <c r="D161" i="20" l="1"/>
  <c r="D159" i="20"/>
  <c r="D162" i="20" s="1"/>
  <c r="D157" i="20"/>
  <c r="D136" i="17"/>
  <c r="D152" i="18"/>
  <c r="D136" i="20"/>
  <c r="D151" i="20"/>
  <c r="D150" i="20"/>
  <c r="D149" i="20"/>
  <c r="D152" i="20" s="1"/>
  <c r="D148" i="20"/>
  <c r="D147" i="20"/>
  <c r="D137" i="20"/>
  <c r="D139" i="20" s="1"/>
  <c r="D142" i="20" s="1"/>
  <c r="D138" i="20"/>
  <c r="D141" i="20" s="1"/>
  <c r="D131" i="20"/>
  <c r="D127" i="20"/>
  <c r="D129" i="20" s="1"/>
  <c r="D132" i="20" s="1"/>
  <c r="D177" i="18"/>
  <c r="D176" i="18"/>
  <c r="D175" i="18"/>
  <c r="D178" i="18" s="1"/>
  <c r="D173" i="18"/>
  <c r="D167" i="18"/>
  <c r="D164" i="18"/>
  <c r="D163" i="18"/>
  <c r="D165" i="18" s="1"/>
  <c r="D168" i="18" s="1"/>
  <c r="D157" i="18"/>
  <c r="D156" i="18"/>
  <c r="D154" i="18"/>
  <c r="D153" i="18"/>
  <c r="D155" i="18" s="1"/>
  <c r="D158" i="18" s="1"/>
  <c r="D147" i="18"/>
  <c r="D143" i="18"/>
  <c r="D145" i="18" s="1"/>
  <c r="D148" i="18" s="1"/>
  <c r="D138" i="17"/>
  <c r="D141" i="17" s="1"/>
  <c r="D137" i="17"/>
  <c r="D161" i="17"/>
  <c r="D159" i="17"/>
  <c r="D162" i="17" s="1"/>
  <c r="D157" i="17"/>
  <c r="D151" i="17"/>
  <c r="D149" i="17"/>
  <c r="D152" i="17" s="1"/>
  <c r="D148" i="17"/>
  <c r="D147" i="17"/>
  <c r="D139" i="17"/>
  <c r="D142" i="17" s="1"/>
  <c r="D131" i="17"/>
  <c r="D127" i="17"/>
  <c r="D129" i="17" s="1"/>
  <c r="D132" i="17" s="1"/>
  <c r="D26" i="17"/>
  <c r="D109" i="16" l="1"/>
  <c r="D105" i="16"/>
  <c r="D99" i="16"/>
  <c r="D96" i="16"/>
  <c r="D95" i="16"/>
  <c r="D86" i="16"/>
  <c r="D89" i="16" s="1"/>
  <c r="D85" i="16"/>
  <c r="D79" i="16"/>
  <c r="D77" i="16"/>
  <c r="D80" i="16" s="1"/>
  <c r="D75" i="16"/>
  <c r="D26" i="16"/>
  <c r="D21" i="16"/>
  <c r="D113" i="15"/>
  <c r="D111" i="15"/>
  <c r="D114" i="15" s="1"/>
  <c r="D109" i="15"/>
  <c r="D103" i="15"/>
  <c r="D101" i="15"/>
  <c r="D104" i="15" s="1"/>
  <c r="D100" i="15"/>
  <c r="D99" i="15"/>
  <c r="D93" i="15"/>
  <c r="D90" i="15"/>
  <c r="D89" i="15"/>
  <c r="D91" i="15" s="1"/>
  <c r="D94" i="15" s="1"/>
  <c r="D83" i="15"/>
  <c r="D79" i="15"/>
  <c r="D81" i="15" s="1"/>
  <c r="D84" i="15" s="1"/>
  <c r="D26" i="15"/>
  <c r="D21" i="15"/>
  <c r="D18" i="15"/>
  <c r="D17" i="15"/>
  <c r="D117" i="14"/>
  <c r="D113" i="14"/>
  <c r="D115" i="14" s="1"/>
  <c r="D118" i="14" s="1"/>
  <c r="D104" i="14"/>
  <c r="D107" i="14" s="1"/>
  <c r="D103" i="14"/>
  <c r="D97" i="14"/>
  <c r="D95" i="14"/>
  <c r="D98" i="14" s="1"/>
  <c r="D94" i="14"/>
  <c r="D93" i="14"/>
  <c r="D92" i="14"/>
  <c r="D87" i="14"/>
  <c r="D83" i="14"/>
  <c r="D85" i="14" s="1"/>
  <c r="D88" i="14" s="1"/>
  <c r="D26" i="14"/>
  <c r="D21" i="14"/>
  <c r="D126" i="13"/>
  <c r="D113" i="13"/>
  <c r="D109" i="13"/>
  <c r="D102" i="13"/>
  <c r="D100" i="13"/>
  <c r="D103" i="13" s="1"/>
  <c r="D99" i="13"/>
  <c r="D90" i="13"/>
  <c r="D93" i="13" s="1"/>
  <c r="D89" i="13"/>
  <c r="D83" i="13"/>
  <c r="D82" i="13"/>
  <c r="D79" i="13"/>
  <c r="D81" i="13" s="1"/>
  <c r="D84" i="13" s="1"/>
  <c r="D26" i="13"/>
  <c r="D21" i="13"/>
  <c r="D117" i="12"/>
  <c r="D113" i="12"/>
  <c r="D115" i="12" s="1"/>
  <c r="D118" i="12" s="1"/>
  <c r="D108" i="12"/>
  <c r="D104" i="12"/>
  <c r="D107" i="12" s="1"/>
  <c r="D103" i="12"/>
  <c r="D94" i="12"/>
  <c r="D97" i="12" s="1"/>
  <c r="D93" i="12"/>
  <c r="D87" i="12"/>
  <c r="D83" i="12"/>
  <c r="D85" i="12" s="1"/>
  <c r="D88" i="12" s="1"/>
  <c r="D26" i="12"/>
  <c r="D21" i="12"/>
  <c r="D117" i="11"/>
  <c r="D113" i="11"/>
  <c r="D107" i="11"/>
  <c r="D104" i="11"/>
  <c r="D103" i="11"/>
  <c r="D102" i="11"/>
  <c r="D97" i="11"/>
  <c r="D94" i="11"/>
  <c r="D93" i="11"/>
  <c r="D92" i="11"/>
  <c r="D87" i="11"/>
  <c r="D83" i="11"/>
  <c r="D85" i="11" s="1"/>
  <c r="D88" i="11" s="1"/>
  <c r="D26" i="11"/>
  <c r="D21" i="11"/>
  <c r="D105" i="14" l="1"/>
  <c r="D108" i="14" s="1"/>
  <c r="D113" i="10"/>
  <c r="D109" i="10"/>
  <c r="D100" i="10"/>
  <c r="D103" i="10" s="1"/>
  <c r="D99" i="10"/>
  <c r="D101" i="10" s="1"/>
  <c r="D104" i="10" s="1"/>
  <c r="D90" i="10"/>
  <c r="D93" i="10" s="1"/>
  <c r="D89" i="10"/>
  <c r="D83" i="10"/>
  <c r="D81" i="10"/>
  <c r="D84" i="10" s="1"/>
  <c r="D79" i="10"/>
  <c r="D26" i="10"/>
  <c r="D21" i="10"/>
  <c r="D105" i="9"/>
  <c r="D101" i="9"/>
  <c r="D92" i="9"/>
  <c r="D95" i="9" s="1"/>
  <c r="D91" i="9"/>
  <c r="D82" i="9"/>
  <c r="D85" i="9" s="1"/>
  <c r="D81" i="9"/>
  <c r="D83" i="9" s="1"/>
  <c r="D86" i="9" s="1"/>
  <c r="D75" i="9"/>
  <c r="D71" i="9"/>
  <c r="D73" i="9" s="1"/>
  <c r="D76" i="9" s="1"/>
  <c r="D26" i="9"/>
  <c r="D21" i="9"/>
  <c r="D113" i="8"/>
  <c r="D109" i="8"/>
  <c r="D111" i="8" s="1"/>
  <c r="D114" i="8" s="1"/>
  <c r="D100" i="8"/>
  <c r="D103" i="8" s="1"/>
  <c r="D99" i="8"/>
  <c r="D90" i="8"/>
  <c r="D93" i="8" s="1"/>
  <c r="D89" i="8"/>
  <c r="D83" i="8"/>
  <c r="D79" i="8"/>
  <c r="D81" i="8" s="1"/>
  <c r="D84" i="8" s="1"/>
  <c r="D26" i="8"/>
  <c r="D21" i="8"/>
  <c r="D117" i="7"/>
  <c r="D113" i="7"/>
  <c r="D104" i="7"/>
  <c r="D107" i="7" s="1"/>
  <c r="D103" i="7"/>
  <c r="D98" i="3"/>
  <c r="D94" i="7"/>
  <c r="D97" i="7" s="1"/>
  <c r="D93" i="7"/>
  <c r="D95" i="7" s="1"/>
  <c r="D98" i="7" s="1"/>
  <c r="D87" i="7"/>
  <c r="D86" i="7"/>
  <c r="D83" i="7"/>
  <c r="D85" i="7" s="1"/>
  <c r="D88" i="7" s="1"/>
  <c r="D26" i="7"/>
  <c r="D21" i="7"/>
  <c r="D101" i="8" l="1"/>
  <c r="D104" i="8" s="1"/>
  <c r="D93" i="9"/>
  <c r="D96" i="9" s="1"/>
  <c r="D130" i="6"/>
  <c r="D117" i="6"/>
  <c r="D113" i="6"/>
  <c r="D104" i="6"/>
  <c r="D107" i="6" s="1"/>
  <c r="D103" i="6"/>
  <c r="D94" i="6"/>
  <c r="D97" i="6" s="1"/>
  <c r="D93" i="6"/>
  <c r="D87" i="6"/>
  <c r="D83" i="6"/>
  <c r="D85" i="6" s="1"/>
  <c r="D88" i="6" s="1"/>
  <c r="D26" i="6"/>
  <c r="D21" i="6"/>
  <c r="D125" i="5"/>
  <c r="D121" i="5"/>
  <c r="D112" i="5"/>
  <c r="D115" i="5" s="1"/>
  <c r="D111" i="5"/>
  <c r="D102" i="5"/>
  <c r="D105" i="5" s="1"/>
  <c r="D101" i="5"/>
  <c r="D95" i="5"/>
  <c r="D94" i="5"/>
  <c r="D93" i="5"/>
  <c r="D96" i="5" s="1"/>
  <c r="D91" i="5"/>
  <c r="D26" i="5"/>
  <c r="D21" i="5"/>
  <c r="D17" i="5"/>
  <c r="D18" i="5"/>
  <c r="D121" i="4"/>
  <c r="D117" i="4"/>
  <c r="D119" i="4" s="1"/>
  <c r="D122" i="4" s="1"/>
  <c r="D108" i="4"/>
  <c r="D111" i="4" s="1"/>
  <c r="D107" i="4"/>
  <c r="D109" i="4" s="1"/>
  <c r="D112" i="4" s="1"/>
  <c r="D98" i="4"/>
  <c r="D101" i="4" s="1"/>
  <c r="D97" i="4"/>
  <c r="D91" i="4"/>
  <c r="D87" i="4"/>
  <c r="D89" i="4" s="1"/>
  <c r="D92" i="4" s="1"/>
  <c r="D26" i="4"/>
  <c r="D21" i="4"/>
  <c r="D113" i="3"/>
  <c r="D109" i="3"/>
  <c r="D100" i="3"/>
  <c r="D103" i="3" s="1"/>
  <c r="D99" i="3"/>
  <c r="D101" i="3" s="1"/>
  <c r="D104" i="3" s="1"/>
  <c r="D90" i="3"/>
  <c r="D93" i="3" s="1"/>
  <c r="D89" i="3"/>
  <c r="D83" i="3"/>
  <c r="D81" i="3"/>
  <c r="D84" i="3" s="1"/>
  <c r="D79" i="3"/>
  <c r="D26" i="3"/>
  <c r="D21" i="3"/>
  <c r="D105" i="2"/>
  <c r="D101" i="2"/>
  <c r="D103" i="2" s="1"/>
  <c r="D106" i="2" s="1"/>
  <c r="D92" i="2"/>
  <c r="D95" i="2" s="1"/>
  <c r="D91" i="2"/>
  <c r="D93" i="2" s="1"/>
  <c r="D96" i="2" s="1"/>
  <c r="D82" i="2"/>
  <c r="D85" i="2" s="1"/>
  <c r="D81" i="2"/>
  <c r="D83" i="2" s="1"/>
  <c r="D86" i="2" s="1"/>
  <c r="D75" i="2"/>
  <c r="D71" i="2"/>
  <c r="D73" i="2" s="1"/>
  <c r="D76" i="2" s="1"/>
  <c r="D26" i="2"/>
  <c r="D21" i="2"/>
  <c r="D128" i="1"/>
  <c r="D108" i="1"/>
  <c r="D91" i="3" l="1"/>
  <c r="D94" i="3" s="1"/>
  <c r="D99" i="4"/>
  <c r="D102" i="4" s="1"/>
  <c r="D129" i="1"/>
  <c r="D125" i="1"/>
  <c r="D118" i="1"/>
  <c r="D116" i="1"/>
  <c r="D119" i="1" s="1"/>
  <c r="D115" i="1"/>
  <c r="D106" i="1"/>
  <c r="D109" i="1" s="1"/>
  <c r="D105" i="1"/>
  <c r="D98" i="1"/>
  <c r="D95" i="1"/>
  <c r="D97" i="1" s="1"/>
  <c r="D99" i="1" s="1"/>
  <c r="D26" i="1" l="1"/>
  <c r="D21" i="1"/>
</calcChain>
</file>

<file path=xl/sharedStrings.xml><?xml version="1.0" encoding="utf-8"?>
<sst xmlns="http://schemas.openxmlformats.org/spreadsheetml/2006/main" count="14847" uniqueCount="346">
  <si>
    <t>Форма отчетности 2.8. отчет об исполнении управляющей организацией договора управления.</t>
  </si>
  <si>
    <t>Форма 2.8</t>
  </si>
  <si>
    <t>Отчет об исполнении управляющей организацией договора управления.</t>
  </si>
  <si>
    <t>Дата заполнения/внесения изменений:</t>
  </si>
  <si>
    <t>Дата начала отчетного периода:</t>
  </si>
  <si>
    <t>Дата конца отчетного периода:</t>
  </si>
  <si>
    <t>1. Общая информация о выполняемых работах (оказываемых услугах) по содержанию и текущему ремонту общего имущества.</t>
  </si>
  <si>
    <t>№ п/п</t>
  </si>
  <si>
    <t>Наименование параметра</t>
  </si>
  <si>
    <t>Ед. изм.</t>
  </si>
  <si>
    <t>Значение</t>
  </si>
  <si>
    <t>1.1</t>
  </si>
  <si>
    <t>Переходящие остатки денежных средств (на начало периода):</t>
  </si>
  <si>
    <t>руб.</t>
  </si>
  <si>
    <t>1.2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</si>
  <si>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переплата потребителями</t>
    </r>
  </si>
  <si>
    <t>1.3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</si>
  <si>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задолженность потребителей</t>
    </r>
  </si>
  <si>
    <t>1.4</t>
  </si>
  <si>
    <t>Начислено за услуги (работы) по содержанию и текущему ремонту, в том числе:</t>
  </si>
  <si>
    <t>1.5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</si>
  <si>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за содержание дома</t>
    </r>
  </si>
  <si>
    <t>1.6</t>
  </si>
  <si>
    <t>-   за текущий  ремонт</t>
  </si>
  <si>
    <t>1.7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</si>
  <si>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 xml:space="preserve">за услуги управления </t>
    </r>
  </si>
  <si>
    <t>1.8</t>
  </si>
  <si>
    <t>Получено денежных средств, в т. ч:</t>
  </si>
  <si>
    <t>1.9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</si>
  <si>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 xml:space="preserve">денежных средств от потребителей </t>
    </r>
  </si>
  <si>
    <t>1.10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</si>
  <si>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целевых взносов от потребителей</t>
    </r>
  </si>
  <si>
    <t>1.11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</si>
  <si>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субсидий</t>
    </r>
  </si>
  <si>
    <t>1.12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</si>
  <si>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денежных средств от использования общего имущества</t>
    </r>
  </si>
  <si>
    <t>1.13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</si>
  <si>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прочие поступления</t>
    </r>
  </si>
  <si>
    <t>1.14</t>
  </si>
  <si>
    <t>Всего денежных средств с учетом остатков</t>
  </si>
  <si>
    <t>1.15</t>
  </si>
  <si>
    <t>Переходящие остатки денежных средств (на конец периода):</t>
  </si>
  <si>
    <t>1.16</t>
  </si>
  <si>
    <t>1.17</t>
  </si>
  <si>
    <t>2. Выполненные работы (оказанные услуги) по содержанию общего имущества и текущему ремонту в отчетном периоде.</t>
  </si>
  <si>
    <t>2.1</t>
  </si>
  <si>
    <t>Наименование работы</t>
  </si>
  <si>
    <t>-</t>
  </si>
  <si>
    <t>Освещение мест общего пользования</t>
  </si>
  <si>
    <t>Исполнитель работы</t>
  </si>
  <si>
    <t>ООО "Иркутскэнергосбыт"</t>
  </si>
  <si>
    <t>Периодичность работы (услуги)</t>
  </si>
  <si>
    <t>Ежедневно</t>
  </si>
  <si>
    <t>ИНН</t>
  </si>
  <si>
    <t>3808166404</t>
  </si>
  <si>
    <t>2.2</t>
  </si>
  <si>
    <t>Аварийное обслуживание</t>
  </si>
  <si>
    <t>По мере необходимости</t>
  </si>
  <si>
    <t>2.3</t>
  </si>
  <si>
    <t>МУП "Спецавтохозяйство"</t>
  </si>
  <si>
    <t>2.4</t>
  </si>
  <si>
    <t>2.5</t>
  </si>
  <si>
    <t>2.6</t>
  </si>
  <si>
    <t>2.7</t>
  </si>
  <si>
    <t>2.8</t>
  </si>
  <si>
    <t>При проведении текущего ремонта</t>
  </si>
  <si>
    <t>2.9</t>
  </si>
  <si>
    <t>2.10</t>
  </si>
  <si>
    <t>380109709570</t>
  </si>
  <si>
    <t>2.11</t>
  </si>
  <si>
    <t>ООО "Азимут"</t>
  </si>
  <si>
    <t>3. Информация о наличае претензий по качеству выполненных работ (оказанных услуг).</t>
  </si>
  <si>
    <t>3.1</t>
  </si>
  <si>
    <t>Количество поступивших претензий</t>
  </si>
  <si>
    <t>3.2</t>
  </si>
  <si>
    <t>Количество удовлетворенных претензий</t>
  </si>
  <si>
    <t>3.3</t>
  </si>
  <si>
    <t>Количество претензий, в удовлетворении которых отказано</t>
  </si>
  <si>
    <t>3.4</t>
  </si>
  <si>
    <t>Сумма произведенного перерасчета</t>
  </si>
  <si>
    <t>4.Общая информация по предоставленным коммунальным услугам.</t>
  </si>
  <si>
    <t>4.1</t>
  </si>
  <si>
    <t>Переходящие остатки денежных средств (на начало периода), в том числе:</t>
  </si>
  <si>
    <t>4.2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</si>
  <si>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 xml:space="preserve"> переплата потребителями</t>
    </r>
  </si>
  <si>
    <t>4.3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</si>
  <si>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 xml:space="preserve"> задолженность потребителей</t>
    </r>
  </si>
  <si>
    <t>4.4</t>
  </si>
  <si>
    <t>Переходящие остатки денежных средств (на конец периода) в том числе:</t>
  </si>
  <si>
    <t>4.5</t>
  </si>
  <si>
    <t>4.6</t>
  </si>
  <si>
    <t>5. Информация по предоставленным коммунальным услугам (заполняется по каждой коммунальной услуге).</t>
  </si>
  <si>
    <t>5.1</t>
  </si>
  <si>
    <t>Вид коммунальной услуги</t>
  </si>
  <si>
    <t>Отопление</t>
  </si>
  <si>
    <t>Единица измерения</t>
  </si>
  <si>
    <t>Гкалл</t>
  </si>
  <si>
    <t xml:space="preserve">Общий объем потребления </t>
  </si>
  <si>
    <t>Начислено потребителям</t>
  </si>
  <si>
    <t>оплачено потребителями</t>
  </si>
  <si>
    <t xml:space="preserve">Задолженность потребителей </t>
  </si>
  <si>
    <t>Начислено поставщиком коммунального ресурса</t>
  </si>
  <si>
    <t xml:space="preserve">Оплачено поставщику коммунального ресурса </t>
  </si>
  <si>
    <t>Задолженность перед поставщиком коммунального ресурса</t>
  </si>
  <si>
    <t>Суммы пени и штрафов, уплаченные поставщику коммунального ресурса</t>
  </si>
  <si>
    <t>5.2</t>
  </si>
  <si>
    <t>Холодная вода</t>
  </si>
  <si>
    <t>м3</t>
  </si>
  <si>
    <t>5.3</t>
  </si>
  <si>
    <t>Горячая вода</t>
  </si>
  <si>
    <t>5.4</t>
  </si>
  <si>
    <t>Водоотведение</t>
  </si>
  <si>
    <t>6. Информация о наличии претензий по качеству предоставленных коммунальных услуг.</t>
  </si>
  <si>
    <t>6.1</t>
  </si>
  <si>
    <t>ед</t>
  </si>
  <si>
    <t>6.2</t>
  </si>
  <si>
    <t>6.3</t>
  </si>
  <si>
    <t>6.4</t>
  </si>
  <si>
    <t>7. Информация о ведении претензионно-исковой работы в отношении потребителей-должников.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</si>
  <si>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</si>
  <si>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</si>
  <si>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</si>
  <si>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Ул. Декабрьских Событий дом № 103</t>
  </si>
  <si>
    <t>Адрес: ул. Декабрьских Событий, д. 103</t>
  </si>
  <si>
    <t>ООО "Аварийная служба"</t>
  </si>
  <si>
    <t xml:space="preserve">Вывоз мусора </t>
  </si>
  <si>
    <t>Снятие показаний ИТП</t>
  </si>
  <si>
    <t>техническое обслуживание ИТП</t>
  </si>
  <si>
    <t>Изготовление входной группы подъезд №3</t>
  </si>
  <si>
    <t>ООО "СибирьСтройГарант"</t>
  </si>
  <si>
    <t>3810333490</t>
  </si>
  <si>
    <t>Изготовление входной группы подъезд №1</t>
  </si>
  <si>
    <t>Подключение общедомовых приборов учета ХВС к системе АСКУТЭ</t>
  </si>
  <si>
    <t>ООО СК "Электросвязь"</t>
  </si>
  <si>
    <t>ИП Семенова Е.А.</t>
  </si>
  <si>
    <t>Биллинговое сопровождение АСКУТЭ</t>
  </si>
  <si>
    <t>Установка насоса циркуляционного UPS 40-120</t>
  </si>
  <si>
    <t>ООО "Энергоресурс-Комплект"</t>
  </si>
  <si>
    <t>3808133720</t>
  </si>
  <si>
    <t>Ул. Богдана Хмельницкого дом № 11</t>
  </si>
  <si>
    <t>Адрес: ул. Богдана Хмельницкого, д. 11</t>
  </si>
  <si>
    <t>Ул. Декабрьских Событий дом № 103Б</t>
  </si>
  <si>
    <t>Адрес: ул. Декабрьских событий, д. 103Б</t>
  </si>
  <si>
    <t>Биллинг импульсных приборов ХВС</t>
  </si>
  <si>
    <t>Ул. Декабрьских Событий дом № 119</t>
  </si>
  <si>
    <t>Адрес: ул. Декабрьских событий, д. 119</t>
  </si>
  <si>
    <t>Поверка теплосчетчиков с термометрами</t>
  </si>
  <si>
    <t>Ремонт расходомера</t>
  </si>
  <si>
    <t>Ул. Декабрьских Событий дом № 107Б</t>
  </si>
  <si>
    <t>Адрес: ул. Декабрьских событий, д. 107Б</t>
  </si>
  <si>
    <t>Установка окон ПВХ подъезд №3,6</t>
  </si>
  <si>
    <t>ООО "РостСтрой"</t>
  </si>
  <si>
    <t>Обработка подвалов от блох</t>
  </si>
  <si>
    <t>ОАО "Дезирс"</t>
  </si>
  <si>
    <t>2.12</t>
  </si>
  <si>
    <t>Ул. Декабрьских Событий дом № 107А</t>
  </si>
  <si>
    <t>Адрес: ул. Декабрьских событий, д. 107А</t>
  </si>
  <si>
    <t>Ул. Декабрьских Событий дом № 105Б</t>
  </si>
  <si>
    <t>Адрес: ул. Декабрьских событий, д. 105Б</t>
  </si>
  <si>
    <t>Окна ПВХ подъезд №2</t>
  </si>
  <si>
    <t>Ул. Декабрьских Событий дом № 103Д</t>
  </si>
  <si>
    <t>Адрес: ул. Декабрьских событий, д. 103Д</t>
  </si>
  <si>
    <t>Ул. Декабрьских Событий дом № 103Г</t>
  </si>
  <si>
    <t>Адрес: ул. Декабрьских событий, д. 103Г</t>
  </si>
  <si>
    <t>Ул. Красноярская дом № 22</t>
  </si>
  <si>
    <t>Адрес: ул. Красноярская, д. 22</t>
  </si>
  <si>
    <t>Ул. Лызина дом № 18</t>
  </si>
  <si>
    <t>Адрес: ул. Лызина, д. 18</t>
  </si>
  <si>
    <t>Окно ПВХ в подъезде №1</t>
  </si>
  <si>
    <t>Ул. Красноказачья дом № 2</t>
  </si>
  <si>
    <t>Адрес: ул. Красноказачья, д. 2</t>
  </si>
  <si>
    <t>Окно ПВХ в подъезде №2</t>
  </si>
  <si>
    <t>Ул. Култукская дом № 32</t>
  </si>
  <si>
    <t>Адрес: ул. Култукская, д. 32</t>
  </si>
  <si>
    <t>Окно ПВХ в подъезде №3</t>
  </si>
  <si>
    <t>Дверь распашная алюминевая подъезд №3</t>
  </si>
  <si>
    <t>Ул. Подаптечная дом № 1</t>
  </si>
  <si>
    <t>Адрес: ул. Подаптечная, д. 1</t>
  </si>
  <si>
    <t>Техническое обслуживание ИТП</t>
  </si>
  <si>
    <t>Услуги по вывозу снега</t>
  </si>
  <si>
    <t>Молев К.Е.</t>
  </si>
  <si>
    <t>380800176108</t>
  </si>
  <si>
    <t>Асфальтирование отмостки</t>
  </si>
  <si>
    <t>ООО Строй-Лидер</t>
  </si>
  <si>
    <t>Ул. Лызина дом № 34</t>
  </si>
  <si>
    <t>Адрес: ул. Лызина, д. 34</t>
  </si>
  <si>
    <t>Дверь металлическая в подъезд</t>
  </si>
  <si>
    <t>ООО "Домофон сервис"</t>
  </si>
  <si>
    <t>Страховой взнос по полису ОПО лифты</t>
  </si>
  <si>
    <t>Страховая компания "Согласие"</t>
  </si>
  <si>
    <t>Ежегодно</t>
  </si>
  <si>
    <t>7706196090</t>
  </si>
  <si>
    <t>Техническое обслуживание лифтов</t>
  </si>
  <si>
    <t>ООО "ЛИЦ"</t>
  </si>
  <si>
    <t>3812068022</t>
  </si>
  <si>
    <t>Уборка снега</t>
  </si>
  <si>
    <t>ИП Конева Е.Н.</t>
  </si>
  <si>
    <t>381109703725</t>
  </si>
  <si>
    <t>Ул. Лызина дом № 50</t>
  </si>
  <si>
    <t>Адрес: ул. Лызина, д. 50</t>
  </si>
  <si>
    <t>Услуги по уборке снега</t>
  </si>
  <si>
    <t>ИП Коневина Е.Н.</t>
  </si>
  <si>
    <t>Ул. Костычева дом № 27 блоксекция 3</t>
  </si>
  <si>
    <t>Адрес: ул. Костычева, д. 27/3</t>
  </si>
  <si>
    <t>ООО "Пётр и компания"</t>
  </si>
  <si>
    <t>Вывоз бункера мусора</t>
  </si>
  <si>
    <t>Подключение общедомовых приборов учета тепловой энергии к системе АСКУТЭ</t>
  </si>
  <si>
    <t>ООО "Иркутсклифтсервис"</t>
  </si>
  <si>
    <t>ООО "Сиблифткомплекс"</t>
  </si>
  <si>
    <t>Периодическое освидетельствование лифтов</t>
  </si>
  <si>
    <t>ООО ЦПУ</t>
  </si>
  <si>
    <t>Страхование многоквартирного дома</t>
  </si>
  <si>
    <t>ОСАО "Ингосстрах"</t>
  </si>
  <si>
    <t>Взнос по страхованию лифтов</t>
  </si>
  <si>
    <t>Услуги по уборке и вывозу снега</t>
  </si>
  <si>
    <t>ИП Молев К.Е.</t>
  </si>
  <si>
    <t>Изготовление и установка вывески, наклеек</t>
  </si>
  <si>
    <t>ООО "Кит-2"</t>
  </si>
  <si>
    <t>При проведение текущего ремонта</t>
  </si>
  <si>
    <t>3811036300</t>
  </si>
  <si>
    <t>Бункер под мусор</t>
  </si>
  <si>
    <t>ООО "Ирктранском"</t>
  </si>
  <si>
    <t>3808117284</t>
  </si>
  <si>
    <t>Установка почтового ящика для сбора показаний индивидуальных приборов учета</t>
  </si>
  <si>
    <t>ООО "Сибспецпроект"</t>
  </si>
  <si>
    <t>3811145228</t>
  </si>
  <si>
    <t>2.13</t>
  </si>
  <si>
    <t>2.14</t>
  </si>
  <si>
    <t>2.15</t>
  </si>
  <si>
    <t>2.16</t>
  </si>
  <si>
    <t>2.17</t>
  </si>
  <si>
    <t>2.18</t>
  </si>
  <si>
    <t>2.19</t>
  </si>
  <si>
    <t>Ул. Костычева дом № 27 блоксекция 4</t>
  </si>
  <si>
    <t>Адрес: ул. Костычева, д. 27/4</t>
  </si>
  <si>
    <t>Изготовление входной группы на лестничном марше последнего этажа</t>
  </si>
  <si>
    <t>2.20</t>
  </si>
  <si>
    <t>Сэндвич-панель 3000*1500, ремонт дверей переходов в МОП</t>
  </si>
  <si>
    <t>2.21</t>
  </si>
  <si>
    <t>Установка штапика</t>
  </si>
  <si>
    <t>2.22</t>
  </si>
  <si>
    <t>2.23</t>
  </si>
  <si>
    <t>Ремонт дверей, стеклопакетов в местах общего пользования.</t>
  </si>
  <si>
    <t>Ул. Костычева дом № 27 блоксекция 5</t>
  </si>
  <si>
    <t>Адрес: ул. Костычева, д. 27/5</t>
  </si>
  <si>
    <t>Ул. Костычева дом № 27 блоксекция 6</t>
  </si>
  <si>
    <t>Адрес: ул. Костычева, д. 27/6</t>
  </si>
  <si>
    <t>Ул. Костычева дом № 27 блоксекция 7</t>
  </si>
  <si>
    <t>Адрес: ул. Костычева, д. 27/7</t>
  </si>
  <si>
    <t>Изготовление входной группы с решеткой на лестничном марше последнего этажа</t>
  </si>
  <si>
    <t>ООО "СибирьСтрой Гарант"</t>
  </si>
  <si>
    <t>Изготовление и установка двери на чердак.</t>
  </si>
  <si>
    <t>Ремонт дверей, стеклопакетов</t>
  </si>
  <si>
    <t>Ул. Поленова дом № 14</t>
  </si>
  <si>
    <t>Адрес: ул. Поленова, д. 14</t>
  </si>
  <si>
    <t>Окно ПВХ в подъезде №6</t>
  </si>
  <si>
    <t>Ул. Поленова дом № 12</t>
  </si>
  <si>
    <t>Адрес: ул. Поленова, д. 12</t>
  </si>
  <si>
    <t>Ул. Поленова дом № 21</t>
  </si>
  <si>
    <t>Адрес: ул. Поленова, д. 21</t>
  </si>
  <si>
    <t>ОП ООО ПСК</t>
  </si>
  <si>
    <t>Диагностика и ремонт оборудование подъезд №1, доводчик дверной</t>
  </si>
  <si>
    <t>Установка  качели малыш (2 шт)</t>
  </si>
  <si>
    <t>ООО "ИркутскЛифтСервис"</t>
  </si>
  <si>
    <t>Страховой взнос по полису ОПО лифтов</t>
  </si>
  <si>
    <t>Теническое обслуживание СКПТ (т/антена)</t>
  </si>
  <si>
    <t>ООО МК "ИркСити"</t>
  </si>
  <si>
    <t>Ул. Поленова дом № 10</t>
  </si>
  <si>
    <t>Адрес: ул. Поленова, д. 10</t>
  </si>
  <si>
    <t>Ул. Пионерский дом № 3</t>
  </si>
  <si>
    <t>Адрес: ул. Пионерский, д. 3</t>
  </si>
  <si>
    <t>Двери входные КП45 подъезды №1,3, доводчик дверной</t>
  </si>
  <si>
    <t>Установка почтовых ящиков подъезд №1</t>
  </si>
  <si>
    <t>ООО МС-Компания</t>
  </si>
  <si>
    <t>3811135565</t>
  </si>
  <si>
    <t>Ремонт двери подъезд №2</t>
  </si>
  <si>
    <t>ООО СибирьСтройГарант</t>
  </si>
  <si>
    <t>Ул. Поленова дом № 16</t>
  </si>
  <si>
    <t>Адрес: ул. Поленова, д. 16</t>
  </si>
  <si>
    <t>Окна ПВХ подъезд №4</t>
  </si>
  <si>
    <t>Ремонт межпанельных стыков</t>
  </si>
  <si>
    <t>ИП Проничева</t>
  </si>
  <si>
    <t>Ул. Советская дом № 79</t>
  </si>
  <si>
    <t>Адрес: ул. Советская, д. 79</t>
  </si>
  <si>
    <t>Ул. Советская дом № 73</t>
  </si>
  <si>
    <t>Адрес: ул. Советская, д. 73</t>
  </si>
  <si>
    <t>Дверь входная КП45 подъезд №3</t>
  </si>
  <si>
    <t>3827043895</t>
  </si>
  <si>
    <t>Окно ПВХ подъезд №3</t>
  </si>
  <si>
    <t>Ул. Советская дом № 71</t>
  </si>
  <si>
    <t>Адрес: ул. Советская, д. 71</t>
  </si>
  <si>
    <t>Ул. Советская дом № 69</t>
  </si>
  <si>
    <t>Адрес: ул. Советская, д. 69</t>
  </si>
  <si>
    <t>Двери распашные аллюминевые подъезды №1,4</t>
  </si>
  <si>
    <t>Окно ПВХ подъезд №1,4</t>
  </si>
  <si>
    <t>ООО Компания "Бастет"</t>
  </si>
  <si>
    <t>Ул. Советская дом № 67</t>
  </si>
  <si>
    <t>Адрес: ул. Советская, д. 67</t>
  </si>
  <si>
    <t>МУП "Водоканал"</t>
  </si>
  <si>
    <t>Блокировка/разблокировка канализационных отводов кв 50</t>
  </si>
  <si>
    <t>Ул. Советская дом № 65</t>
  </si>
  <si>
    <t>Адрес: ул. Советская, д. 65</t>
  </si>
  <si>
    <t>Блокировка/разблокировка канализационных отводов кв 25</t>
  </si>
  <si>
    <t>Ул. Советская дом № 63</t>
  </si>
  <si>
    <t>Адрес: ул. Советская, д. 63</t>
  </si>
  <si>
    <t>Ул. Советская дом № 81</t>
  </si>
  <si>
    <t>Адрес: ул. Советская, д. 81</t>
  </si>
  <si>
    <t>Ул. Советская дом № 83</t>
  </si>
  <si>
    <t>Адрес: ул. Советская, д. 83</t>
  </si>
  <si>
    <t>Устройство отмостки</t>
  </si>
  <si>
    <t>ООО "Мега"</t>
  </si>
  <si>
    <t>Ул. Советская дом № 85</t>
  </si>
  <si>
    <t>Адрес: ул. Советская, д. 85</t>
  </si>
  <si>
    <t>Ул. Советская дом № 87</t>
  </si>
  <si>
    <t>Адрес: ул. Советская, д. 87</t>
  </si>
  <si>
    <t>Установка окон ПВХ подъезд № 1-6</t>
  </si>
  <si>
    <t>ООО "Северные окна"</t>
  </si>
  <si>
    <t>Ул. Советская дом № 127Б</t>
  </si>
  <si>
    <t>Адрес: ул. Советская, д. 127Б</t>
  </si>
  <si>
    <t>ИП Коневина Е.А.</t>
  </si>
  <si>
    <t>Ул. Советская дом № 115</t>
  </si>
  <si>
    <t>Адрес: ул. Советская, д. 115</t>
  </si>
  <si>
    <t>Ул. Советская дом № 113</t>
  </si>
  <si>
    <t>Адрес: ул. Советская, д. 113</t>
  </si>
  <si>
    <t>Изготовление и монтаж двери из аллюминия, окон ПВХ подъезд №2</t>
  </si>
  <si>
    <t>ИП "Смоляр"</t>
  </si>
  <si>
    <t>380808299729</t>
  </si>
  <si>
    <t>Ул. Советская дом № 93</t>
  </si>
  <si>
    <t>Адрес: ул. Советская, д. 93</t>
  </si>
  <si>
    <t>Ул. Тимирязева дом № 42</t>
  </si>
  <si>
    <t>Адрес: ул. Тимирязева, д. 42</t>
  </si>
  <si>
    <t>Окно ПВХ подъезд №4</t>
  </si>
  <si>
    <t>ООО РостСтрой</t>
  </si>
  <si>
    <t>Установка почтовых ящиков подъезд №4</t>
  </si>
  <si>
    <t>Блокировка/разблокировка канализац. отводов кв 11,25,56,65</t>
  </si>
  <si>
    <t>3807000276</t>
  </si>
  <si>
    <t>Ул. Угольный дом № 78</t>
  </si>
  <si>
    <t>Адрес: ул. Угольный, д. 78</t>
  </si>
  <si>
    <t>Ул. Фридриха Энгельса дом № 5</t>
  </si>
  <si>
    <t>Адрес: ул. Фридриха Энгельса, д. 5</t>
  </si>
  <si>
    <t>Ул. Ямская дом № 40</t>
  </si>
  <si>
    <t>Адрес: ул. Ямская, д. 40</t>
  </si>
  <si>
    <t>Поверка теплосчетчиков</t>
  </si>
  <si>
    <t>Блокировка/разблокировка канализац. отводов кв 25</t>
  </si>
  <si>
    <t>Обработка подвалов</t>
  </si>
  <si>
    <t>3811096740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</si>
</sst>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7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i/>
      <sz val="10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39" fontId="10" fillId="0" borderId="10" xfId="0" applyNumberFormat="1" applyFont="1" applyBorder="1" applyAlignment="1">
      <alignment horizontal="center" vertical="center"/>
    </xf>
    <xf numFmtId="39" fontId="6" fillId="0" borderId="1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Fill="1"/>
    <xf numFmtId="49" fontId="10" fillId="2" borderId="1" xfId="0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2"/>
  <sheetViews>
    <sheetView workbookViewId="0">
      <selection activeCell="D88" sqref="D88"/>
    </sheetView>
  </sheetViews>
  <sheetFormatPr defaultRowHeight="15" x14ac:dyDescent="0.25"/>
  <cols>
    <col min="2" max="2" width="66.42578125" customWidth="1"/>
    <col min="3" max="3" width="10.85546875" customWidth="1"/>
    <col min="4" max="4" width="56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122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123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254539.92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254539.92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1000372.38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523749.8+60165.12</f>
        <v>583914.92000000004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200149.85+62132.76</f>
        <v>262282.61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952024.21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483902.67+189118.39+269153.15</f>
        <v>942174.21000000008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9850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952024.21-254539.92</f>
        <v>697484.28999999992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175667.16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175667.16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127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70</v>
      </c>
    </row>
    <row r="50" spans="1:4" ht="15.75" thickBot="1" x14ac:dyDescent="0.3">
      <c r="A50" s="24"/>
      <c r="B50" s="25" t="s">
        <v>51</v>
      </c>
      <c r="C50" s="25" t="s">
        <v>47</v>
      </c>
      <c r="D50" s="29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0">
        <v>3811171757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128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129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65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130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131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129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65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3810333490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132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133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3808170471</v>
      </c>
    </row>
    <row r="64" spans="1:4" ht="15.75" thickBot="1" x14ac:dyDescent="0.3">
      <c r="A64" s="24" t="s">
        <v>66</v>
      </c>
      <c r="B64" s="27" t="s">
        <v>46</v>
      </c>
      <c r="C64" s="27" t="s">
        <v>47</v>
      </c>
      <c r="D64" s="28" t="s">
        <v>143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134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57</v>
      </c>
    </row>
    <row r="67" spans="1:4" ht="15.75" thickBot="1" x14ac:dyDescent="0.3">
      <c r="A67" s="24"/>
      <c r="B67" s="25" t="s">
        <v>53</v>
      </c>
      <c r="C67" s="25" t="s">
        <v>47</v>
      </c>
      <c r="D67" s="31" t="s">
        <v>68</v>
      </c>
    </row>
    <row r="68" spans="1:4" ht="15.75" thickBot="1" x14ac:dyDescent="0.3">
      <c r="A68" s="24" t="s">
        <v>67</v>
      </c>
      <c r="B68" s="27" t="s">
        <v>46</v>
      </c>
      <c r="C68" s="27" t="s">
        <v>47</v>
      </c>
      <c r="D68" s="28" t="s">
        <v>135</v>
      </c>
    </row>
    <row r="69" spans="1:4" ht="15.75" thickBot="1" x14ac:dyDescent="0.3">
      <c r="A69" s="24"/>
      <c r="B69" s="25" t="s">
        <v>49</v>
      </c>
      <c r="C69" s="25" t="s">
        <v>47</v>
      </c>
      <c r="D69" s="29" t="s">
        <v>134</v>
      </c>
    </row>
    <row r="70" spans="1:4" ht="15.75" thickBot="1" x14ac:dyDescent="0.3">
      <c r="A70" s="24"/>
      <c r="B70" s="25" t="s">
        <v>51</v>
      </c>
      <c r="C70" s="25" t="s">
        <v>47</v>
      </c>
      <c r="D70" s="55" t="s">
        <v>57</v>
      </c>
    </row>
    <row r="71" spans="1:4" ht="15.75" thickBot="1" x14ac:dyDescent="0.3">
      <c r="A71" s="24"/>
      <c r="B71" s="25" t="s">
        <v>53</v>
      </c>
      <c r="C71" s="25" t="s">
        <v>47</v>
      </c>
      <c r="D71" s="31" t="s">
        <v>68</v>
      </c>
    </row>
    <row r="72" spans="1:4" ht="15.75" thickBot="1" x14ac:dyDescent="0.3">
      <c r="A72" s="24" t="s">
        <v>69</v>
      </c>
      <c r="B72" s="27" t="s">
        <v>46</v>
      </c>
      <c r="C72" s="27" t="s">
        <v>47</v>
      </c>
      <c r="D72" s="28" t="s">
        <v>136</v>
      </c>
    </row>
    <row r="73" spans="1:4" ht="15.75" thickBot="1" x14ac:dyDescent="0.3">
      <c r="A73" s="24"/>
      <c r="B73" s="25" t="s">
        <v>49</v>
      </c>
      <c r="C73" s="25" t="s">
        <v>47</v>
      </c>
      <c r="D73" s="29" t="s">
        <v>137</v>
      </c>
    </row>
    <row r="74" spans="1:4" ht="15.75" thickBot="1" x14ac:dyDescent="0.3">
      <c r="A74" s="24"/>
      <c r="B74" s="25" t="s">
        <v>51</v>
      </c>
      <c r="C74" s="25" t="s">
        <v>47</v>
      </c>
      <c r="D74" s="55" t="s">
        <v>57</v>
      </c>
    </row>
    <row r="75" spans="1:4" ht="15.75" thickBot="1" x14ac:dyDescent="0.3">
      <c r="A75" s="24"/>
      <c r="B75" s="25" t="s">
        <v>53</v>
      </c>
      <c r="C75" s="25" t="s">
        <v>47</v>
      </c>
      <c r="D75" s="31" t="s">
        <v>138</v>
      </c>
    </row>
    <row r="76" spans="1:4" x14ac:dyDescent="0.25">
      <c r="A76" s="2"/>
      <c r="B76" s="2"/>
      <c r="C76" s="2"/>
      <c r="D76" s="2"/>
    </row>
    <row r="77" spans="1:4" ht="15.75" thickBot="1" x14ac:dyDescent="0.3">
      <c r="A77" s="8" t="s">
        <v>71</v>
      </c>
      <c r="B77" s="2"/>
      <c r="C77" s="2"/>
      <c r="D77" s="2"/>
    </row>
    <row r="78" spans="1:4" ht="15.75" thickBot="1" x14ac:dyDescent="0.3">
      <c r="A78" s="22" t="s">
        <v>72</v>
      </c>
      <c r="B78" s="32" t="s">
        <v>73</v>
      </c>
      <c r="C78" s="32" t="s">
        <v>47</v>
      </c>
      <c r="D78" s="33">
        <v>0</v>
      </c>
    </row>
    <row r="79" spans="1:4" ht="15.75" thickBot="1" x14ac:dyDescent="0.3">
      <c r="A79" s="24" t="s">
        <v>74</v>
      </c>
      <c r="B79" s="25" t="s">
        <v>75</v>
      </c>
      <c r="C79" s="25" t="s">
        <v>47</v>
      </c>
      <c r="D79" s="29">
        <v>0</v>
      </c>
    </row>
    <row r="80" spans="1:4" ht="15.75" thickBot="1" x14ac:dyDescent="0.3">
      <c r="A80" s="24" t="s">
        <v>76</v>
      </c>
      <c r="B80" s="25" t="s">
        <v>77</v>
      </c>
      <c r="C80" s="25" t="s">
        <v>47</v>
      </c>
      <c r="D80" s="29">
        <v>0</v>
      </c>
    </row>
    <row r="81" spans="1:4" ht="15.75" thickBot="1" x14ac:dyDescent="0.3">
      <c r="A81" s="22" t="s">
        <v>78</v>
      </c>
      <c r="B81" s="34" t="s">
        <v>79</v>
      </c>
      <c r="C81" s="34" t="s">
        <v>13</v>
      </c>
      <c r="D81" s="35">
        <v>0</v>
      </c>
    </row>
    <row r="82" spans="1:4" x14ac:dyDescent="0.25">
      <c r="A82" s="2"/>
      <c r="B82" s="2"/>
      <c r="C82" s="2"/>
      <c r="D82" s="2"/>
    </row>
    <row r="83" spans="1:4" ht="15.75" thickBot="1" x14ac:dyDescent="0.3">
      <c r="A83" s="8" t="s">
        <v>80</v>
      </c>
      <c r="B83" s="2"/>
      <c r="C83" s="2"/>
      <c r="D83" s="2"/>
    </row>
    <row r="84" spans="1:4" ht="15.75" thickBot="1" x14ac:dyDescent="0.3">
      <c r="A84" s="36" t="s">
        <v>81</v>
      </c>
      <c r="B84" s="33" t="s">
        <v>82</v>
      </c>
      <c r="C84" s="32" t="s">
        <v>13</v>
      </c>
      <c r="D84" s="37">
        <f>D86+D85</f>
        <v>435602.94</v>
      </c>
    </row>
    <row r="85" spans="1:4" ht="15.75" thickBot="1" x14ac:dyDescent="0.3">
      <c r="A85" s="38" t="s">
        <v>83</v>
      </c>
      <c r="B85" s="25" t="s">
        <v>84</v>
      </c>
      <c r="C85" s="25" t="s">
        <v>13</v>
      </c>
      <c r="D85" s="39">
        <f>-(29280.19+934.37+7528.9+827.28+1.21+10.13)</f>
        <v>-38582.079999999994</v>
      </c>
    </row>
    <row r="86" spans="1:4" ht="15.75" thickBot="1" x14ac:dyDescent="0.3">
      <c r="A86" s="38" t="s">
        <v>85</v>
      </c>
      <c r="B86" s="25" t="s">
        <v>86</v>
      </c>
      <c r="C86" s="25" t="s">
        <v>13</v>
      </c>
      <c r="D86" s="39">
        <f>165352.26+55431.59+161914.02+89278.66+236.52+1971.97</f>
        <v>474185.02</v>
      </c>
    </row>
    <row r="87" spans="1:4" ht="15.75" thickBot="1" x14ac:dyDescent="0.3">
      <c r="A87" s="38" t="s">
        <v>87</v>
      </c>
      <c r="B87" s="29" t="s">
        <v>88</v>
      </c>
      <c r="C87" s="25" t="s">
        <v>13</v>
      </c>
      <c r="D87" s="39">
        <f>D89+D88</f>
        <v>504833.10000000003</v>
      </c>
    </row>
    <row r="88" spans="1:4" ht="15.75" thickBot="1" x14ac:dyDescent="0.3">
      <c r="A88" s="38" t="s">
        <v>89</v>
      </c>
      <c r="B88" s="25" t="s">
        <v>84</v>
      </c>
      <c r="C88" s="25" t="s">
        <v>13</v>
      </c>
      <c r="D88" s="39">
        <f>-(109.49+3024.57+5421.5+2761.86+1939.25+5783.95)</f>
        <v>-19040.62</v>
      </c>
    </row>
    <row r="89" spans="1:4" ht="15.75" thickBot="1" x14ac:dyDescent="0.3">
      <c r="A89" s="38" t="s">
        <v>90</v>
      </c>
      <c r="B89" s="25" t="s">
        <v>86</v>
      </c>
      <c r="C89" s="25" t="s">
        <v>13</v>
      </c>
      <c r="D89" s="39">
        <f>259297.74+37662.16+159071.49+64914.08+328.98+2599.27</f>
        <v>523873.72000000003</v>
      </c>
    </row>
    <row r="90" spans="1:4" x14ac:dyDescent="0.25">
      <c r="A90" s="2"/>
      <c r="B90" s="2"/>
      <c r="C90" s="2"/>
      <c r="D90" s="2"/>
    </row>
    <row r="91" spans="1:4" ht="15.75" thickBot="1" x14ac:dyDescent="0.3">
      <c r="A91" s="8" t="s">
        <v>91</v>
      </c>
      <c r="B91" s="2"/>
      <c r="C91" s="2"/>
      <c r="D91" s="2"/>
    </row>
    <row r="92" spans="1:4" ht="15.75" thickBot="1" x14ac:dyDescent="0.3">
      <c r="A92" s="40" t="s">
        <v>92</v>
      </c>
      <c r="B92" s="41" t="s">
        <v>93</v>
      </c>
      <c r="C92" s="42" t="s">
        <v>47</v>
      </c>
      <c r="D92" s="41" t="s">
        <v>94</v>
      </c>
    </row>
    <row r="93" spans="1:4" ht="15.75" thickBot="1" x14ac:dyDescent="0.3">
      <c r="A93" s="24"/>
      <c r="B93" s="29" t="s">
        <v>95</v>
      </c>
      <c r="C93" s="25" t="s">
        <v>47</v>
      </c>
      <c r="D93" s="29" t="s">
        <v>96</v>
      </c>
    </row>
    <row r="94" spans="1:4" ht="15.75" thickBot="1" x14ac:dyDescent="0.3">
      <c r="A94" s="24"/>
      <c r="B94" s="29" t="s">
        <v>97</v>
      </c>
      <c r="C94" s="25" t="s">
        <v>96</v>
      </c>
      <c r="D94" s="39">
        <v>617.29229999999995</v>
      </c>
    </row>
    <row r="95" spans="1:4" ht="15.75" thickBot="1" x14ac:dyDescent="0.3">
      <c r="A95" s="24"/>
      <c r="B95" s="29" t="s">
        <v>98</v>
      </c>
      <c r="C95" s="25" t="s">
        <v>13</v>
      </c>
      <c r="D95" s="39">
        <f>616349.9+3978.11</f>
        <v>620328.01</v>
      </c>
    </row>
    <row r="96" spans="1:4" ht="15.75" thickBot="1" x14ac:dyDescent="0.3">
      <c r="A96" s="24"/>
      <c r="B96" s="25" t="s">
        <v>99</v>
      </c>
      <c r="C96" s="25" t="s">
        <v>13</v>
      </c>
      <c r="D96" s="43">
        <v>497211.83</v>
      </c>
    </row>
    <row r="97" spans="1:4" ht="15.75" thickBot="1" x14ac:dyDescent="0.3">
      <c r="A97" s="24"/>
      <c r="B97" s="25" t="s">
        <v>100</v>
      </c>
      <c r="C97" s="25" t="s">
        <v>13</v>
      </c>
      <c r="D97" s="43">
        <f>D95-D96</f>
        <v>123116.18</v>
      </c>
    </row>
    <row r="98" spans="1:4" ht="15.75" thickBot="1" x14ac:dyDescent="0.3">
      <c r="A98" s="24"/>
      <c r="B98" s="25" t="s">
        <v>101</v>
      </c>
      <c r="C98" s="25" t="s">
        <v>13</v>
      </c>
      <c r="D98" s="43">
        <f>241620.35+361922.36</f>
        <v>603542.71</v>
      </c>
    </row>
    <row r="99" spans="1:4" ht="15.75" thickBot="1" x14ac:dyDescent="0.3">
      <c r="A99" s="24"/>
      <c r="B99" s="25" t="s">
        <v>102</v>
      </c>
      <c r="C99" s="25" t="s">
        <v>13</v>
      </c>
      <c r="D99" s="43">
        <f>D97</f>
        <v>123116.18</v>
      </c>
    </row>
    <row r="100" spans="1:4" ht="15.75" thickBot="1" x14ac:dyDescent="0.3">
      <c r="A100" s="24"/>
      <c r="B100" s="25" t="s">
        <v>103</v>
      </c>
      <c r="C100" s="25" t="s">
        <v>13</v>
      </c>
      <c r="D100" s="43">
        <v>0</v>
      </c>
    </row>
    <row r="101" spans="1:4" ht="15.75" thickBot="1" x14ac:dyDescent="0.3">
      <c r="A101" s="24"/>
      <c r="B101" s="29" t="s">
        <v>104</v>
      </c>
      <c r="C101" s="25" t="s">
        <v>13</v>
      </c>
      <c r="D101" s="39">
        <v>0</v>
      </c>
    </row>
    <row r="102" spans="1:4" ht="15.75" thickBot="1" x14ac:dyDescent="0.3">
      <c r="A102" s="40" t="s">
        <v>105</v>
      </c>
      <c r="B102" s="41" t="s">
        <v>93</v>
      </c>
      <c r="C102" s="42" t="s">
        <v>47</v>
      </c>
      <c r="D102" s="41" t="s">
        <v>106</v>
      </c>
    </row>
    <row r="103" spans="1:4" ht="15.75" thickBot="1" x14ac:dyDescent="0.3">
      <c r="A103" s="24"/>
      <c r="B103" s="29" t="s">
        <v>95</v>
      </c>
      <c r="C103" s="25" t="s">
        <v>47</v>
      </c>
      <c r="D103" s="29" t="s">
        <v>107</v>
      </c>
    </row>
    <row r="104" spans="1:4" ht="15.75" thickBot="1" x14ac:dyDescent="0.3">
      <c r="A104" s="24"/>
      <c r="B104" s="29" t="s">
        <v>97</v>
      </c>
      <c r="C104" s="25" t="s">
        <v>107</v>
      </c>
      <c r="D104" s="44">
        <v>6569.2914000000001</v>
      </c>
    </row>
    <row r="105" spans="1:4" ht="15.75" thickBot="1" x14ac:dyDescent="0.3">
      <c r="A105" s="24"/>
      <c r="B105" s="29" t="s">
        <v>98</v>
      </c>
      <c r="C105" s="25" t="s">
        <v>13</v>
      </c>
      <c r="D105" s="44">
        <f>1163.64+459.03+66984.2-1736.55</f>
        <v>66870.319999999992</v>
      </c>
    </row>
    <row r="106" spans="1:4" ht="15.75" thickBot="1" x14ac:dyDescent="0.3">
      <c r="A106" s="24"/>
      <c r="B106" s="25" t="s">
        <v>99</v>
      </c>
      <c r="C106" s="25" t="s">
        <v>13</v>
      </c>
      <c r="D106" s="45">
        <f>3468.25+85107.28</f>
        <v>88575.53</v>
      </c>
    </row>
    <row r="107" spans="1:4" ht="15.75" thickBot="1" x14ac:dyDescent="0.3">
      <c r="A107" s="24"/>
      <c r="B107" s="25" t="s">
        <v>100</v>
      </c>
      <c r="C107" s="25" t="s">
        <v>13</v>
      </c>
      <c r="D107" s="45">
        <v>0</v>
      </c>
    </row>
    <row r="108" spans="1:4" ht="15.75" thickBot="1" x14ac:dyDescent="0.3">
      <c r="A108" s="24"/>
      <c r="B108" s="25" t="s">
        <v>101</v>
      </c>
      <c r="C108" s="25" t="s">
        <v>13</v>
      </c>
      <c r="D108" s="45">
        <f>40407.46+153040.11</f>
        <v>193447.56999999998</v>
      </c>
    </row>
    <row r="109" spans="1:4" ht="15.75" thickBot="1" x14ac:dyDescent="0.3">
      <c r="A109" s="24"/>
      <c r="B109" s="25" t="s">
        <v>102</v>
      </c>
      <c r="C109" s="25" t="s">
        <v>13</v>
      </c>
      <c r="D109" s="45">
        <f>D106</f>
        <v>88575.53</v>
      </c>
    </row>
    <row r="110" spans="1:4" ht="15.75" thickBot="1" x14ac:dyDescent="0.3">
      <c r="A110" s="24"/>
      <c r="B110" s="25" t="s">
        <v>103</v>
      </c>
      <c r="C110" s="25" t="s">
        <v>13</v>
      </c>
      <c r="D110" s="45">
        <v>0</v>
      </c>
    </row>
    <row r="111" spans="1:4" ht="15.75" thickBot="1" x14ac:dyDescent="0.3">
      <c r="A111" s="24"/>
      <c r="B111" s="29" t="s">
        <v>104</v>
      </c>
      <c r="C111" s="25" t="s">
        <v>13</v>
      </c>
      <c r="D111" s="44">
        <v>0</v>
      </c>
    </row>
    <row r="112" spans="1:4" ht="15.75" thickBot="1" x14ac:dyDescent="0.3">
      <c r="A112" s="40" t="s">
        <v>108</v>
      </c>
      <c r="B112" s="41" t="s">
        <v>93</v>
      </c>
      <c r="C112" s="42" t="s">
        <v>47</v>
      </c>
      <c r="D112" s="41" t="s">
        <v>109</v>
      </c>
    </row>
    <row r="113" spans="1:4" ht="15.75" thickBot="1" x14ac:dyDescent="0.3">
      <c r="A113" s="24"/>
      <c r="B113" s="29" t="s">
        <v>95</v>
      </c>
      <c r="C113" s="25" t="s">
        <v>47</v>
      </c>
      <c r="D113" s="29" t="s">
        <v>107</v>
      </c>
    </row>
    <row r="114" spans="1:4" ht="15.75" thickBot="1" x14ac:dyDescent="0.3">
      <c r="A114" s="24"/>
      <c r="B114" s="29" t="s">
        <v>97</v>
      </c>
      <c r="C114" s="25" t="s">
        <v>107</v>
      </c>
      <c r="D114" s="44">
        <v>4462.3604999999998</v>
      </c>
    </row>
    <row r="115" spans="1:4" ht="15.75" thickBot="1" x14ac:dyDescent="0.3">
      <c r="A115" s="24"/>
      <c r="B115" s="29" t="s">
        <v>98</v>
      </c>
      <c r="C115" s="25" t="s">
        <v>13</v>
      </c>
      <c r="D115" s="44">
        <f>312603.36-6135+9035.43+1977.99</f>
        <v>317481.77999999997</v>
      </c>
    </row>
    <row r="116" spans="1:4" ht="15.75" thickBot="1" x14ac:dyDescent="0.3">
      <c r="A116" s="24"/>
      <c r="B116" s="25" t="s">
        <v>99</v>
      </c>
      <c r="C116" s="25" t="s">
        <v>13</v>
      </c>
      <c r="D116" s="45">
        <f>307203.49+16159.94</f>
        <v>323363.43</v>
      </c>
    </row>
    <row r="117" spans="1:4" ht="15.75" thickBot="1" x14ac:dyDescent="0.3">
      <c r="A117" s="24"/>
      <c r="B117" s="25" t="s">
        <v>100</v>
      </c>
      <c r="C117" s="25" t="s">
        <v>13</v>
      </c>
      <c r="D117" s="45">
        <v>0</v>
      </c>
    </row>
    <row r="118" spans="1:4" ht="15.75" thickBot="1" x14ac:dyDescent="0.3">
      <c r="A118" s="24"/>
      <c r="B118" s="25" t="s">
        <v>101</v>
      </c>
      <c r="C118" s="25" t="s">
        <v>13</v>
      </c>
      <c r="D118" s="45">
        <f>250528.97+77479.44</f>
        <v>328008.41000000003</v>
      </c>
    </row>
    <row r="119" spans="1:4" ht="15.75" thickBot="1" x14ac:dyDescent="0.3">
      <c r="A119" s="24"/>
      <c r="B119" s="25" t="s">
        <v>102</v>
      </c>
      <c r="C119" s="25" t="s">
        <v>13</v>
      </c>
      <c r="D119" s="45">
        <f>D116</f>
        <v>323363.43</v>
      </c>
    </row>
    <row r="120" spans="1:4" ht="15.75" thickBot="1" x14ac:dyDescent="0.3">
      <c r="A120" s="24"/>
      <c r="B120" s="25" t="s">
        <v>103</v>
      </c>
      <c r="C120" s="25" t="s">
        <v>13</v>
      </c>
      <c r="D120" s="45">
        <v>0</v>
      </c>
    </row>
    <row r="121" spans="1:4" ht="15.75" thickBot="1" x14ac:dyDescent="0.3">
      <c r="A121" s="24"/>
      <c r="B121" s="29" t="s">
        <v>104</v>
      </c>
      <c r="C121" s="25" t="s">
        <v>13</v>
      </c>
      <c r="D121" s="44">
        <v>0</v>
      </c>
    </row>
    <row r="122" spans="1:4" ht="15.75" thickBot="1" x14ac:dyDescent="0.3">
      <c r="A122" s="40" t="s">
        <v>110</v>
      </c>
      <c r="B122" s="41" t="s">
        <v>93</v>
      </c>
      <c r="C122" s="42" t="s">
        <v>47</v>
      </c>
      <c r="D122" s="41" t="s">
        <v>111</v>
      </c>
    </row>
    <row r="123" spans="1:4" ht="15.75" thickBot="1" x14ac:dyDescent="0.3">
      <c r="A123" s="24"/>
      <c r="B123" s="29" t="s">
        <v>95</v>
      </c>
      <c r="C123" s="25" t="s">
        <v>47</v>
      </c>
      <c r="D123" s="29" t="s">
        <v>107</v>
      </c>
    </row>
    <row r="124" spans="1:4" ht="15.75" thickBot="1" x14ac:dyDescent="0.3">
      <c r="A124" s="24"/>
      <c r="B124" s="29" t="s">
        <v>97</v>
      </c>
      <c r="C124" s="25" t="s">
        <v>107</v>
      </c>
      <c r="D124" s="39">
        <v>11031.6443</v>
      </c>
    </row>
    <row r="125" spans="1:4" ht="15.75" thickBot="1" x14ac:dyDescent="0.3">
      <c r="A125" s="24"/>
      <c r="B125" s="29" t="s">
        <v>98</v>
      </c>
      <c r="C125" s="25" t="s">
        <v>13</v>
      </c>
      <c r="D125" s="39">
        <f>116588.3-2171.5</f>
        <v>114416.8</v>
      </c>
    </row>
    <row r="126" spans="1:4" ht="15.75" thickBot="1" x14ac:dyDescent="0.3">
      <c r="A126" s="24"/>
      <c r="B126" s="25" t="s">
        <v>99</v>
      </c>
      <c r="C126" s="25" t="s">
        <v>13</v>
      </c>
      <c r="D126" s="43">
        <v>140715.96</v>
      </c>
    </row>
    <row r="127" spans="1:4" ht="15.75" thickBot="1" x14ac:dyDescent="0.3">
      <c r="A127" s="24"/>
      <c r="B127" s="25" t="s">
        <v>100</v>
      </c>
      <c r="C127" s="25" t="s">
        <v>13</v>
      </c>
      <c r="D127" s="43">
        <v>0</v>
      </c>
    </row>
    <row r="128" spans="1:4" ht="15.75" thickBot="1" x14ac:dyDescent="0.3">
      <c r="A128" s="24"/>
      <c r="B128" s="25" t="s">
        <v>101</v>
      </c>
      <c r="C128" s="25" t="s">
        <v>13</v>
      </c>
      <c r="D128" s="43">
        <f>76111.33+119667.58</f>
        <v>195778.91</v>
      </c>
    </row>
    <row r="129" spans="1:4" ht="15.75" thickBot="1" x14ac:dyDescent="0.3">
      <c r="A129" s="24"/>
      <c r="B129" s="25" t="s">
        <v>102</v>
      </c>
      <c r="C129" s="25" t="s">
        <v>13</v>
      </c>
      <c r="D129" s="43">
        <f>D126</f>
        <v>140715.96</v>
      </c>
    </row>
    <row r="130" spans="1:4" ht="15.75" thickBot="1" x14ac:dyDescent="0.3">
      <c r="A130" s="24"/>
      <c r="B130" s="25" t="s">
        <v>103</v>
      </c>
      <c r="C130" s="25" t="s">
        <v>13</v>
      </c>
      <c r="D130" s="43">
        <v>0</v>
      </c>
    </row>
    <row r="131" spans="1:4" ht="15.75" thickBot="1" x14ac:dyDescent="0.3">
      <c r="A131" s="24"/>
      <c r="B131" s="29" t="s">
        <v>104</v>
      </c>
      <c r="C131" s="25" t="s">
        <v>13</v>
      </c>
      <c r="D131" s="39">
        <v>0</v>
      </c>
    </row>
    <row r="132" spans="1:4" x14ac:dyDescent="0.25">
      <c r="A132" s="46"/>
      <c r="B132" s="47"/>
      <c r="C132" s="48"/>
      <c r="D132" s="49"/>
    </row>
    <row r="133" spans="1:4" ht="15.75" thickBot="1" x14ac:dyDescent="0.3">
      <c r="A133" s="8" t="s">
        <v>112</v>
      </c>
      <c r="B133" s="2"/>
      <c r="C133" s="2"/>
      <c r="D133" s="2"/>
    </row>
    <row r="134" spans="1:4" ht="15.75" thickBot="1" x14ac:dyDescent="0.3">
      <c r="A134" s="22" t="s">
        <v>113</v>
      </c>
      <c r="B134" s="33" t="s">
        <v>73</v>
      </c>
      <c r="C134" s="32" t="s">
        <v>114</v>
      </c>
      <c r="D134" s="33">
        <v>0</v>
      </c>
    </row>
    <row r="135" spans="1:4" ht="15.75" thickBot="1" x14ac:dyDescent="0.3">
      <c r="A135" s="24" t="s">
        <v>115</v>
      </c>
      <c r="B135" s="29" t="s">
        <v>75</v>
      </c>
      <c r="C135" s="25" t="s">
        <v>114</v>
      </c>
      <c r="D135" s="29">
        <v>0</v>
      </c>
    </row>
    <row r="136" spans="1:4" ht="15.75" thickBot="1" x14ac:dyDescent="0.3">
      <c r="A136" s="24" t="s">
        <v>116</v>
      </c>
      <c r="B136" s="29" t="s">
        <v>77</v>
      </c>
      <c r="C136" s="25" t="s">
        <v>114</v>
      </c>
      <c r="D136" s="29">
        <v>0</v>
      </c>
    </row>
    <row r="137" spans="1:4" ht="15.75" thickBot="1" x14ac:dyDescent="0.3">
      <c r="A137" s="24" t="s">
        <v>117</v>
      </c>
      <c r="B137" s="29" t="s">
        <v>79</v>
      </c>
      <c r="C137" s="25" t="s">
        <v>13</v>
      </c>
      <c r="D137" s="39">
        <v>0</v>
      </c>
    </row>
    <row r="138" spans="1:4" x14ac:dyDescent="0.25">
      <c r="A138" s="2"/>
      <c r="B138" s="2"/>
      <c r="C138" s="2"/>
      <c r="D138" s="2"/>
    </row>
    <row r="139" spans="1:4" ht="15.75" thickBot="1" x14ac:dyDescent="0.3">
      <c r="A139" s="8" t="s">
        <v>118</v>
      </c>
      <c r="B139" s="2"/>
      <c r="C139" s="2"/>
      <c r="D139" s="2"/>
    </row>
    <row r="140" spans="1:4" ht="15.75" thickBot="1" x14ac:dyDescent="0.3">
      <c r="A140" s="34">
        <v>48</v>
      </c>
      <c r="B140" s="33" t="s">
        <v>119</v>
      </c>
      <c r="C140" s="32" t="s">
        <v>114</v>
      </c>
      <c r="D140" s="33">
        <v>4</v>
      </c>
    </row>
    <row r="141" spans="1:4" ht="15.75" thickBot="1" x14ac:dyDescent="0.3">
      <c r="A141" s="50">
        <v>49</v>
      </c>
      <c r="B141" s="29" t="s">
        <v>120</v>
      </c>
      <c r="C141" s="25" t="s">
        <v>114</v>
      </c>
      <c r="D141" s="29">
        <v>1</v>
      </c>
    </row>
    <row r="142" spans="1:4" ht="15.75" thickBot="1" x14ac:dyDescent="0.3">
      <c r="A142" s="51">
        <v>50</v>
      </c>
      <c r="B142" s="52" t="s">
        <v>121</v>
      </c>
      <c r="C142" s="53" t="s">
        <v>13</v>
      </c>
      <c r="D142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opLeftCell="A61" workbookViewId="0">
      <selection activeCell="D72" sqref="D72"/>
    </sheetView>
  </sheetViews>
  <sheetFormatPr defaultRowHeight="15" x14ac:dyDescent="0.25"/>
  <cols>
    <col min="2" max="2" width="73.7109375" customWidth="1"/>
    <col min="3" max="3" width="12.28515625" customWidth="1"/>
    <col min="4" max="4" width="57.140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164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165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258156.41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258156.41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300822.71999999997</v>
      </c>
    </row>
    <row r="17" spans="1:5" x14ac:dyDescent="0.25">
      <c r="A17" s="15" t="s">
        <v>20</v>
      </c>
      <c r="B17" s="16" t="s">
        <v>21</v>
      </c>
      <c r="C17" s="16" t="s">
        <v>13</v>
      </c>
      <c r="D17" s="17">
        <v>210268.79999999999</v>
      </c>
    </row>
    <row r="18" spans="1:5" x14ac:dyDescent="0.25">
      <c r="A18" s="15" t="s">
        <v>22</v>
      </c>
      <c r="B18" s="15" t="s">
        <v>23</v>
      </c>
      <c r="C18" s="16" t="s">
        <v>13</v>
      </c>
      <c r="D18" s="17">
        <v>80353.919999999998</v>
      </c>
    </row>
    <row r="19" spans="1:5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5" x14ac:dyDescent="0.25">
      <c r="A20" s="15" t="s">
        <v>26</v>
      </c>
      <c r="B20" s="18" t="s">
        <v>27</v>
      </c>
      <c r="C20" s="16" t="s">
        <v>13</v>
      </c>
      <c r="D20" s="17">
        <v>280758.63</v>
      </c>
    </row>
    <row r="21" spans="1:5" x14ac:dyDescent="0.25">
      <c r="A21" s="15" t="s">
        <v>28</v>
      </c>
      <c r="B21" s="16" t="s">
        <v>29</v>
      </c>
      <c r="C21" s="16" t="s">
        <v>13</v>
      </c>
      <c r="D21" s="17">
        <f>796626.5+74982.13</f>
        <v>871608.63</v>
      </c>
    </row>
    <row r="22" spans="1:5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5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5" x14ac:dyDescent="0.25">
      <c r="A24" s="15" t="s">
        <v>34</v>
      </c>
      <c r="B24" s="16" t="s">
        <v>35</v>
      </c>
      <c r="C24" s="16" t="s">
        <v>13</v>
      </c>
      <c r="D24" s="17">
        <v>9150</v>
      </c>
    </row>
    <row r="25" spans="1:5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5" x14ac:dyDescent="0.25">
      <c r="A26" s="15" t="s">
        <v>38</v>
      </c>
      <c r="B26" s="18" t="s">
        <v>39</v>
      </c>
      <c r="C26" s="16" t="s">
        <v>13</v>
      </c>
      <c r="D26" s="17">
        <f>D20-D15</f>
        <v>22602.22</v>
      </c>
    </row>
    <row r="27" spans="1:5" x14ac:dyDescent="0.25">
      <c r="A27" s="15" t="s">
        <v>40</v>
      </c>
      <c r="B27" s="18" t="s">
        <v>41</v>
      </c>
      <c r="C27" s="16" t="s">
        <v>13</v>
      </c>
      <c r="D27" s="17">
        <v>363746.86</v>
      </c>
    </row>
    <row r="28" spans="1:5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5" ht="15.75" thickBot="1" x14ac:dyDescent="0.3">
      <c r="A29" s="19" t="s">
        <v>43</v>
      </c>
      <c r="B29" s="20" t="s">
        <v>17</v>
      </c>
      <c r="C29" s="20" t="s">
        <v>13</v>
      </c>
      <c r="D29" s="21">
        <v>363746.86</v>
      </c>
    </row>
    <row r="30" spans="1:5" x14ac:dyDescent="0.25">
      <c r="A30" s="2"/>
      <c r="B30" s="2"/>
      <c r="C30" s="2"/>
      <c r="D30" s="2"/>
    </row>
    <row r="31" spans="1:5" ht="15.75" thickBot="1" x14ac:dyDescent="0.3">
      <c r="A31" s="8" t="s">
        <v>44</v>
      </c>
      <c r="B31" s="2"/>
      <c r="C31" s="2"/>
      <c r="D31" s="2"/>
    </row>
    <row r="32" spans="1:5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  <c r="E32" s="57"/>
    </row>
    <row r="33" spans="1:5" ht="15.75" thickBot="1" x14ac:dyDescent="0.3">
      <c r="A33" s="24"/>
      <c r="B33" s="25" t="s">
        <v>49</v>
      </c>
      <c r="C33" s="25" t="s">
        <v>47</v>
      </c>
      <c r="D33" s="29" t="s">
        <v>50</v>
      </c>
      <c r="E33" s="57"/>
    </row>
    <row r="34" spans="1:5" ht="15.75" thickBot="1" x14ac:dyDescent="0.3">
      <c r="A34" s="24"/>
      <c r="B34" s="25" t="s">
        <v>51</v>
      </c>
      <c r="C34" s="25" t="s">
        <v>47</v>
      </c>
      <c r="D34" s="29" t="s">
        <v>52</v>
      </c>
      <c r="E34" s="57"/>
    </row>
    <row r="35" spans="1:5" ht="15.75" thickBot="1" x14ac:dyDescent="0.3">
      <c r="A35" s="24"/>
      <c r="B35" s="25" t="s">
        <v>53</v>
      </c>
      <c r="C35" s="25" t="s">
        <v>47</v>
      </c>
      <c r="D35" s="26" t="s">
        <v>54</v>
      </c>
      <c r="E35" s="57"/>
    </row>
    <row r="36" spans="1:5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  <c r="E36" s="57"/>
    </row>
    <row r="37" spans="1:5" ht="15.75" thickBot="1" x14ac:dyDescent="0.3">
      <c r="A37" s="24"/>
      <c r="B37" s="25" t="s">
        <v>49</v>
      </c>
      <c r="C37" s="25" t="s">
        <v>47</v>
      </c>
      <c r="D37" s="29" t="s">
        <v>124</v>
      </c>
      <c r="E37" s="57"/>
    </row>
    <row r="38" spans="1:5" ht="15.75" thickBot="1" x14ac:dyDescent="0.3">
      <c r="A38" s="24"/>
      <c r="B38" s="25" t="s">
        <v>51</v>
      </c>
      <c r="C38" s="25" t="s">
        <v>47</v>
      </c>
      <c r="D38" s="29" t="s">
        <v>57</v>
      </c>
      <c r="E38" s="57"/>
    </row>
    <row r="39" spans="1:5" ht="15.75" thickBot="1" x14ac:dyDescent="0.3">
      <c r="A39" s="24"/>
      <c r="B39" s="25" t="s">
        <v>53</v>
      </c>
      <c r="C39" s="25" t="s">
        <v>47</v>
      </c>
      <c r="D39" s="30">
        <v>3808160770</v>
      </c>
      <c r="E39" s="57"/>
    </row>
    <row r="40" spans="1:5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  <c r="E40" s="57"/>
    </row>
    <row r="41" spans="1:5" ht="15.75" thickBot="1" x14ac:dyDescent="0.3">
      <c r="A41" s="24"/>
      <c r="B41" s="25" t="s">
        <v>49</v>
      </c>
      <c r="C41" s="25" t="s">
        <v>47</v>
      </c>
      <c r="D41" s="29" t="s">
        <v>59</v>
      </c>
      <c r="E41" s="57"/>
    </row>
    <row r="42" spans="1:5" ht="15.75" thickBot="1" x14ac:dyDescent="0.3">
      <c r="A42" s="24"/>
      <c r="B42" s="25" t="s">
        <v>51</v>
      </c>
      <c r="C42" s="25" t="s">
        <v>47</v>
      </c>
      <c r="D42" s="29" t="s">
        <v>52</v>
      </c>
      <c r="E42" s="57"/>
    </row>
    <row r="43" spans="1:5" ht="15.75" thickBot="1" x14ac:dyDescent="0.3">
      <c r="A43" s="24"/>
      <c r="B43" s="25" t="s">
        <v>53</v>
      </c>
      <c r="C43" s="25" t="s">
        <v>47</v>
      </c>
      <c r="D43" s="30">
        <v>3807000117</v>
      </c>
      <c r="E43" s="57"/>
    </row>
    <row r="44" spans="1:5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  <c r="E44" s="57"/>
    </row>
    <row r="45" spans="1:5" ht="15.75" thickBot="1" x14ac:dyDescent="0.3">
      <c r="A45" s="24"/>
      <c r="B45" s="25" t="s">
        <v>49</v>
      </c>
      <c r="C45" s="25" t="s">
        <v>47</v>
      </c>
      <c r="D45" s="29" t="s">
        <v>70</v>
      </c>
      <c r="E45" s="57"/>
    </row>
    <row r="46" spans="1:5" ht="15.75" thickBot="1" x14ac:dyDescent="0.3">
      <c r="A46" s="24"/>
      <c r="B46" s="25" t="s">
        <v>51</v>
      </c>
      <c r="C46" s="25" t="s">
        <v>47</v>
      </c>
      <c r="D46" s="29" t="s">
        <v>57</v>
      </c>
      <c r="E46" s="57"/>
    </row>
    <row r="47" spans="1:5" ht="15.75" thickBot="1" x14ac:dyDescent="0.3">
      <c r="A47" s="24"/>
      <c r="B47" s="25" t="s">
        <v>53</v>
      </c>
      <c r="C47" s="25" t="s">
        <v>47</v>
      </c>
      <c r="D47" s="30">
        <v>3811171757</v>
      </c>
      <c r="E47" s="57"/>
    </row>
    <row r="48" spans="1:5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  <c r="E48" s="57"/>
    </row>
    <row r="49" spans="1:5" ht="15.75" thickBot="1" x14ac:dyDescent="0.3">
      <c r="A49" s="24"/>
      <c r="B49" s="25" t="s">
        <v>49</v>
      </c>
      <c r="C49" s="25" t="s">
        <v>47</v>
      </c>
      <c r="D49" s="29" t="s">
        <v>134</v>
      </c>
      <c r="E49" s="57"/>
    </row>
    <row r="50" spans="1:5" ht="15.75" thickBot="1" x14ac:dyDescent="0.3">
      <c r="A50" s="24"/>
      <c r="B50" s="25" t="s">
        <v>51</v>
      </c>
      <c r="C50" s="25" t="s">
        <v>47</v>
      </c>
      <c r="D50" s="55" t="s">
        <v>57</v>
      </c>
      <c r="E50" s="57"/>
    </row>
    <row r="51" spans="1:5" ht="15.75" thickBot="1" x14ac:dyDescent="0.3">
      <c r="A51" s="24"/>
      <c r="B51" s="25" t="s">
        <v>53</v>
      </c>
      <c r="C51" s="25" t="s">
        <v>47</v>
      </c>
      <c r="D51" s="31" t="s">
        <v>68</v>
      </c>
      <c r="E51" s="57"/>
    </row>
    <row r="52" spans="1:5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  <c r="E52" s="57"/>
    </row>
    <row r="53" spans="1:5" ht="15.75" thickBot="1" x14ac:dyDescent="0.3">
      <c r="A53" s="24"/>
      <c r="B53" s="25" t="s">
        <v>49</v>
      </c>
      <c r="C53" s="25" t="s">
        <v>47</v>
      </c>
      <c r="D53" s="29" t="s">
        <v>134</v>
      </c>
      <c r="E53" s="57"/>
    </row>
    <row r="54" spans="1:5" ht="15.75" thickBot="1" x14ac:dyDescent="0.3">
      <c r="A54" s="24"/>
      <c r="B54" s="25" t="s">
        <v>51</v>
      </c>
      <c r="C54" s="25" t="s">
        <v>47</v>
      </c>
      <c r="D54" s="29" t="s">
        <v>57</v>
      </c>
      <c r="E54" s="57"/>
    </row>
    <row r="55" spans="1:5" ht="15.75" thickBot="1" x14ac:dyDescent="0.3">
      <c r="A55" s="24"/>
      <c r="B55" s="25" t="s">
        <v>53</v>
      </c>
      <c r="C55" s="25" t="s">
        <v>47</v>
      </c>
      <c r="D55" s="31" t="s">
        <v>68</v>
      </c>
      <c r="E55" s="57"/>
    </row>
    <row r="56" spans="1:5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  <c r="E56" s="57"/>
    </row>
    <row r="57" spans="1:5" ht="15.75" thickBot="1" x14ac:dyDescent="0.3">
      <c r="A57" s="24"/>
      <c r="B57" s="25" t="s">
        <v>49</v>
      </c>
      <c r="C57" s="25" t="s">
        <v>47</v>
      </c>
      <c r="D57" s="29" t="s">
        <v>133</v>
      </c>
      <c r="E57" s="57"/>
    </row>
    <row r="58" spans="1:5" ht="15.75" thickBot="1" x14ac:dyDescent="0.3">
      <c r="A58" s="24"/>
      <c r="B58" s="25" t="s">
        <v>51</v>
      </c>
      <c r="C58" s="25" t="s">
        <v>47</v>
      </c>
      <c r="D58" s="29" t="s">
        <v>57</v>
      </c>
      <c r="E58" s="57"/>
    </row>
    <row r="59" spans="1:5" ht="15.75" thickBot="1" x14ac:dyDescent="0.3">
      <c r="A59" s="24"/>
      <c r="B59" s="25" t="s">
        <v>53</v>
      </c>
      <c r="C59" s="25" t="s">
        <v>47</v>
      </c>
      <c r="D59" s="30">
        <v>3808170471</v>
      </c>
      <c r="E59" s="57"/>
    </row>
    <row r="60" spans="1:5" x14ac:dyDescent="0.25">
      <c r="A60" s="2"/>
      <c r="B60" s="2"/>
      <c r="C60" s="2"/>
      <c r="D60" s="2"/>
    </row>
    <row r="61" spans="1:5" ht="15.75" thickBot="1" x14ac:dyDescent="0.3">
      <c r="A61" s="8" t="s">
        <v>71</v>
      </c>
      <c r="B61" s="2"/>
      <c r="C61" s="2"/>
      <c r="D61" s="2"/>
    </row>
    <row r="62" spans="1:5" ht="15.75" thickBot="1" x14ac:dyDescent="0.3">
      <c r="A62" s="22" t="s">
        <v>72</v>
      </c>
      <c r="B62" s="32" t="s">
        <v>73</v>
      </c>
      <c r="C62" s="32" t="s">
        <v>47</v>
      </c>
      <c r="D62" s="33">
        <v>0</v>
      </c>
    </row>
    <row r="63" spans="1:5" ht="15.75" thickBot="1" x14ac:dyDescent="0.3">
      <c r="A63" s="24" t="s">
        <v>74</v>
      </c>
      <c r="B63" s="25" t="s">
        <v>75</v>
      </c>
      <c r="C63" s="25" t="s">
        <v>47</v>
      </c>
      <c r="D63" s="29">
        <v>0</v>
      </c>
    </row>
    <row r="64" spans="1:5" ht="15.75" thickBot="1" x14ac:dyDescent="0.3">
      <c r="A64" s="24" t="s">
        <v>76</v>
      </c>
      <c r="B64" s="25" t="s">
        <v>77</v>
      </c>
      <c r="C64" s="25" t="s">
        <v>47</v>
      </c>
      <c r="D64" s="29">
        <v>0</v>
      </c>
    </row>
    <row r="65" spans="1:4" ht="15.75" thickBot="1" x14ac:dyDescent="0.3">
      <c r="A65" s="22" t="s">
        <v>78</v>
      </c>
      <c r="B65" s="34" t="s">
        <v>79</v>
      </c>
      <c r="C65" s="34" t="s">
        <v>13</v>
      </c>
      <c r="D65" s="35">
        <v>0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80</v>
      </c>
      <c r="B67" s="2"/>
      <c r="C67" s="2"/>
      <c r="D67" s="2"/>
    </row>
    <row r="68" spans="1:4" ht="15.75" thickBot="1" x14ac:dyDescent="0.3">
      <c r="A68" s="36" t="s">
        <v>81</v>
      </c>
      <c r="B68" s="33" t="s">
        <v>82</v>
      </c>
      <c r="C68" s="32" t="s">
        <v>13</v>
      </c>
      <c r="D68" s="37">
        <f>D70+D69</f>
        <v>42908.860000000008</v>
      </c>
    </row>
    <row r="69" spans="1:4" ht="15.75" thickBot="1" x14ac:dyDescent="0.3">
      <c r="A69" s="38" t="s">
        <v>83</v>
      </c>
      <c r="B69" s="25" t="s">
        <v>84</v>
      </c>
      <c r="C69" s="25" t="s">
        <v>13</v>
      </c>
      <c r="D69" s="39">
        <f>-(31426.34+619.23+2297.58+197.55+225.71+1907.35)</f>
        <v>-36673.760000000002</v>
      </c>
    </row>
    <row r="70" spans="1:4" ht="15.75" thickBot="1" x14ac:dyDescent="0.3">
      <c r="A70" s="38" t="s">
        <v>85</v>
      </c>
      <c r="B70" s="25" t="s">
        <v>86</v>
      </c>
      <c r="C70" s="25" t="s">
        <v>13</v>
      </c>
      <c r="D70" s="39">
        <f>25993.81+6678.45+31924.72+14581.2+42.88+361.56</f>
        <v>79582.62000000001</v>
      </c>
    </row>
    <row r="71" spans="1:4" ht="15.75" thickBot="1" x14ac:dyDescent="0.3">
      <c r="A71" s="38" t="s">
        <v>87</v>
      </c>
      <c r="B71" s="29" t="s">
        <v>88</v>
      </c>
      <c r="C71" s="25" t="s">
        <v>13</v>
      </c>
      <c r="D71" s="39">
        <f>D73+D72</f>
        <v>116262.39</v>
      </c>
    </row>
    <row r="72" spans="1:4" ht="15.75" thickBot="1" x14ac:dyDescent="0.3">
      <c r="A72" s="38" t="s">
        <v>89</v>
      </c>
      <c r="B72" s="25" t="s">
        <v>84</v>
      </c>
      <c r="C72" s="25" t="s">
        <v>13</v>
      </c>
      <c r="D72" s="39">
        <f>-(417.11+1359.6+3487.12+1907.45+1249.23+662.08)</f>
        <v>-9082.59</v>
      </c>
    </row>
    <row r="73" spans="1:4" ht="15.75" thickBot="1" x14ac:dyDescent="0.3">
      <c r="A73" s="38" t="s">
        <v>90</v>
      </c>
      <c r="B73" s="25" t="s">
        <v>86</v>
      </c>
      <c r="C73" s="25" t="s">
        <v>13</v>
      </c>
      <c r="D73" s="39">
        <f>71521.9+7174.5+33011.05+13171.79+50.19+415.55</f>
        <v>125344.98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91</v>
      </c>
      <c r="B75" s="2"/>
      <c r="C75" s="2"/>
      <c r="D75" s="2"/>
    </row>
    <row r="76" spans="1:4" ht="15.75" thickBot="1" x14ac:dyDescent="0.3">
      <c r="A76" s="40" t="s">
        <v>92</v>
      </c>
      <c r="B76" s="41" t="s">
        <v>93</v>
      </c>
      <c r="C76" s="42" t="s">
        <v>47</v>
      </c>
      <c r="D76" s="41" t="s">
        <v>94</v>
      </c>
    </row>
    <row r="77" spans="1:4" ht="15.75" thickBot="1" x14ac:dyDescent="0.3">
      <c r="A77" s="24"/>
      <c r="B77" s="29" t="s">
        <v>95</v>
      </c>
      <c r="C77" s="25" t="s">
        <v>47</v>
      </c>
      <c r="D77" s="29" t="s">
        <v>96</v>
      </c>
    </row>
    <row r="78" spans="1:4" ht="15.75" thickBot="1" x14ac:dyDescent="0.3">
      <c r="A78" s="24"/>
      <c r="B78" s="29" t="s">
        <v>97</v>
      </c>
      <c r="C78" s="25" t="s">
        <v>96</v>
      </c>
      <c r="D78" s="39">
        <v>271.84440000000001</v>
      </c>
    </row>
    <row r="79" spans="1:4" ht="15.75" thickBot="1" x14ac:dyDescent="0.3">
      <c r="A79" s="24"/>
      <c r="B79" s="29" t="s">
        <v>98</v>
      </c>
      <c r="C79" s="25" t="s">
        <v>13</v>
      </c>
      <c r="D79" s="39">
        <f>271439.62+4546.63</f>
        <v>275986.25</v>
      </c>
    </row>
    <row r="80" spans="1:4" ht="15.75" thickBot="1" x14ac:dyDescent="0.3">
      <c r="A80" s="24"/>
      <c r="B80" s="25" t="s">
        <v>99</v>
      </c>
      <c r="C80" s="25" t="s">
        <v>13</v>
      </c>
      <c r="D80" s="43">
        <v>199448.93</v>
      </c>
    </row>
    <row r="81" spans="1:4" ht="15.75" thickBot="1" x14ac:dyDescent="0.3">
      <c r="A81" s="24"/>
      <c r="B81" s="25" t="s">
        <v>100</v>
      </c>
      <c r="C81" s="25" t="s">
        <v>13</v>
      </c>
      <c r="D81" s="43">
        <f>D79-D80</f>
        <v>76537.320000000007</v>
      </c>
    </row>
    <row r="82" spans="1:4" ht="15.75" thickBot="1" x14ac:dyDescent="0.3">
      <c r="A82" s="24"/>
      <c r="B82" s="25" t="s">
        <v>101</v>
      </c>
      <c r="C82" s="25" t="s">
        <v>13</v>
      </c>
      <c r="D82" s="43">
        <v>275328.46999999997</v>
      </c>
    </row>
    <row r="83" spans="1:4" ht="15.75" thickBot="1" x14ac:dyDescent="0.3">
      <c r="A83" s="24"/>
      <c r="B83" s="25" t="s">
        <v>102</v>
      </c>
      <c r="C83" s="25" t="s">
        <v>13</v>
      </c>
      <c r="D83" s="43">
        <f>D80</f>
        <v>199448.93</v>
      </c>
    </row>
    <row r="84" spans="1:4" ht="15.75" thickBot="1" x14ac:dyDescent="0.3">
      <c r="A84" s="24"/>
      <c r="B84" s="25" t="s">
        <v>103</v>
      </c>
      <c r="C84" s="25" t="s">
        <v>13</v>
      </c>
      <c r="D84" s="43">
        <f>D81</f>
        <v>76537.320000000007</v>
      </c>
    </row>
    <row r="85" spans="1:4" ht="15.75" thickBot="1" x14ac:dyDescent="0.3">
      <c r="A85" s="24"/>
      <c r="B85" s="29" t="s">
        <v>104</v>
      </c>
      <c r="C85" s="25" t="s">
        <v>13</v>
      </c>
      <c r="D85" s="39">
        <v>0</v>
      </c>
    </row>
    <row r="86" spans="1:4" ht="15.75" thickBot="1" x14ac:dyDescent="0.3">
      <c r="A86" s="40" t="s">
        <v>105</v>
      </c>
      <c r="B86" s="41" t="s">
        <v>93</v>
      </c>
      <c r="C86" s="42" t="s">
        <v>47</v>
      </c>
      <c r="D86" s="41" t="s">
        <v>106</v>
      </c>
    </row>
    <row r="87" spans="1:4" ht="15.75" thickBot="1" x14ac:dyDescent="0.3">
      <c r="A87" s="24"/>
      <c r="B87" s="29" t="s">
        <v>95</v>
      </c>
      <c r="C87" s="25" t="s">
        <v>47</v>
      </c>
      <c r="D87" s="29" t="s">
        <v>107</v>
      </c>
    </row>
    <row r="88" spans="1:4" ht="15.75" thickBot="1" x14ac:dyDescent="0.3">
      <c r="A88" s="24"/>
      <c r="B88" s="29" t="s">
        <v>97</v>
      </c>
      <c r="C88" s="25" t="s">
        <v>107</v>
      </c>
      <c r="D88" s="44">
        <v>3235.3199</v>
      </c>
    </row>
    <row r="89" spans="1:4" ht="15.75" thickBot="1" x14ac:dyDescent="0.3">
      <c r="A89" s="24"/>
      <c r="B89" s="29" t="s">
        <v>98</v>
      </c>
      <c r="C89" s="25" t="s">
        <v>13</v>
      </c>
      <c r="D89" s="44">
        <f>311.82+479.43+32950.81-908.16</f>
        <v>32833.899999999994</v>
      </c>
    </row>
    <row r="90" spans="1:4" ht="15.75" thickBot="1" x14ac:dyDescent="0.3">
      <c r="A90" s="24"/>
      <c r="B90" s="25" t="s">
        <v>99</v>
      </c>
      <c r="C90" s="25" t="s">
        <v>13</v>
      </c>
      <c r="D90" s="45">
        <f>1807.46+32286.97</f>
        <v>34094.43</v>
      </c>
    </row>
    <row r="91" spans="1:4" ht="15.75" thickBot="1" x14ac:dyDescent="0.3">
      <c r="A91" s="24"/>
      <c r="B91" s="25" t="s">
        <v>100</v>
      </c>
      <c r="C91" s="25" t="s">
        <v>13</v>
      </c>
      <c r="D91" s="45">
        <v>0</v>
      </c>
    </row>
    <row r="92" spans="1:4" ht="15.75" thickBot="1" x14ac:dyDescent="0.3">
      <c r="A92" s="24"/>
      <c r="B92" s="25" t="s">
        <v>101</v>
      </c>
      <c r="C92" s="25" t="s">
        <v>13</v>
      </c>
      <c r="D92" s="45">
        <v>39520.800000000003</v>
      </c>
    </row>
    <row r="93" spans="1:4" ht="15.75" thickBot="1" x14ac:dyDescent="0.3">
      <c r="A93" s="24"/>
      <c r="B93" s="25" t="s">
        <v>102</v>
      </c>
      <c r="C93" s="25" t="s">
        <v>13</v>
      </c>
      <c r="D93" s="45">
        <f>D90</f>
        <v>34094.43</v>
      </c>
    </row>
    <row r="94" spans="1:4" ht="15.75" thickBot="1" x14ac:dyDescent="0.3">
      <c r="A94" s="24"/>
      <c r="B94" s="25" t="s">
        <v>103</v>
      </c>
      <c r="C94" s="25" t="s">
        <v>13</v>
      </c>
      <c r="D94" s="45">
        <v>0</v>
      </c>
    </row>
    <row r="95" spans="1:4" ht="15.75" thickBot="1" x14ac:dyDescent="0.3">
      <c r="A95" s="24"/>
      <c r="B95" s="29" t="s">
        <v>104</v>
      </c>
      <c r="C95" s="25" t="s">
        <v>13</v>
      </c>
      <c r="D95" s="44">
        <v>0</v>
      </c>
    </row>
    <row r="96" spans="1:4" ht="15.75" thickBot="1" x14ac:dyDescent="0.3">
      <c r="A96" s="40" t="s">
        <v>108</v>
      </c>
      <c r="B96" s="41" t="s">
        <v>93</v>
      </c>
      <c r="C96" s="42" t="s">
        <v>47</v>
      </c>
      <c r="D96" s="41" t="s">
        <v>109</v>
      </c>
    </row>
    <row r="97" spans="1:4" ht="15.75" thickBot="1" x14ac:dyDescent="0.3">
      <c r="A97" s="24"/>
      <c r="B97" s="29" t="s">
        <v>95</v>
      </c>
      <c r="C97" s="25" t="s">
        <v>47</v>
      </c>
      <c r="D97" s="29" t="s">
        <v>107</v>
      </c>
    </row>
    <row r="98" spans="1:4" ht="15.75" thickBot="1" x14ac:dyDescent="0.3">
      <c r="A98" s="24"/>
      <c r="B98" s="29" t="s">
        <v>97</v>
      </c>
      <c r="C98" s="25" t="s">
        <v>107</v>
      </c>
      <c r="D98" s="44">
        <v>2210.2197999999999</v>
      </c>
    </row>
    <row r="99" spans="1:4" ht="15.75" thickBot="1" x14ac:dyDescent="0.3">
      <c r="A99" s="24"/>
      <c r="B99" s="29" t="s">
        <v>98</v>
      </c>
      <c r="C99" s="25" t="s">
        <v>13</v>
      </c>
      <c r="D99" s="44">
        <f>154998.2-4068.48+2530.96+2586.75</f>
        <v>156047.43</v>
      </c>
    </row>
    <row r="100" spans="1:4" ht="15.75" thickBot="1" x14ac:dyDescent="0.3">
      <c r="A100" s="24"/>
      <c r="B100" s="25" t="s">
        <v>99</v>
      </c>
      <c r="C100" s="25" t="s">
        <v>13</v>
      </c>
      <c r="D100" s="45">
        <f>151032.93+3818.45</f>
        <v>154851.38</v>
      </c>
    </row>
    <row r="101" spans="1:4" ht="15.75" thickBot="1" x14ac:dyDescent="0.3">
      <c r="A101" s="24"/>
      <c r="B101" s="25" t="s">
        <v>100</v>
      </c>
      <c r="C101" s="25" t="s">
        <v>13</v>
      </c>
      <c r="D101" s="45">
        <f>D99-D100</f>
        <v>1196.0499999999884</v>
      </c>
    </row>
    <row r="102" spans="1:4" ht="15.75" thickBot="1" x14ac:dyDescent="0.3">
      <c r="A102" s="24"/>
      <c r="B102" s="25" t="s">
        <v>101</v>
      </c>
      <c r="C102" s="25" t="s">
        <v>13</v>
      </c>
      <c r="D102" s="45">
        <v>173563.92</v>
      </c>
    </row>
    <row r="103" spans="1:4" ht="15.75" thickBot="1" x14ac:dyDescent="0.3">
      <c r="A103" s="24"/>
      <c r="B103" s="25" t="s">
        <v>102</v>
      </c>
      <c r="C103" s="25" t="s">
        <v>13</v>
      </c>
      <c r="D103" s="45">
        <f>D100</f>
        <v>154851.38</v>
      </c>
    </row>
    <row r="104" spans="1:4" ht="15.75" thickBot="1" x14ac:dyDescent="0.3">
      <c r="A104" s="24"/>
      <c r="B104" s="25" t="s">
        <v>103</v>
      </c>
      <c r="C104" s="25" t="s">
        <v>13</v>
      </c>
      <c r="D104" s="45">
        <f>D101</f>
        <v>1196.0499999999884</v>
      </c>
    </row>
    <row r="105" spans="1:4" ht="15.75" thickBot="1" x14ac:dyDescent="0.3">
      <c r="A105" s="24"/>
      <c r="B105" s="29" t="s">
        <v>104</v>
      </c>
      <c r="C105" s="25" t="s">
        <v>13</v>
      </c>
      <c r="D105" s="44">
        <v>0</v>
      </c>
    </row>
    <row r="106" spans="1:4" ht="15.75" thickBot="1" x14ac:dyDescent="0.3">
      <c r="A106" s="40" t="s">
        <v>110</v>
      </c>
      <c r="B106" s="41" t="s">
        <v>93</v>
      </c>
      <c r="C106" s="42" t="s">
        <v>47</v>
      </c>
      <c r="D106" s="41" t="s">
        <v>111</v>
      </c>
    </row>
    <row r="107" spans="1:4" ht="15.75" thickBot="1" x14ac:dyDescent="0.3">
      <c r="A107" s="24"/>
      <c r="B107" s="29" t="s">
        <v>95</v>
      </c>
      <c r="C107" s="25" t="s">
        <v>47</v>
      </c>
      <c r="D107" s="29" t="s">
        <v>107</v>
      </c>
    </row>
    <row r="108" spans="1:4" ht="15.75" thickBot="1" x14ac:dyDescent="0.3">
      <c r="A108" s="24"/>
      <c r="B108" s="29" t="s">
        <v>97</v>
      </c>
      <c r="C108" s="25" t="s">
        <v>107</v>
      </c>
      <c r="D108" s="39">
        <v>5445.5388000000003</v>
      </c>
    </row>
    <row r="109" spans="1:4" ht="15.75" thickBot="1" x14ac:dyDescent="0.3">
      <c r="A109" s="24"/>
      <c r="B109" s="29" t="s">
        <v>98</v>
      </c>
      <c r="C109" s="25" t="s">
        <v>13</v>
      </c>
      <c r="D109" s="39">
        <f>57477.55-1382.17</f>
        <v>56095.380000000005</v>
      </c>
    </row>
    <row r="110" spans="1:4" ht="15.75" thickBot="1" x14ac:dyDescent="0.3">
      <c r="A110" s="24"/>
      <c r="B110" s="25" t="s">
        <v>99</v>
      </c>
      <c r="C110" s="25" t="s">
        <v>13</v>
      </c>
      <c r="D110" s="43">
        <v>59214.69</v>
      </c>
    </row>
    <row r="111" spans="1:4" ht="15.75" thickBot="1" x14ac:dyDescent="0.3">
      <c r="A111" s="24"/>
      <c r="B111" s="25" t="s">
        <v>100</v>
      </c>
      <c r="C111" s="25" t="s">
        <v>13</v>
      </c>
      <c r="D111" s="43">
        <v>0</v>
      </c>
    </row>
    <row r="112" spans="1:4" ht="15.75" thickBot="1" x14ac:dyDescent="0.3">
      <c r="A112" s="24"/>
      <c r="B112" s="25" t="s">
        <v>101</v>
      </c>
      <c r="C112" s="25" t="s">
        <v>13</v>
      </c>
      <c r="D112" s="43">
        <v>66636.42</v>
      </c>
    </row>
    <row r="113" spans="1:4" ht="15.75" thickBot="1" x14ac:dyDescent="0.3">
      <c r="A113" s="24"/>
      <c r="B113" s="25" t="s">
        <v>102</v>
      </c>
      <c r="C113" s="25" t="s">
        <v>13</v>
      </c>
      <c r="D113" s="43">
        <f>D110</f>
        <v>59214.69</v>
      </c>
    </row>
    <row r="114" spans="1:4" ht="15.75" thickBot="1" x14ac:dyDescent="0.3">
      <c r="A114" s="24"/>
      <c r="B114" s="25" t="s">
        <v>103</v>
      </c>
      <c r="C114" s="25" t="s">
        <v>13</v>
      </c>
      <c r="D114" s="43">
        <v>0</v>
      </c>
    </row>
    <row r="115" spans="1:4" ht="15.75" thickBot="1" x14ac:dyDescent="0.3">
      <c r="A115" s="24"/>
      <c r="B115" s="29" t="s">
        <v>104</v>
      </c>
      <c r="C115" s="25" t="s">
        <v>13</v>
      </c>
      <c r="D115" s="39">
        <v>0</v>
      </c>
    </row>
    <row r="116" spans="1:4" x14ac:dyDescent="0.25">
      <c r="A116" s="46"/>
      <c r="B116" s="47"/>
      <c r="C116" s="48"/>
      <c r="D116" s="49"/>
    </row>
    <row r="117" spans="1:4" ht="15.75" thickBot="1" x14ac:dyDescent="0.3">
      <c r="A117" s="8" t="s">
        <v>112</v>
      </c>
      <c r="B117" s="2"/>
      <c r="C117" s="2"/>
      <c r="D117" s="2"/>
    </row>
    <row r="118" spans="1:4" ht="15.75" thickBot="1" x14ac:dyDescent="0.3">
      <c r="A118" s="22" t="s">
        <v>113</v>
      </c>
      <c r="B118" s="33" t="s">
        <v>73</v>
      </c>
      <c r="C118" s="32" t="s">
        <v>114</v>
      </c>
      <c r="D118" s="33">
        <v>0</v>
      </c>
    </row>
    <row r="119" spans="1:4" ht="15.75" thickBot="1" x14ac:dyDescent="0.3">
      <c r="A119" s="24" t="s">
        <v>115</v>
      </c>
      <c r="B119" s="29" t="s">
        <v>75</v>
      </c>
      <c r="C119" s="25" t="s">
        <v>114</v>
      </c>
      <c r="D119" s="29">
        <v>0</v>
      </c>
    </row>
    <row r="120" spans="1:4" ht="15.75" thickBot="1" x14ac:dyDescent="0.3">
      <c r="A120" s="24" t="s">
        <v>116</v>
      </c>
      <c r="B120" s="29" t="s">
        <v>77</v>
      </c>
      <c r="C120" s="25" t="s">
        <v>114</v>
      </c>
      <c r="D120" s="29">
        <v>0</v>
      </c>
    </row>
    <row r="121" spans="1:4" ht="15.75" thickBot="1" x14ac:dyDescent="0.3">
      <c r="A121" s="24" t="s">
        <v>117</v>
      </c>
      <c r="B121" s="29" t="s">
        <v>79</v>
      </c>
      <c r="C121" s="25" t="s">
        <v>13</v>
      </c>
      <c r="D121" s="39">
        <v>0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118</v>
      </c>
      <c r="B123" s="2"/>
      <c r="C123" s="2"/>
      <c r="D123" s="2"/>
    </row>
    <row r="124" spans="1:4" ht="15.75" thickBot="1" x14ac:dyDescent="0.3">
      <c r="A124" s="34">
        <v>48</v>
      </c>
      <c r="B124" s="33" t="s">
        <v>119</v>
      </c>
      <c r="C124" s="32" t="s">
        <v>114</v>
      </c>
      <c r="D124" s="33">
        <v>1</v>
      </c>
    </row>
    <row r="125" spans="1:4" ht="15.75" thickBot="1" x14ac:dyDescent="0.3">
      <c r="A125" s="50">
        <v>49</v>
      </c>
      <c r="B125" s="29" t="s">
        <v>120</v>
      </c>
      <c r="C125" s="25" t="s">
        <v>114</v>
      </c>
      <c r="D125" s="29">
        <v>1</v>
      </c>
    </row>
    <row r="126" spans="1:4" ht="15.75" thickBot="1" x14ac:dyDescent="0.3">
      <c r="A126" s="51">
        <v>50</v>
      </c>
      <c r="B126" s="52" t="s">
        <v>121</v>
      </c>
      <c r="C126" s="53" t="s">
        <v>13</v>
      </c>
      <c r="D126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opLeftCell="A118" workbookViewId="0">
      <selection activeCell="D76" sqref="D76"/>
    </sheetView>
  </sheetViews>
  <sheetFormatPr defaultRowHeight="15" x14ac:dyDescent="0.25"/>
  <cols>
    <col min="2" max="2" width="79.140625" customWidth="1"/>
    <col min="3" max="3" width="14.5703125" customWidth="1"/>
    <col min="4" max="4" width="56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166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167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4025.42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4025.42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976497.76</v>
      </c>
    </row>
    <row r="17" spans="1:5" x14ac:dyDescent="0.25">
      <c r="A17" s="15" t="s">
        <v>20</v>
      </c>
      <c r="B17" s="16" t="s">
        <v>21</v>
      </c>
      <c r="C17" s="16" t="s">
        <v>13</v>
      </c>
      <c r="D17" s="17">
        <v>830218.56</v>
      </c>
    </row>
    <row r="18" spans="1:5" x14ac:dyDescent="0.25">
      <c r="A18" s="15" t="s">
        <v>22</v>
      </c>
      <c r="B18" s="15" t="s">
        <v>23</v>
      </c>
      <c r="C18" s="16" t="s">
        <v>13</v>
      </c>
      <c r="D18" s="17">
        <v>136079.20000000001</v>
      </c>
    </row>
    <row r="19" spans="1:5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5" x14ac:dyDescent="0.25">
      <c r="A20" s="15" t="s">
        <v>26</v>
      </c>
      <c r="B20" s="18" t="s">
        <v>27</v>
      </c>
      <c r="C20" s="16" t="s">
        <v>13</v>
      </c>
      <c r="D20" s="17">
        <v>987380.94</v>
      </c>
    </row>
    <row r="21" spans="1:5" x14ac:dyDescent="0.25">
      <c r="A21" s="15" t="s">
        <v>28</v>
      </c>
      <c r="B21" s="16" t="s">
        <v>29</v>
      </c>
      <c r="C21" s="16" t="s">
        <v>13</v>
      </c>
      <c r="D21" s="17">
        <f>814498.96+163731.98</f>
        <v>978230.94</v>
      </c>
    </row>
    <row r="22" spans="1:5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5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5" x14ac:dyDescent="0.25">
      <c r="A24" s="15" t="s">
        <v>34</v>
      </c>
      <c r="B24" s="16" t="s">
        <v>35</v>
      </c>
      <c r="C24" s="16" t="s">
        <v>13</v>
      </c>
      <c r="D24" s="17">
        <v>9150</v>
      </c>
    </row>
    <row r="25" spans="1:5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5" x14ac:dyDescent="0.25">
      <c r="A26" s="15" t="s">
        <v>38</v>
      </c>
      <c r="B26" s="18" t="s">
        <v>39</v>
      </c>
      <c r="C26" s="16" t="s">
        <v>13</v>
      </c>
      <c r="D26" s="17">
        <f>D20+D14</f>
        <v>991406.36</v>
      </c>
    </row>
    <row r="27" spans="1:5" x14ac:dyDescent="0.25">
      <c r="A27" s="15" t="s">
        <v>40</v>
      </c>
      <c r="B27" s="18" t="s">
        <v>41</v>
      </c>
      <c r="C27" s="16" t="s">
        <v>13</v>
      </c>
      <c r="D27" s="17">
        <v>73277.06</v>
      </c>
    </row>
    <row r="28" spans="1:5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5" ht="15.75" thickBot="1" x14ac:dyDescent="0.3">
      <c r="A29" s="19" t="s">
        <v>43</v>
      </c>
      <c r="B29" s="20" t="s">
        <v>17</v>
      </c>
      <c r="C29" s="20" t="s">
        <v>13</v>
      </c>
      <c r="D29" s="21">
        <v>73277.06</v>
      </c>
    </row>
    <row r="30" spans="1:5" x14ac:dyDescent="0.25">
      <c r="A30" s="2"/>
      <c r="B30" s="2"/>
      <c r="C30" s="2"/>
      <c r="D30" s="2"/>
    </row>
    <row r="31" spans="1:5" ht="15.75" thickBot="1" x14ac:dyDescent="0.3">
      <c r="A31" s="8" t="s">
        <v>44</v>
      </c>
      <c r="B31" s="2"/>
      <c r="C31" s="2"/>
      <c r="D31" s="2"/>
    </row>
    <row r="32" spans="1:5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  <c r="E32" s="57"/>
    </row>
    <row r="33" spans="1:5" ht="15.75" thickBot="1" x14ac:dyDescent="0.3">
      <c r="A33" s="24"/>
      <c r="B33" s="25" t="s">
        <v>49</v>
      </c>
      <c r="C33" s="25" t="s">
        <v>47</v>
      </c>
      <c r="D33" s="29" t="s">
        <v>50</v>
      </c>
      <c r="E33" s="57"/>
    </row>
    <row r="34" spans="1:5" ht="15.75" thickBot="1" x14ac:dyDescent="0.3">
      <c r="A34" s="24"/>
      <c r="B34" s="25" t="s">
        <v>51</v>
      </c>
      <c r="C34" s="25" t="s">
        <v>47</v>
      </c>
      <c r="D34" s="29" t="s">
        <v>52</v>
      </c>
      <c r="E34" s="57"/>
    </row>
    <row r="35" spans="1:5" ht="15.75" thickBot="1" x14ac:dyDescent="0.3">
      <c r="A35" s="24"/>
      <c r="B35" s="25" t="s">
        <v>53</v>
      </c>
      <c r="C35" s="25" t="s">
        <v>47</v>
      </c>
      <c r="D35" s="26" t="s">
        <v>54</v>
      </c>
      <c r="E35" s="57"/>
    </row>
    <row r="36" spans="1:5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  <c r="E36" s="57"/>
    </row>
    <row r="37" spans="1:5" ht="15.75" thickBot="1" x14ac:dyDescent="0.3">
      <c r="A37" s="24"/>
      <c r="B37" s="25" t="s">
        <v>49</v>
      </c>
      <c r="C37" s="25" t="s">
        <v>47</v>
      </c>
      <c r="D37" s="29" t="s">
        <v>124</v>
      </c>
      <c r="E37" s="57"/>
    </row>
    <row r="38" spans="1:5" ht="15.75" thickBot="1" x14ac:dyDescent="0.3">
      <c r="A38" s="24"/>
      <c r="B38" s="25" t="s">
        <v>51</v>
      </c>
      <c r="C38" s="25" t="s">
        <v>47</v>
      </c>
      <c r="D38" s="29" t="s">
        <v>57</v>
      </c>
      <c r="E38" s="57"/>
    </row>
    <row r="39" spans="1:5" ht="15.75" thickBot="1" x14ac:dyDescent="0.3">
      <c r="A39" s="24"/>
      <c r="B39" s="25" t="s">
        <v>53</v>
      </c>
      <c r="C39" s="25" t="s">
        <v>47</v>
      </c>
      <c r="D39" s="30">
        <v>3808160770</v>
      </c>
      <c r="E39" s="57"/>
    </row>
    <row r="40" spans="1:5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  <c r="E40" s="57"/>
    </row>
    <row r="41" spans="1:5" ht="15.75" thickBot="1" x14ac:dyDescent="0.3">
      <c r="A41" s="24"/>
      <c r="B41" s="25" t="s">
        <v>49</v>
      </c>
      <c r="C41" s="25" t="s">
        <v>47</v>
      </c>
      <c r="D41" s="29" t="s">
        <v>59</v>
      </c>
      <c r="E41" s="57"/>
    </row>
    <row r="42" spans="1:5" ht="15.75" thickBot="1" x14ac:dyDescent="0.3">
      <c r="A42" s="24"/>
      <c r="B42" s="25" t="s">
        <v>51</v>
      </c>
      <c r="C42" s="25" t="s">
        <v>47</v>
      </c>
      <c r="D42" s="29" t="s">
        <v>52</v>
      </c>
      <c r="E42" s="57"/>
    </row>
    <row r="43" spans="1:5" ht="15.75" thickBot="1" x14ac:dyDescent="0.3">
      <c r="A43" s="24"/>
      <c r="B43" s="25" t="s">
        <v>53</v>
      </c>
      <c r="C43" s="25" t="s">
        <v>47</v>
      </c>
      <c r="D43" s="30">
        <v>3807000117</v>
      </c>
      <c r="E43" s="57"/>
    </row>
    <row r="44" spans="1:5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  <c r="E44" s="57"/>
    </row>
    <row r="45" spans="1:5" ht="15.75" thickBot="1" x14ac:dyDescent="0.3">
      <c r="A45" s="24"/>
      <c r="B45" s="25" t="s">
        <v>49</v>
      </c>
      <c r="C45" s="25" t="s">
        <v>47</v>
      </c>
      <c r="D45" s="29" t="s">
        <v>70</v>
      </c>
      <c r="E45" s="57"/>
    </row>
    <row r="46" spans="1:5" ht="15.75" thickBot="1" x14ac:dyDescent="0.3">
      <c r="A46" s="24"/>
      <c r="B46" s="25" t="s">
        <v>51</v>
      </c>
      <c r="C46" s="25" t="s">
        <v>47</v>
      </c>
      <c r="D46" s="29" t="s">
        <v>57</v>
      </c>
      <c r="E46" s="57"/>
    </row>
    <row r="47" spans="1:5" ht="15.75" thickBot="1" x14ac:dyDescent="0.3">
      <c r="A47" s="24"/>
      <c r="B47" s="25" t="s">
        <v>53</v>
      </c>
      <c r="C47" s="25" t="s">
        <v>47</v>
      </c>
      <c r="D47" s="30">
        <v>3811171757</v>
      </c>
      <c r="E47" s="57"/>
    </row>
    <row r="48" spans="1:5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  <c r="E48" s="57"/>
    </row>
    <row r="49" spans="1:5" ht="15.75" thickBot="1" x14ac:dyDescent="0.3">
      <c r="A49" s="24"/>
      <c r="B49" s="25" t="s">
        <v>49</v>
      </c>
      <c r="C49" s="25" t="s">
        <v>47</v>
      </c>
      <c r="D49" s="29" t="s">
        <v>134</v>
      </c>
      <c r="E49" s="57"/>
    </row>
    <row r="50" spans="1:5" ht="15.75" thickBot="1" x14ac:dyDescent="0.3">
      <c r="A50" s="24"/>
      <c r="B50" s="25" t="s">
        <v>51</v>
      </c>
      <c r="C50" s="25" t="s">
        <v>47</v>
      </c>
      <c r="D50" s="55" t="s">
        <v>57</v>
      </c>
      <c r="E50" s="57"/>
    </row>
    <row r="51" spans="1:5" ht="15.75" thickBot="1" x14ac:dyDescent="0.3">
      <c r="A51" s="24"/>
      <c r="B51" s="25" t="s">
        <v>53</v>
      </c>
      <c r="C51" s="25" t="s">
        <v>47</v>
      </c>
      <c r="D51" s="31" t="s">
        <v>68</v>
      </c>
      <c r="E51" s="57"/>
    </row>
    <row r="52" spans="1:5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  <c r="E52" s="57"/>
    </row>
    <row r="53" spans="1:5" ht="15.75" thickBot="1" x14ac:dyDescent="0.3">
      <c r="A53" s="24"/>
      <c r="B53" s="25" t="s">
        <v>49</v>
      </c>
      <c r="C53" s="25" t="s">
        <v>47</v>
      </c>
      <c r="D53" s="29" t="s">
        <v>134</v>
      </c>
      <c r="E53" s="57"/>
    </row>
    <row r="54" spans="1:5" ht="15.75" thickBot="1" x14ac:dyDescent="0.3">
      <c r="A54" s="24"/>
      <c r="B54" s="25" t="s">
        <v>51</v>
      </c>
      <c r="C54" s="25" t="s">
        <v>47</v>
      </c>
      <c r="D54" s="29" t="s">
        <v>57</v>
      </c>
      <c r="E54" s="57"/>
    </row>
    <row r="55" spans="1:5" ht="15.75" thickBot="1" x14ac:dyDescent="0.3">
      <c r="A55" s="24"/>
      <c r="B55" s="25" t="s">
        <v>53</v>
      </c>
      <c r="C55" s="25" t="s">
        <v>47</v>
      </c>
      <c r="D55" s="31" t="s">
        <v>68</v>
      </c>
      <c r="E55" s="57"/>
    </row>
    <row r="56" spans="1:5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  <c r="E56" s="57"/>
    </row>
    <row r="57" spans="1:5" ht="15.75" thickBot="1" x14ac:dyDescent="0.3">
      <c r="A57" s="24"/>
      <c r="B57" s="25" t="s">
        <v>49</v>
      </c>
      <c r="C57" s="25" t="s">
        <v>47</v>
      </c>
      <c r="D57" s="29" t="s">
        <v>133</v>
      </c>
      <c r="E57" s="57"/>
    </row>
    <row r="58" spans="1:5" ht="15.75" thickBot="1" x14ac:dyDescent="0.3">
      <c r="A58" s="24"/>
      <c r="B58" s="25" t="s">
        <v>51</v>
      </c>
      <c r="C58" s="25" t="s">
        <v>47</v>
      </c>
      <c r="D58" s="29" t="s">
        <v>57</v>
      </c>
      <c r="E58" s="57"/>
    </row>
    <row r="59" spans="1:5" ht="15.75" thickBot="1" x14ac:dyDescent="0.3">
      <c r="A59" s="24"/>
      <c r="B59" s="25" t="s">
        <v>53</v>
      </c>
      <c r="C59" s="25" t="s">
        <v>47</v>
      </c>
      <c r="D59" s="30">
        <v>3808170471</v>
      </c>
      <c r="E59" s="57"/>
    </row>
    <row r="60" spans="1:5" ht="15.75" thickBot="1" x14ac:dyDescent="0.3">
      <c r="A60" s="24" t="s">
        <v>64</v>
      </c>
      <c r="B60" s="27" t="s">
        <v>46</v>
      </c>
      <c r="C60" s="27" t="s">
        <v>47</v>
      </c>
      <c r="D60" s="28" t="s">
        <v>168</v>
      </c>
      <c r="E60" s="57"/>
    </row>
    <row r="61" spans="1:5" ht="15.75" thickBot="1" x14ac:dyDescent="0.3">
      <c r="A61" s="24"/>
      <c r="B61" s="25" t="s">
        <v>49</v>
      </c>
      <c r="C61" s="25" t="s">
        <v>47</v>
      </c>
      <c r="D61" s="29" t="s">
        <v>151</v>
      </c>
      <c r="E61" s="57"/>
    </row>
    <row r="62" spans="1:5" ht="15.75" thickBot="1" x14ac:dyDescent="0.3">
      <c r="A62" s="24"/>
      <c r="B62" s="25" t="s">
        <v>51</v>
      </c>
      <c r="C62" s="25" t="s">
        <v>47</v>
      </c>
      <c r="D62" s="29" t="s">
        <v>65</v>
      </c>
      <c r="E62" s="57"/>
    </row>
    <row r="63" spans="1:5" ht="15.75" thickBot="1" x14ac:dyDescent="0.3">
      <c r="A63" s="24"/>
      <c r="B63" s="25" t="s">
        <v>53</v>
      </c>
      <c r="C63" s="25" t="s">
        <v>47</v>
      </c>
      <c r="D63" s="30">
        <v>3827043895</v>
      </c>
      <c r="E63" s="57"/>
    </row>
    <row r="64" spans="1:5" x14ac:dyDescent="0.25">
      <c r="A64" s="2"/>
      <c r="B64" s="2"/>
      <c r="C64" s="2"/>
      <c r="D64" s="2"/>
      <c r="E64" s="57"/>
    </row>
    <row r="65" spans="1:4" ht="15.75" thickBot="1" x14ac:dyDescent="0.3">
      <c r="A65" s="8" t="s">
        <v>71</v>
      </c>
      <c r="B65" s="2"/>
      <c r="C65" s="2"/>
      <c r="D65" s="2"/>
    </row>
    <row r="66" spans="1:4" ht="15.75" thickBot="1" x14ac:dyDescent="0.3">
      <c r="A66" s="22" t="s">
        <v>72</v>
      </c>
      <c r="B66" s="32" t="s">
        <v>73</v>
      </c>
      <c r="C66" s="32" t="s">
        <v>47</v>
      </c>
      <c r="D66" s="33">
        <v>0</v>
      </c>
    </row>
    <row r="67" spans="1:4" ht="15.75" thickBot="1" x14ac:dyDescent="0.3">
      <c r="A67" s="24" t="s">
        <v>74</v>
      </c>
      <c r="B67" s="25" t="s">
        <v>75</v>
      </c>
      <c r="C67" s="25" t="s">
        <v>47</v>
      </c>
      <c r="D67" s="29">
        <v>0</v>
      </c>
    </row>
    <row r="68" spans="1:4" ht="15.75" thickBot="1" x14ac:dyDescent="0.3">
      <c r="A68" s="24" t="s">
        <v>76</v>
      </c>
      <c r="B68" s="25" t="s">
        <v>77</v>
      </c>
      <c r="C68" s="25" t="s">
        <v>47</v>
      </c>
      <c r="D68" s="29">
        <v>0</v>
      </c>
    </row>
    <row r="69" spans="1:4" ht="15.75" thickBot="1" x14ac:dyDescent="0.3">
      <c r="A69" s="22" t="s">
        <v>78</v>
      </c>
      <c r="B69" s="34" t="s">
        <v>79</v>
      </c>
      <c r="C69" s="34" t="s">
        <v>13</v>
      </c>
      <c r="D69" s="35">
        <v>0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80</v>
      </c>
      <c r="B71" s="2"/>
      <c r="C71" s="2"/>
      <c r="D71" s="2"/>
    </row>
    <row r="72" spans="1:4" ht="15.75" thickBot="1" x14ac:dyDescent="0.3">
      <c r="A72" s="36" t="s">
        <v>81</v>
      </c>
      <c r="B72" s="33" t="s">
        <v>82</v>
      </c>
      <c r="C72" s="32" t="s">
        <v>13</v>
      </c>
      <c r="D72" s="37">
        <f>D74+D73</f>
        <v>24883.27999999997</v>
      </c>
    </row>
    <row r="73" spans="1:4" ht="15.75" thickBot="1" x14ac:dyDescent="0.3">
      <c r="A73" s="38" t="s">
        <v>83</v>
      </c>
      <c r="B73" s="25" t="s">
        <v>84</v>
      </c>
      <c r="C73" s="25" t="s">
        <v>13</v>
      </c>
      <c r="D73" s="39">
        <f>-(87641.6+3139.99+12392.5+4925+33.33+217.69)</f>
        <v>-108350.11000000002</v>
      </c>
    </row>
    <row r="74" spans="1:4" ht="15.75" thickBot="1" x14ac:dyDescent="0.3">
      <c r="A74" s="38" t="s">
        <v>85</v>
      </c>
      <c r="B74" s="25" t="s">
        <v>86</v>
      </c>
      <c r="C74" s="25" t="s">
        <v>13</v>
      </c>
      <c r="D74" s="39">
        <f>28142.71+13157.01+65148.46+25110.93+224.58+1449.7</f>
        <v>133233.38999999998</v>
      </c>
    </row>
    <row r="75" spans="1:4" ht="15.75" thickBot="1" x14ac:dyDescent="0.3">
      <c r="A75" s="38" t="s">
        <v>87</v>
      </c>
      <c r="B75" s="29" t="s">
        <v>88</v>
      </c>
      <c r="C75" s="25" t="s">
        <v>13</v>
      </c>
      <c r="D75" s="39">
        <f>D77+D76</f>
        <v>228944.61</v>
      </c>
    </row>
    <row r="76" spans="1:4" ht="15.75" thickBot="1" x14ac:dyDescent="0.3">
      <c r="A76" s="38" t="s">
        <v>89</v>
      </c>
      <c r="B76" s="25" t="s">
        <v>84</v>
      </c>
      <c r="C76" s="25" t="s">
        <v>13</v>
      </c>
      <c r="D76" s="39">
        <f>-(381.15+2988.62+8990.43+9252.15+5869.83+7837.33)</f>
        <v>-35319.51</v>
      </c>
    </row>
    <row r="77" spans="1:4" ht="15.75" thickBot="1" x14ac:dyDescent="0.3">
      <c r="A77" s="38" t="s">
        <v>90</v>
      </c>
      <c r="B77" s="25" t="s">
        <v>86</v>
      </c>
      <c r="C77" s="25" t="s">
        <v>13</v>
      </c>
      <c r="D77" s="39">
        <f>184445.35+12125.32+48050.49+19633.05+1.31+8.6</f>
        <v>264264.12</v>
      </c>
    </row>
    <row r="78" spans="1:4" x14ac:dyDescent="0.25">
      <c r="A78" s="2"/>
      <c r="B78" s="2"/>
      <c r="C78" s="2"/>
      <c r="D78" s="2"/>
    </row>
    <row r="79" spans="1:4" ht="15.75" thickBot="1" x14ac:dyDescent="0.3">
      <c r="A79" s="8" t="s">
        <v>91</v>
      </c>
      <c r="B79" s="2"/>
      <c r="C79" s="2"/>
      <c r="D79" s="2"/>
    </row>
    <row r="80" spans="1:4" ht="15.75" thickBot="1" x14ac:dyDescent="0.3">
      <c r="A80" s="40" t="s">
        <v>92</v>
      </c>
      <c r="B80" s="41" t="s">
        <v>93</v>
      </c>
      <c r="C80" s="42" t="s">
        <v>47</v>
      </c>
      <c r="D80" s="41" t="s">
        <v>94</v>
      </c>
    </row>
    <row r="81" spans="1:4" ht="15.75" thickBot="1" x14ac:dyDescent="0.3">
      <c r="A81" s="24"/>
      <c r="B81" s="29" t="s">
        <v>95</v>
      </c>
      <c r="C81" s="25" t="s">
        <v>47</v>
      </c>
      <c r="D81" s="29" t="s">
        <v>96</v>
      </c>
    </row>
    <row r="82" spans="1:4" ht="15.75" thickBot="1" x14ac:dyDescent="0.3">
      <c r="A82" s="24"/>
      <c r="B82" s="29" t="s">
        <v>97</v>
      </c>
      <c r="C82" s="25" t="s">
        <v>96</v>
      </c>
      <c r="D82" s="39">
        <v>880.36450000000002</v>
      </c>
    </row>
    <row r="83" spans="1:4" ht="15.75" thickBot="1" x14ac:dyDescent="0.3">
      <c r="A83" s="24"/>
      <c r="B83" s="29" t="s">
        <v>98</v>
      </c>
      <c r="C83" s="25" t="s">
        <v>13</v>
      </c>
      <c r="D83" s="39">
        <f>871889.58-292.82</f>
        <v>871596.76</v>
      </c>
    </row>
    <row r="84" spans="1:4" ht="15.75" thickBot="1" x14ac:dyDescent="0.3">
      <c r="A84" s="24"/>
      <c r="B84" s="25" t="s">
        <v>99</v>
      </c>
      <c r="C84" s="25" t="s">
        <v>13</v>
      </c>
      <c r="D84" s="43">
        <v>628033.67000000004</v>
      </c>
    </row>
    <row r="85" spans="1:4" ht="15.75" thickBot="1" x14ac:dyDescent="0.3">
      <c r="A85" s="24"/>
      <c r="B85" s="25" t="s">
        <v>100</v>
      </c>
      <c r="C85" s="25" t="s">
        <v>13</v>
      </c>
      <c r="D85" s="43">
        <f>D83-D84</f>
        <v>243563.08999999997</v>
      </c>
    </row>
    <row r="86" spans="1:4" ht="15.75" thickBot="1" x14ac:dyDescent="0.3">
      <c r="A86" s="24"/>
      <c r="B86" s="25" t="s">
        <v>101</v>
      </c>
      <c r="C86" s="25" t="s">
        <v>13</v>
      </c>
      <c r="D86" s="43">
        <v>871891.72</v>
      </c>
    </row>
    <row r="87" spans="1:4" ht="15.75" thickBot="1" x14ac:dyDescent="0.3">
      <c r="A87" s="24"/>
      <c r="B87" s="25" t="s">
        <v>102</v>
      </c>
      <c r="C87" s="25" t="s">
        <v>13</v>
      </c>
      <c r="D87" s="43">
        <f>D84</f>
        <v>628033.67000000004</v>
      </c>
    </row>
    <row r="88" spans="1:4" ht="15.75" thickBot="1" x14ac:dyDescent="0.3">
      <c r="A88" s="24"/>
      <c r="B88" s="25" t="s">
        <v>103</v>
      </c>
      <c r="C88" s="25" t="s">
        <v>13</v>
      </c>
      <c r="D88" s="43">
        <f>D85</f>
        <v>243563.08999999997</v>
      </c>
    </row>
    <row r="89" spans="1:4" ht="15.75" thickBot="1" x14ac:dyDescent="0.3">
      <c r="A89" s="24"/>
      <c r="B89" s="29" t="s">
        <v>104</v>
      </c>
      <c r="C89" s="25" t="s">
        <v>13</v>
      </c>
      <c r="D89" s="39">
        <v>0</v>
      </c>
    </row>
    <row r="90" spans="1:4" ht="15.75" thickBot="1" x14ac:dyDescent="0.3">
      <c r="A90" s="40" t="s">
        <v>105</v>
      </c>
      <c r="B90" s="41" t="s">
        <v>93</v>
      </c>
      <c r="C90" s="42" t="s">
        <v>47</v>
      </c>
      <c r="D90" s="41" t="s">
        <v>106</v>
      </c>
    </row>
    <row r="91" spans="1:4" ht="15.75" thickBot="1" x14ac:dyDescent="0.3">
      <c r="A91" s="24"/>
      <c r="B91" s="29" t="s">
        <v>95</v>
      </c>
      <c r="C91" s="25" t="s">
        <v>47</v>
      </c>
      <c r="D91" s="29" t="s">
        <v>107</v>
      </c>
    </row>
    <row r="92" spans="1:4" ht="15.75" thickBot="1" x14ac:dyDescent="0.3">
      <c r="A92" s="24"/>
      <c r="B92" s="29" t="s">
        <v>97</v>
      </c>
      <c r="C92" s="25" t="s">
        <v>107</v>
      </c>
      <c r="D92" s="44">
        <f>7996.0882+954.7834</f>
        <v>8950.8716000000004</v>
      </c>
    </row>
    <row r="93" spans="1:4" ht="15.75" thickBot="1" x14ac:dyDescent="0.3">
      <c r="A93" s="24"/>
      <c r="B93" s="29" t="s">
        <v>98</v>
      </c>
      <c r="C93" s="25" t="s">
        <v>13</v>
      </c>
      <c r="D93" s="44">
        <f>1385.16+91014.94-2645.82</f>
        <v>89754.28</v>
      </c>
    </row>
    <row r="94" spans="1:4" ht="15.75" thickBot="1" x14ac:dyDescent="0.3">
      <c r="A94" s="24"/>
      <c r="B94" s="25" t="s">
        <v>99</v>
      </c>
      <c r="C94" s="25" t="s">
        <v>13</v>
      </c>
      <c r="D94" s="45">
        <f>7444.93+89249.44</f>
        <v>96694.37</v>
      </c>
    </row>
    <row r="95" spans="1:4" ht="15.75" thickBot="1" x14ac:dyDescent="0.3">
      <c r="A95" s="24"/>
      <c r="B95" s="25" t="s">
        <v>100</v>
      </c>
      <c r="C95" s="25" t="s">
        <v>13</v>
      </c>
      <c r="D95" s="45">
        <v>0</v>
      </c>
    </row>
    <row r="96" spans="1:4" ht="15.75" thickBot="1" x14ac:dyDescent="0.3">
      <c r="A96" s="24"/>
      <c r="B96" s="25" t="s">
        <v>101</v>
      </c>
      <c r="C96" s="25" t="s">
        <v>13</v>
      </c>
      <c r="D96" s="45">
        <v>90655.65</v>
      </c>
    </row>
    <row r="97" spans="1:4" ht="15.75" thickBot="1" x14ac:dyDescent="0.3">
      <c r="A97" s="24"/>
      <c r="B97" s="25" t="s">
        <v>102</v>
      </c>
      <c r="C97" s="25" t="s">
        <v>13</v>
      </c>
      <c r="D97" s="45">
        <f>D94</f>
        <v>96694.37</v>
      </c>
    </row>
    <row r="98" spans="1:4" ht="15.75" thickBot="1" x14ac:dyDescent="0.3">
      <c r="A98" s="24"/>
      <c r="B98" s="25" t="s">
        <v>103</v>
      </c>
      <c r="C98" s="25" t="s">
        <v>13</v>
      </c>
      <c r="D98" s="45">
        <v>0</v>
      </c>
    </row>
    <row r="99" spans="1:4" ht="15.75" thickBot="1" x14ac:dyDescent="0.3">
      <c r="A99" s="24"/>
      <c r="B99" s="29" t="s">
        <v>104</v>
      </c>
      <c r="C99" s="25" t="s">
        <v>13</v>
      </c>
      <c r="D99" s="44">
        <v>0</v>
      </c>
    </row>
    <row r="100" spans="1:4" ht="15.75" thickBot="1" x14ac:dyDescent="0.3">
      <c r="A100" s="40" t="s">
        <v>108</v>
      </c>
      <c r="B100" s="41" t="s">
        <v>93</v>
      </c>
      <c r="C100" s="42" t="s">
        <v>47</v>
      </c>
      <c r="D100" s="41" t="s">
        <v>109</v>
      </c>
    </row>
    <row r="101" spans="1:4" ht="15.75" thickBot="1" x14ac:dyDescent="0.3">
      <c r="A101" s="24"/>
      <c r="B101" s="29" t="s">
        <v>95</v>
      </c>
      <c r="C101" s="25" t="s">
        <v>47</v>
      </c>
      <c r="D101" s="29" t="s">
        <v>107</v>
      </c>
    </row>
    <row r="102" spans="1:4" ht="15.75" thickBot="1" x14ac:dyDescent="0.3">
      <c r="A102" s="24"/>
      <c r="B102" s="29" t="s">
        <v>97</v>
      </c>
      <c r="C102" s="25" t="s">
        <v>107</v>
      </c>
      <c r="D102" s="44">
        <f>4925.2649+422.1923</f>
        <v>5347.4571999999998</v>
      </c>
    </row>
    <row r="103" spans="1:4" ht="15.75" thickBot="1" x14ac:dyDescent="0.3">
      <c r="A103" s="24"/>
      <c r="B103" s="29" t="s">
        <v>98</v>
      </c>
      <c r="C103" s="25" t="s">
        <v>13</v>
      </c>
      <c r="D103" s="44">
        <f>374188.59-7909.79+5403.48</f>
        <v>371682.28</v>
      </c>
    </row>
    <row r="104" spans="1:4" ht="15.75" thickBot="1" x14ac:dyDescent="0.3">
      <c r="A104" s="24"/>
      <c r="B104" s="25" t="s">
        <v>99</v>
      </c>
      <c r="C104" s="25" t="s">
        <v>13</v>
      </c>
      <c r="D104" s="45">
        <f>379974.7+14464.22</f>
        <v>394438.92</v>
      </c>
    </row>
    <row r="105" spans="1:4" ht="15.75" thickBot="1" x14ac:dyDescent="0.3">
      <c r="A105" s="24"/>
      <c r="B105" s="25" t="s">
        <v>100</v>
      </c>
      <c r="C105" s="25" t="s">
        <v>13</v>
      </c>
      <c r="D105" s="45">
        <v>0</v>
      </c>
    </row>
    <row r="106" spans="1:4" ht="15.75" thickBot="1" x14ac:dyDescent="0.3">
      <c r="A106" s="24"/>
      <c r="B106" s="25" t="s">
        <v>101</v>
      </c>
      <c r="C106" s="25" t="s">
        <v>13</v>
      </c>
      <c r="D106" s="45">
        <v>374190.55</v>
      </c>
    </row>
    <row r="107" spans="1:4" ht="15.75" thickBot="1" x14ac:dyDescent="0.3">
      <c r="A107" s="24"/>
      <c r="B107" s="25" t="s">
        <v>102</v>
      </c>
      <c r="C107" s="25" t="s">
        <v>13</v>
      </c>
      <c r="D107" s="45">
        <f>D104</f>
        <v>394438.92</v>
      </c>
    </row>
    <row r="108" spans="1:4" ht="15.75" thickBot="1" x14ac:dyDescent="0.3">
      <c r="A108" s="24"/>
      <c r="B108" s="25" t="s">
        <v>103</v>
      </c>
      <c r="C108" s="25" t="s">
        <v>13</v>
      </c>
      <c r="D108" s="45">
        <v>0</v>
      </c>
    </row>
    <row r="109" spans="1:4" ht="15.75" thickBot="1" x14ac:dyDescent="0.3">
      <c r="A109" s="24"/>
      <c r="B109" s="29" t="s">
        <v>104</v>
      </c>
      <c r="C109" s="25" t="s">
        <v>13</v>
      </c>
      <c r="D109" s="44">
        <v>0</v>
      </c>
    </row>
    <row r="110" spans="1:4" ht="15.75" thickBot="1" x14ac:dyDescent="0.3">
      <c r="A110" s="40" t="s">
        <v>110</v>
      </c>
      <c r="B110" s="41" t="s">
        <v>93</v>
      </c>
      <c r="C110" s="42" t="s">
        <v>47</v>
      </c>
      <c r="D110" s="41" t="s">
        <v>111</v>
      </c>
    </row>
    <row r="111" spans="1:4" ht="15.75" thickBot="1" x14ac:dyDescent="0.3">
      <c r="A111" s="24"/>
      <c r="B111" s="29" t="s">
        <v>95</v>
      </c>
      <c r="C111" s="25" t="s">
        <v>47</v>
      </c>
      <c r="D111" s="29" t="s">
        <v>107</v>
      </c>
    </row>
    <row r="112" spans="1:4" ht="15.75" thickBot="1" x14ac:dyDescent="0.3">
      <c r="A112" s="24"/>
      <c r="B112" s="29" t="s">
        <v>97</v>
      </c>
      <c r="C112" s="25" t="s">
        <v>107</v>
      </c>
      <c r="D112" s="39">
        <v>12912.8125</v>
      </c>
    </row>
    <row r="113" spans="1:4" ht="15.75" thickBot="1" x14ac:dyDescent="0.3">
      <c r="A113" s="24"/>
      <c r="B113" s="29" t="s">
        <v>98</v>
      </c>
      <c r="C113" s="25" t="s">
        <v>13</v>
      </c>
      <c r="D113" s="39">
        <f>136243.81-3960.52</f>
        <v>132283.29</v>
      </c>
    </row>
    <row r="114" spans="1:4" ht="15.75" thickBot="1" x14ac:dyDescent="0.3">
      <c r="A114" s="24"/>
      <c r="B114" s="25" t="s">
        <v>99</v>
      </c>
      <c r="C114" s="25" t="s">
        <v>13</v>
      </c>
      <c r="D114" s="43">
        <v>142088.32000000001</v>
      </c>
    </row>
    <row r="115" spans="1:4" ht="15.75" thickBot="1" x14ac:dyDescent="0.3">
      <c r="A115" s="24"/>
      <c r="B115" s="25" t="s">
        <v>100</v>
      </c>
      <c r="C115" s="25" t="s">
        <v>13</v>
      </c>
      <c r="D115" s="43">
        <v>0</v>
      </c>
    </row>
    <row r="116" spans="1:4" ht="15.75" thickBot="1" x14ac:dyDescent="0.3">
      <c r="A116" s="24"/>
      <c r="B116" s="25" t="s">
        <v>101</v>
      </c>
      <c r="C116" s="25" t="s">
        <v>13</v>
      </c>
      <c r="D116" s="43">
        <v>149170.54</v>
      </c>
    </row>
    <row r="117" spans="1:4" ht="15.75" thickBot="1" x14ac:dyDescent="0.3">
      <c r="A117" s="24"/>
      <c r="B117" s="25" t="s">
        <v>102</v>
      </c>
      <c r="C117" s="25" t="s">
        <v>13</v>
      </c>
      <c r="D117" s="43">
        <f>D114</f>
        <v>142088.32000000001</v>
      </c>
    </row>
    <row r="118" spans="1:4" ht="15.75" thickBot="1" x14ac:dyDescent="0.3">
      <c r="A118" s="24"/>
      <c r="B118" s="25" t="s">
        <v>103</v>
      </c>
      <c r="C118" s="25" t="s">
        <v>13</v>
      </c>
      <c r="D118" s="43">
        <v>0</v>
      </c>
    </row>
    <row r="119" spans="1:4" ht="15.75" thickBot="1" x14ac:dyDescent="0.3">
      <c r="A119" s="24"/>
      <c r="B119" s="29" t="s">
        <v>104</v>
      </c>
      <c r="C119" s="25" t="s">
        <v>13</v>
      </c>
      <c r="D119" s="39">
        <v>0</v>
      </c>
    </row>
    <row r="120" spans="1:4" x14ac:dyDescent="0.25">
      <c r="A120" s="46"/>
      <c r="B120" s="47"/>
      <c r="C120" s="48"/>
      <c r="D120" s="49"/>
    </row>
    <row r="121" spans="1:4" ht="15.75" thickBot="1" x14ac:dyDescent="0.3">
      <c r="A121" s="8" t="s">
        <v>112</v>
      </c>
      <c r="B121" s="2"/>
      <c r="C121" s="2"/>
      <c r="D121" s="2"/>
    </row>
    <row r="122" spans="1:4" ht="15.75" thickBot="1" x14ac:dyDescent="0.3">
      <c r="A122" s="22" t="s">
        <v>113</v>
      </c>
      <c r="B122" s="33" t="s">
        <v>73</v>
      </c>
      <c r="C122" s="32" t="s">
        <v>114</v>
      </c>
      <c r="D122" s="33">
        <v>0</v>
      </c>
    </row>
    <row r="123" spans="1:4" ht="15.75" thickBot="1" x14ac:dyDescent="0.3">
      <c r="A123" s="24" t="s">
        <v>115</v>
      </c>
      <c r="B123" s="29" t="s">
        <v>75</v>
      </c>
      <c r="C123" s="25" t="s">
        <v>114</v>
      </c>
      <c r="D123" s="29">
        <v>0</v>
      </c>
    </row>
    <row r="124" spans="1:4" ht="15.75" thickBot="1" x14ac:dyDescent="0.3">
      <c r="A124" s="24" t="s">
        <v>116</v>
      </c>
      <c r="B124" s="29" t="s">
        <v>77</v>
      </c>
      <c r="C124" s="25" t="s">
        <v>114</v>
      </c>
      <c r="D124" s="29">
        <v>0</v>
      </c>
    </row>
    <row r="125" spans="1:4" ht="15.75" thickBot="1" x14ac:dyDescent="0.3">
      <c r="A125" s="24" t="s">
        <v>117</v>
      </c>
      <c r="B125" s="29" t="s">
        <v>79</v>
      </c>
      <c r="C125" s="25" t="s">
        <v>13</v>
      </c>
      <c r="D125" s="39">
        <v>0</v>
      </c>
    </row>
    <row r="126" spans="1:4" x14ac:dyDescent="0.25">
      <c r="A126" s="2"/>
      <c r="B126" s="2"/>
      <c r="C126" s="2"/>
      <c r="D126" s="2"/>
    </row>
    <row r="127" spans="1:4" ht="15.75" thickBot="1" x14ac:dyDescent="0.3">
      <c r="A127" s="8" t="s">
        <v>118</v>
      </c>
      <c r="B127" s="2"/>
      <c r="C127" s="2"/>
      <c r="D127" s="2"/>
    </row>
    <row r="128" spans="1:4" ht="15.75" thickBot="1" x14ac:dyDescent="0.3">
      <c r="A128" s="34">
        <v>48</v>
      </c>
      <c r="B128" s="33" t="s">
        <v>119</v>
      </c>
      <c r="C128" s="32" t="s">
        <v>114</v>
      </c>
      <c r="D128" s="33">
        <v>0</v>
      </c>
    </row>
    <row r="129" spans="1:4" ht="15.75" thickBot="1" x14ac:dyDescent="0.3">
      <c r="A129" s="50">
        <v>49</v>
      </c>
      <c r="B129" s="29" t="s">
        <v>120</v>
      </c>
      <c r="C129" s="25" t="s">
        <v>114</v>
      </c>
      <c r="D129" s="29">
        <v>0</v>
      </c>
    </row>
    <row r="130" spans="1:4" ht="15.75" thickBot="1" x14ac:dyDescent="0.3">
      <c r="A130" s="51">
        <v>50</v>
      </c>
      <c r="B130" s="52" t="s">
        <v>121</v>
      </c>
      <c r="C130" s="53" t="s">
        <v>13</v>
      </c>
      <c r="D130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opLeftCell="A37" workbookViewId="0">
      <selection activeCell="D76" sqref="D76"/>
    </sheetView>
  </sheetViews>
  <sheetFormatPr defaultRowHeight="15" x14ac:dyDescent="0.25"/>
  <cols>
    <col min="2" max="2" width="73.140625" customWidth="1"/>
    <col min="3" max="3" width="12" customWidth="1"/>
    <col min="4" max="4" width="58.28515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169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170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86302.57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86302.57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810653.24</v>
      </c>
    </row>
    <row r="17" spans="1:5" x14ac:dyDescent="0.25">
      <c r="A17" s="15" t="s">
        <v>20</v>
      </c>
      <c r="B17" s="16" t="s">
        <v>21</v>
      </c>
      <c r="C17" s="16" t="s">
        <v>13</v>
      </c>
      <c r="D17" s="17">
        <f>514244.88+65815.902</f>
        <v>580060.78200000001</v>
      </c>
    </row>
    <row r="18" spans="1:5" x14ac:dyDescent="0.25">
      <c r="A18" s="15" t="s">
        <v>22</v>
      </c>
      <c r="B18" s="15" t="s">
        <v>23</v>
      </c>
      <c r="C18" s="16" t="s">
        <v>13</v>
      </c>
      <c r="D18" s="17">
        <f>196487.76+23735.25+719.448</f>
        <v>220942.45800000001</v>
      </c>
    </row>
    <row r="19" spans="1:5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5" x14ac:dyDescent="0.25">
      <c r="A20" s="15" t="s">
        <v>26</v>
      </c>
      <c r="B20" s="18" t="s">
        <v>27</v>
      </c>
      <c r="C20" s="16" t="s">
        <v>13</v>
      </c>
      <c r="D20" s="17">
        <v>746957.06</v>
      </c>
    </row>
    <row r="21" spans="1:5" x14ac:dyDescent="0.25">
      <c r="A21" s="15" t="s">
        <v>28</v>
      </c>
      <c r="B21" s="16" t="s">
        <v>29</v>
      </c>
      <c r="C21" s="16" t="s">
        <v>13</v>
      </c>
      <c r="D21" s="17">
        <f>470229.28+187749.97+22230.82+57646.99</f>
        <v>737857.05999999994</v>
      </c>
    </row>
    <row r="22" spans="1:5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5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5" x14ac:dyDescent="0.25">
      <c r="A24" s="15" t="s">
        <v>34</v>
      </c>
      <c r="B24" s="16" t="s">
        <v>35</v>
      </c>
      <c r="C24" s="16" t="s">
        <v>13</v>
      </c>
      <c r="D24" s="17">
        <v>9100</v>
      </c>
    </row>
    <row r="25" spans="1:5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5" x14ac:dyDescent="0.25">
      <c r="A26" s="15" t="s">
        <v>38</v>
      </c>
      <c r="B26" s="18" t="s">
        <v>39</v>
      </c>
      <c r="C26" s="16" t="s">
        <v>13</v>
      </c>
      <c r="D26" s="17">
        <f>D20-D15</f>
        <v>660654.49</v>
      </c>
    </row>
    <row r="27" spans="1:5" x14ac:dyDescent="0.25">
      <c r="A27" s="15" t="s">
        <v>40</v>
      </c>
      <c r="B27" s="18" t="s">
        <v>41</v>
      </c>
      <c r="C27" s="16" t="s">
        <v>13</v>
      </c>
      <c r="D27" s="17">
        <v>308458.17</v>
      </c>
    </row>
    <row r="28" spans="1:5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5" ht="15.75" thickBot="1" x14ac:dyDescent="0.3">
      <c r="A29" s="19" t="s">
        <v>43</v>
      </c>
      <c r="B29" s="20" t="s">
        <v>17</v>
      </c>
      <c r="C29" s="20" t="s">
        <v>13</v>
      </c>
      <c r="D29" s="21">
        <v>308458.17</v>
      </c>
    </row>
    <row r="30" spans="1:5" x14ac:dyDescent="0.25">
      <c r="A30" s="2"/>
      <c r="B30" s="2"/>
      <c r="C30" s="2"/>
      <c r="D30" s="2"/>
    </row>
    <row r="31" spans="1:5" ht="15.75" thickBot="1" x14ac:dyDescent="0.3">
      <c r="A31" s="8" t="s">
        <v>44</v>
      </c>
      <c r="B31" s="2"/>
      <c r="C31" s="2"/>
      <c r="D31" s="2"/>
    </row>
    <row r="32" spans="1:5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  <c r="E32" s="57"/>
    </row>
    <row r="33" spans="1:5" ht="15.75" thickBot="1" x14ac:dyDescent="0.3">
      <c r="A33" s="24"/>
      <c r="B33" s="25" t="s">
        <v>49</v>
      </c>
      <c r="C33" s="25" t="s">
        <v>47</v>
      </c>
      <c r="D33" s="29" t="s">
        <v>50</v>
      </c>
      <c r="E33" s="57"/>
    </row>
    <row r="34" spans="1:5" ht="15.75" thickBot="1" x14ac:dyDescent="0.3">
      <c r="A34" s="24"/>
      <c r="B34" s="25" t="s">
        <v>51</v>
      </c>
      <c r="C34" s="25" t="s">
        <v>47</v>
      </c>
      <c r="D34" s="29" t="s">
        <v>52</v>
      </c>
      <c r="E34" s="57"/>
    </row>
    <row r="35" spans="1:5" ht="15.75" thickBot="1" x14ac:dyDescent="0.3">
      <c r="A35" s="24"/>
      <c r="B35" s="25" t="s">
        <v>53</v>
      </c>
      <c r="C35" s="25" t="s">
        <v>47</v>
      </c>
      <c r="D35" s="26" t="s">
        <v>54</v>
      </c>
      <c r="E35" s="57"/>
    </row>
    <row r="36" spans="1:5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  <c r="E36" s="57"/>
    </row>
    <row r="37" spans="1:5" ht="15.75" thickBot="1" x14ac:dyDescent="0.3">
      <c r="A37" s="24"/>
      <c r="B37" s="25" t="s">
        <v>49</v>
      </c>
      <c r="C37" s="25" t="s">
        <v>47</v>
      </c>
      <c r="D37" s="29" t="s">
        <v>124</v>
      </c>
      <c r="E37" s="57"/>
    </row>
    <row r="38" spans="1:5" ht="15.75" thickBot="1" x14ac:dyDescent="0.3">
      <c r="A38" s="24"/>
      <c r="B38" s="25" t="s">
        <v>51</v>
      </c>
      <c r="C38" s="25" t="s">
        <v>47</v>
      </c>
      <c r="D38" s="29" t="s">
        <v>57</v>
      </c>
      <c r="E38" s="57"/>
    </row>
    <row r="39" spans="1:5" ht="15.75" thickBot="1" x14ac:dyDescent="0.3">
      <c r="A39" s="24"/>
      <c r="B39" s="25" t="s">
        <v>53</v>
      </c>
      <c r="C39" s="25" t="s">
        <v>47</v>
      </c>
      <c r="D39" s="30">
        <v>3808160770</v>
      </c>
      <c r="E39" s="57"/>
    </row>
    <row r="40" spans="1:5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  <c r="E40" s="57"/>
    </row>
    <row r="41" spans="1:5" ht="15.75" thickBot="1" x14ac:dyDescent="0.3">
      <c r="A41" s="24"/>
      <c r="B41" s="25" t="s">
        <v>49</v>
      </c>
      <c r="C41" s="25" t="s">
        <v>47</v>
      </c>
      <c r="D41" s="29" t="s">
        <v>59</v>
      </c>
      <c r="E41" s="57"/>
    </row>
    <row r="42" spans="1:5" ht="15.75" thickBot="1" x14ac:dyDescent="0.3">
      <c r="A42" s="24"/>
      <c r="B42" s="25" t="s">
        <v>51</v>
      </c>
      <c r="C42" s="25" t="s">
        <v>47</v>
      </c>
      <c r="D42" s="29" t="s">
        <v>52</v>
      </c>
      <c r="E42" s="57"/>
    </row>
    <row r="43" spans="1:5" ht="15.75" thickBot="1" x14ac:dyDescent="0.3">
      <c r="A43" s="24"/>
      <c r="B43" s="25" t="s">
        <v>53</v>
      </c>
      <c r="C43" s="25" t="s">
        <v>47</v>
      </c>
      <c r="D43" s="30">
        <v>3807000117</v>
      </c>
      <c r="E43" s="57"/>
    </row>
    <row r="44" spans="1:5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  <c r="E44" s="57"/>
    </row>
    <row r="45" spans="1:5" ht="15.75" thickBot="1" x14ac:dyDescent="0.3">
      <c r="A45" s="24"/>
      <c r="B45" s="25" t="s">
        <v>49</v>
      </c>
      <c r="C45" s="25" t="s">
        <v>47</v>
      </c>
      <c r="D45" s="29" t="s">
        <v>70</v>
      </c>
      <c r="E45" s="57"/>
    </row>
    <row r="46" spans="1:5" ht="15.75" thickBot="1" x14ac:dyDescent="0.3">
      <c r="A46" s="24"/>
      <c r="B46" s="25" t="s">
        <v>51</v>
      </c>
      <c r="C46" s="25" t="s">
        <v>47</v>
      </c>
      <c r="D46" s="29" t="s">
        <v>57</v>
      </c>
      <c r="E46" s="57"/>
    </row>
    <row r="47" spans="1:5" ht="15.75" thickBot="1" x14ac:dyDescent="0.3">
      <c r="A47" s="24"/>
      <c r="B47" s="25" t="s">
        <v>53</v>
      </c>
      <c r="C47" s="25" t="s">
        <v>47</v>
      </c>
      <c r="D47" s="30">
        <v>3811171757</v>
      </c>
      <c r="E47" s="57"/>
    </row>
    <row r="48" spans="1:5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  <c r="E48" s="57"/>
    </row>
    <row r="49" spans="1:5" ht="15.75" thickBot="1" x14ac:dyDescent="0.3">
      <c r="A49" s="24"/>
      <c r="B49" s="25" t="s">
        <v>49</v>
      </c>
      <c r="C49" s="25" t="s">
        <v>47</v>
      </c>
      <c r="D49" s="29" t="s">
        <v>134</v>
      </c>
      <c r="E49" s="57"/>
    </row>
    <row r="50" spans="1:5" ht="15.75" thickBot="1" x14ac:dyDescent="0.3">
      <c r="A50" s="24"/>
      <c r="B50" s="25" t="s">
        <v>51</v>
      </c>
      <c r="C50" s="25" t="s">
        <v>47</v>
      </c>
      <c r="D50" s="55" t="s">
        <v>57</v>
      </c>
      <c r="E50" s="57"/>
    </row>
    <row r="51" spans="1:5" ht="15.75" thickBot="1" x14ac:dyDescent="0.3">
      <c r="A51" s="24"/>
      <c r="B51" s="25" t="s">
        <v>53</v>
      </c>
      <c r="C51" s="25" t="s">
        <v>47</v>
      </c>
      <c r="D51" s="31" t="s">
        <v>68</v>
      </c>
      <c r="E51" s="57"/>
    </row>
    <row r="52" spans="1:5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  <c r="E52" s="57"/>
    </row>
    <row r="53" spans="1:5" ht="15.75" thickBot="1" x14ac:dyDescent="0.3">
      <c r="A53" s="24"/>
      <c r="B53" s="25" t="s">
        <v>49</v>
      </c>
      <c r="C53" s="25" t="s">
        <v>47</v>
      </c>
      <c r="D53" s="29" t="s">
        <v>134</v>
      </c>
      <c r="E53" s="57"/>
    </row>
    <row r="54" spans="1:5" ht="15.75" thickBot="1" x14ac:dyDescent="0.3">
      <c r="A54" s="24"/>
      <c r="B54" s="25" t="s">
        <v>51</v>
      </c>
      <c r="C54" s="25" t="s">
        <v>47</v>
      </c>
      <c r="D54" s="29" t="s">
        <v>57</v>
      </c>
      <c r="E54" s="57"/>
    </row>
    <row r="55" spans="1:5" ht="15.75" thickBot="1" x14ac:dyDescent="0.3">
      <c r="A55" s="24"/>
      <c r="B55" s="25" t="s">
        <v>53</v>
      </c>
      <c r="C55" s="25" t="s">
        <v>47</v>
      </c>
      <c r="D55" s="31" t="s">
        <v>68</v>
      </c>
      <c r="E55" s="57"/>
    </row>
    <row r="56" spans="1:5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  <c r="E56" s="57"/>
    </row>
    <row r="57" spans="1:5" ht="15.75" thickBot="1" x14ac:dyDescent="0.3">
      <c r="A57" s="24"/>
      <c r="B57" s="25" t="s">
        <v>49</v>
      </c>
      <c r="C57" s="25" t="s">
        <v>47</v>
      </c>
      <c r="D57" s="29" t="s">
        <v>133</v>
      </c>
      <c r="E57" s="57"/>
    </row>
    <row r="58" spans="1:5" ht="15.75" thickBot="1" x14ac:dyDescent="0.3">
      <c r="A58" s="24"/>
      <c r="B58" s="25" t="s">
        <v>51</v>
      </c>
      <c r="C58" s="25" t="s">
        <v>47</v>
      </c>
      <c r="D58" s="29" t="s">
        <v>57</v>
      </c>
      <c r="E58" s="57"/>
    </row>
    <row r="59" spans="1:5" ht="15.75" thickBot="1" x14ac:dyDescent="0.3">
      <c r="A59" s="24"/>
      <c r="B59" s="25" t="s">
        <v>53</v>
      </c>
      <c r="C59" s="25" t="s">
        <v>47</v>
      </c>
      <c r="D59" s="30">
        <v>3808170471</v>
      </c>
      <c r="E59" s="57"/>
    </row>
    <row r="60" spans="1:5" ht="15.75" thickBot="1" x14ac:dyDescent="0.3">
      <c r="A60" s="24" t="s">
        <v>64</v>
      </c>
      <c r="B60" s="27" t="s">
        <v>46</v>
      </c>
      <c r="C60" s="27" t="s">
        <v>47</v>
      </c>
      <c r="D60" s="28" t="s">
        <v>171</v>
      </c>
      <c r="E60" s="57"/>
    </row>
    <row r="61" spans="1:5" ht="15.75" thickBot="1" x14ac:dyDescent="0.3">
      <c r="A61" s="24"/>
      <c r="B61" s="25" t="s">
        <v>49</v>
      </c>
      <c r="C61" s="25" t="s">
        <v>47</v>
      </c>
      <c r="D61" s="29" t="s">
        <v>151</v>
      </c>
      <c r="E61" s="57"/>
    </row>
    <row r="62" spans="1:5" ht="15.75" thickBot="1" x14ac:dyDescent="0.3">
      <c r="A62" s="24"/>
      <c r="B62" s="25" t="s">
        <v>51</v>
      </c>
      <c r="C62" s="25" t="s">
        <v>47</v>
      </c>
      <c r="D62" s="29" t="s">
        <v>65</v>
      </c>
      <c r="E62" s="57"/>
    </row>
    <row r="63" spans="1:5" ht="15.75" thickBot="1" x14ac:dyDescent="0.3">
      <c r="A63" s="24"/>
      <c r="B63" s="25" t="s">
        <v>53</v>
      </c>
      <c r="C63" s="25" t="s">
        <v>47</v>
      </c>
      <c r="D63" s="30">
        <v>3827043895</v>
      </c>
      <c r="E63" s="57"/>
    </row>
    <row r="64" spans="1:5" x14ac:dyDescent="0.25">
      <c r="A64" s="2"/>
      <c r="B64" s="2"/>
      <c r="C64" s="2"/>
      <c r="D64" s="2"/>
    </row>
    <row r="65" spans="1:4" ht="15.75" thickBot="1" x14ac:dyDescent="0.3">
      <c r="A65" s="8" t="s">
        <v>71</v>
      </c>
      <c r="B65" s="2"/>
      <c r="C65" s="2"/>
      <c r="D65" s="2"/>
    </row>
    <row r="66" spans="1:4" ht="15.75" thickBot="1" x14ac:dyDescent="0.3">
      <c r="A66" s="22" t="s">
        <v>72</v>
      </c>
      <c r="B66" s="32" t="s">
        <v>73</v>
      </c>
      <c r="C66" s="32" t="s">
        <v>47</v>
      </c>
      <c r="D66" s="33">
        <v>0</v>
      </c>
    </row>
    <row r="67" spans="1:4" ht="15.75" thickBot="1" x14ac:dyDescent="0.3">
      <c r="A67" s="24" t="s">
        <v>74</v>
      </c>
      <c r="B67" s="25" t="s">
        <v>75</v>
      </c>
      <c r="C67" s="25" t="s">
        <v>47</v>
      </c>
      <c r="D67" s="29">
        <v>0</v>
      </c>
    </row>
    <row r="68" spans="1:4" ht="15.75" thickBot="1" x14ac:dyDescent="0.3">
      <c r="A68" s="24" t="s">
        <v>76</v>
      </c>
      <c r="B68" s="25" t="s">
        <v>77</v>
      </c>
      <c r="C68" s="25" t="s">
        <v>47</v>
      </c>
      <c r="D68" s="29">
        <v>0</v>
      </c>
    </row>
    <row r="69" spans="1:4" ht="15.75" thickBot="1" x14ac:dyDescent="0.3">
      <c r="A69" s="22" t="s">
        <v>78</v>
      </c>
      <c r="B69" s="34" t="s">
        <v>79</v>
      </c>
      <c r="C69" s="34" t="s">
        <v>13</v>
      </c>
      <c r="D69" s="35">
        <v>0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80</v>
      </c>
      <c r="B71" s="2"/>
      <c r="C71" s="2"/>
      <c r="D71" s="2"/>
    </row>
    <row r="72" spans="1:4" ht="15.75" thickBot="1" x14ac:dyDescent="0.3">
      <c r="A72" s="36" t="s">
        <v>81</v>
      </c>
      <c r="B72" s="33" t="s">
        <v>82</v>
      </c>
      <c r="C72" s="32" t="s">
        <v>13</v>
      </c>
      <c r="D72" s="37">
        <f>-(D74+D73)</f>
        <v>53780.830000000016</v>
      </c>
    </row>
    <row r="73" spans="1:4" ht="15.75" thickBot="1" x14ac:dyDescent="0.3">
      <c r="A73" s="38" t="s">
        <v>83</v>
      </c>
      <c r="B73" s="25" t="s">
        <v>84</v>
      </c>
      <c r="C73" s="25" t="s">
        <v>13</v>
      </c>
      <c r="D73" s="39">
        <f>-(203829.6+3865.92+11291.44+6344.8+671.54+2361.13)</f>
        <v>-228364.43000000002</v>
      </c>
    </row>
    <row r="74" spans="1:4" ht="15.75" thickBot="1" x14ac:dyDescent="0.3">
      <c r="A74" s="38" t="s">
        <v>85</v>
      </c>
      <c r="B74" s="25" t="s">
        <v>86</v>
      </c>
      <c r="C74" s="25" t="s">
        <v>13</v>
      </c>
      <c r="D74" s="39">
        <f>55382.4+19230.82+67941.64+30820.14+173.6+1035</f>
        <v>174583.6</v>
      </c>
    </row>
    <row r="75" spans="1:4" ht="15.75" thickBot="1" x14ac:dyDescent="0.3">
      <c r="A75" s="38" t="s">
        <v>87</v>
      </c>
      <c r="B75" s="29" t="s">
        <v>88</v>
      </c>
      <c r="C75" s="25" t="s">
        <v>13</v>
      </c>
      <c r="D75" s="39">
        <f>D77+D76</f>
        <v>160891.65999999997</v>
      </c>
    </row>
    <row r="76" spans="1:4" ht="15.75" thickBot="1" x14ac:dyDescent="0.3">
      <c r="A76" s="38" t="s">
        <v>89</v>
      </c>
      <c r="B76" s="25" t="s">
        <v>84</v>
      </c>
      <c r="C76" s="25" t="s">
        <v>13</v>
      </c>
      <c r="D76" s="39">
        <f>-(21144.56+3423.15+5657.87+3479.01+2993.1+4668.1)</f>
        <v>-41365.79</v>
      </c>
    </row>
    <row r="77" spans="1:4" ht="15.75" thickBot="1" x14ac:dyDescent="0.3">
      <c r="A77" s="38" t="s">
        <v>90</v>
      </c>
      <c r="B77" s="25" t="s">
        <v>86</v>
      </c>
      <c r="C77" s="25" t="s">
        <v>13</v>
      </c>
      <c r="D77" s="39">
        <f>81125.81+17066.44+73259.8+29612.21+171.66+1021.53</f>
        <v>202257.44999999998</v>
      </c>
    </row>
    <row r="78" spans="1:4" x14ac:dyDescent="0.25">
      <c r="A78" s="2"/>
      <c r="B78" s="2"/>
      <c r="C78" s="2"/>
      <c r="D78" s="2"/>
    </row>
    <row r="79" spans="1:4" ht="15.75" thickBot="1" x14ac:dyDescent="0.3">
      <c r="A79" s="8" t="s">
        <v>91</v>
      </c>
      <c r="B79" s="2"/>
      <c r="C79" s="2"/>
      <c r="D79" s="2"/>
    </row>
    <row r="80" spans="1:4" ht="15.75" thickBot="1" x14ac:dyDescent="0.3">
      <c r="A80" s="40" t="s">
        <v>92</v>
      </c>
      <c r="B80" s="41" t="s">
        <v>93</v>
      </c>
      <c r="C80" s="42" t="s">
        <v>47</v>
      </c>
      <c r="D80" s="41" t="s">
        <v>94</v>
      </c>
    </row>
    <row r="81" spans="1:4" ht="15.75" thickBot="1" x14ac:dyDescent="0.3">
      <c r="A81" s="24"/>
      <c r="B81" s="29" t="s">
        <v>95</v>
      </c>
      <c r="C81" s="25" t="s">
        <v>47</v>
      </c>
      <c r="D81" s="29" t="s">
        <v>96</v>
      </c>
    </row>
    <row r="82" spans="1:4" ht="15.75" thickBot="1" x14ac:dyDescent="0.3">
      <c r="A82" s="24"/>
      <c r="B82" s="29" t="s">
        <v>97</v>
      </c>
      <c r="C82" s="25" t="s">
        <v>96</v>
      </c>
      <c r="D82" s="39">
        <v>574.06439999999998</v>
      </c>
    </row>
    <row r="83" spans="1:4" ht="15.75" thickBot="1" x14ac:dyDescent="0.3">
      <c r="A83" s="24"/>
      <c r="B83" s="29" t="s">
        <v>98</v>
      </c>
      <c r="C83" s="25" t="s">
        <v>13</v>
      </c>
      <c r="D83" s="39">
        <f>573207.18-44168.82</f>
        <v>529038.3600000001</v>
      </c>
    </row>
    <row r="84" spans="1:4" ht="15.75" thickBot="1" x14ac:dyDescent="0.3">
      <c r="A84" s="24"/>
      <c r="B84" s="25" t="s">
        <v>99</v>
      </c>
      <c r="C84" s="25" t="s">
        <v>13</v>
      </c>
      <c r="D84" s="43">
        <v>320609.90999999997</v>
      </c>
    </row>
    <row r="85" spans="1:4" ht="15.75" thickBot="1" x14ac:dyDescent="0.3">
      <c r="A85" s="24"/>
      <c r="B85" s="25" t="s">
        <v>100</v>
      </c>
      <c r="C85" s="25" t="s">
        <v>13</v>
      </c>
      <c r="D85" s="43">
        <f>D83-D84</f>
        <v>208428.45000000013</v>
      </c>
    </row>
    <row r="86" spans="1:4" ht="15.75" thickBot="1" x14ac:dyDescent="0.3">
      <c r="A86" s="24"/>
      <c r="B86" s="25" t="s">
        <v>101</v>
      </c>
      <c r="C86" s="25" t="s">
        <v>13</v>
      </c>
      <c r="D86" s="43">
        <v>583104.51</v>
      </c>
    </row>
    <row r="87" spans="1:4" ht="15.75" thickBot="1" x14ac:dyDescent="0.3">
      <c r="A87" s="24"/>
      <c r="B87" s="25" t="s">
        <v>102</v>
      </c>
      <c r="C87" s="25" t="s">
        <v>13</v>
      </c>
      <c r="D87" s="43">
        <f>D84</f>
        <v>320609.90999999997</v>
      </c>
    </row>
    <row r="88" spans="1:4" ht="15.75" thickBot="1" x14ac:dyDescent="0.3">
      <c r="A88" s="24"/>
      <c r="B88" s="25" t="s">
        <v>103</v>
      </c>
      <c r="C88" s="25" t="s">
        <v>13</v>
      </c>
      <c r="D88" s="43">
        <f>D85</f>
        <v>208428.45000000013</v>
      </c>
    </row>
    <row r="89" spans="1:4" ht="15.75" thickBot="1" x14ac:dyDescent="0.3">
      <c r="A89" s="24"/>
      <c r="B89" s="29" t="s">
        <v>104</v>
      </c>
      <c r="C89" s="25" t="s">
        <v>13</v>
      </c>
      <c r="D89" s="39">
        <v>0</v>
      </c>
    </row>
    <row r="90" spans="1:4" ht="15.75" thickBot="1" x14ac:dyDescent="0.3">
      <c r="A90" s="40" t="s">
        <v>105</v>
      </c>
      <c r="B90" s="41" t="s">
        <v>93</v>
      </c>
      <c r="C90" s="42" t="s">
        <v>47</v>
      </c>
      <c r="D90" s="41" t="s">
        <v>106</v>
      </c>
    </row>
    <row r="91" spans="1:4" ht="15.75" thickBot="1" x14ac:dyDescent="0.3">
      <c r="A91" s="24"/>
      <c r="B91" s="29" t="s">
        <v>95</v>
      </c>
      <c r="C91" s="25" t="s">
        <v>47</v>
      </c>
      <c r="D91" s="29" t="s">
        <v>107</v>
      </c>
    </row>
    <row r="92" spans="1:4" ht="15.75" thickBot="1" x14ac:dyDescent="0.3">
      <c r="A92" s="24"/>
      <c r="B92" s="29" t="s">
        <v>97</v>
      </c>
      <c r="C92" s="25" t="s">
        <v>107</v>
      </c>
      <c r="D92" s="44">
        <v>6868.0307000000003</v>
      </c>
    </row>
    <row r="93" spans="1:4" ht="15.75" thickBot="1" x14ac:dyDescent="0.3">
      <c r="A93" s="24"/>
      <c r="B93" s="29" t="s">
        <v>98</v>
      </c>
      <c r="C93" s="25" t="s">
        <v>13</v>
      </c>
      <c r="D93" s="44">
        <f>1144.68+349.43+70079.45+8.52</f>
        <v>71582.080000000002</v>
      </c>
    </row>
    <row r="94" spans="1:4" ht="15.75" thickBot="1" x14ac:dyDescent="0.3">
      <c r="A94" s="24"/>
      <c r="B94" s="25" t="s">
        <v>99</v>
      </c>
      <c r="C94" s="25" t="s">
        <v>13</v>
      </c>
      <c r="D94" s="45">
        <f>3817.61+71809.58</f>
        <v>75627.19</v>
      </c>
    </row>
    <row r="95" spans="1:4" ht="15.75" thickBot="1" x14ac:dyDescent="0.3">
      <c r="A95" s="24"/>
      <c r="B95" s="25" t="s">
        <v>100</v>
      </c>
      <c r="C95" s="25" t="s">
        <v>13</v>
      </c>
      <c r="D95" s="45">
        <v>0</v>
      </c>
    </row>
    <row r="96" spans="1:4" ht="15.75" thickBot="1" x14ac:dyDescent="0.3">
      <c r="A96" s="24"/>
      <c r="B96" s="25" t="s">
        <v>101</v>
      </c>
      <c r="C96" s="25" t="s">
        <v>13</v>
      </c>
      <c r="D96" s="45">
        <v>85332.33</v>
      </c>
    </row>
    <row r="97" spans="1:4" ht="15.75" thickBot="1" x14ac:dyDescent="0.3">
      <c r="A97" s="24"/>
      <c r="B97" s="25" t="s">
        <v>102</v>
      </c>
      <c r="C97" s="25" t="s">
        <v>13</v>
      </c>
      <c r="D97" s="45">
        <f>D94</f>
        <v>75627.19</v>
      </c>
    </row>
    <row r="98" spans="1:4" ht="15.75" thickBot="1" x14ac:dyDescent="0.3">
      <c r="A98" s="24"/>
      <c r="B98" s="25" t="s">
        <v>103</v>
      </c>
      <c r="C98" s="25" t="s">
        <v>13</v>
      </c>
      <c r="D98" s="45">
        <v>0</v>
      </c>
    </row>
    <row r="99" spans="1:4" ht="15.75" thickBot="1" x14ac:dyDescent="0.3">
      <c r="A99" s="24"/>
      <c r="B99" s="29" t="s">
        <v>104</v>
      </c>
      <c r="C99" s="25" t="s">
        <v>13</v>
      </c>
      <c r="D99" s="44">
        <v>0</v>
      </c>
    </row>
    <row r="100" spans="1:4" ht="15.75" thickBot="1" x14ac:dyDescent="0.3">
      <c r="A100" s="40" t="s">
        <v>108</v>
      </c>
      <c r="B100" s="41" t="s">
        <v>93</v>
      </c>
      <c r="C100" s="42" t="s">
        <v>47</v>
      </c>
      <c r="D100" s="41" t="s">
        <v>109</v>
      </c>
    </row>
    <row r="101" spans="1:4" ht="15.75" thickBot="1" x14ac:dyDescent="0.3">
      <c r="A101" s="24"/>
      <c r="B101" s="29" t="s">
        <v>95</v>
      </c>
      <c r="C101" s="25" t="s">
        <v>47</v>
      </c>
      <c r="D101" s="29" t="s">
        <v>107</v>
      </c>
    </row>
    <row r="102" spans="1:4" ht="15.75" thickBot="1" x14ac:dyDescent="0.3">
      <c r="A102" s="24"/>
      <c r="B102" s="29" t="s">
        <v>97</v>
      </c>
      <c r="C102" s="25" t="s">
        <v>107</v>
      </c>
      <c r="D102" s="44">
        <v>4914.0953</v>
      </c>
    </row>
    <row r="103" spans="1:4" ht="15.75" thickBot="1" x14ac:dyDescent="0.3">
      <c r="A103" s="24"/>
      <c r="B103" s="29" t="s">
        <v>98</v>
      </c>
      <c r="C103" s="25" t="s">
        <v>13</v>
      </c>
      <c r="D103" s="44">
        <f>345382.87-27880.01+6566.16-6067.43</f>
        <v>318001.58999999997</v>
      </c>
    </row>
    <row r="104" spans="1:4" ht="15.75" thickBot="1" x14ac:dyDescent="0.3">
      <c r="A104" s="24"/>
      <c r="B104" s="25" t="s">
        <v>99</v>
      </c>
      <c r="C104" s="25" t="s">
        <v>13</v>
      </c>
      <c r="D104" s="45">
        <f>306551.13+14954.03</f>
        <v>321505.16000000003</v>
      </c>
    </row>
    <row r="105" spans="1:4" ht="15.75" thickBot="1" x14ac:dyDescent="0.3">
      <c r="A105" s="24"/>
      <c r="B105" s="25" t="s">
        <v>100</v>
      </c>
      <c r="C105" s="25" t="s">
        <v>13</v>
      </c>
      <c r="D105" s="45">
        <v>0</v>
      </c>
    </row>
    <row r="106" spans="1:4" ht="15.75" thickBot="1" x14ac:dyDescent="0.3">
      <c r="A106" s="24"/>
      <c r="B106" s="25" t="s">
        <v>101</v>
      </c>
      <c r="C106" s="25" t="s">
        <v>13</v>
      </c>
      <c r="D106" s="45">
        <v>296840.90000000002</v>
      </c>
    </row>
    <row r="107" spans="1:4" ht="15.75" thickBot="1" x14ac:dyDescent="0.3">
      <c r="A107" s="24"/>
      <c r="B107" s="25" t="s">
        <v>102</v>
      </c>
      <c r="C107" s="25" t="s">
        <v>13</v>
      </c>
      <c r="D107" s="45">
        <f>D104</f>
        <v>321505.16000000003</v>
      </c>
    </row>
    <row r="108" spans="1:4" ht="15.75" thickBot="1" x14ac:dyDescent="0.3">
      <c r="A108" s="24"/>
      <c r="B108" s="25" t="s">
        <v>103</v>
      </c>
      <c r="C108" s="25" t="s">
        <v>13</v>
      </c>
      <c r="D108" s="45">
        <f>D105</f>
        <v>0</v>
      </c>
    </row>
    <row r="109" spans="1:4" ht="15.75" thickBot="1" x14ac:dyDescent="0.3">
      <c r="A109" s="24"/>
      <c r="B109" s="29" t="s">
        <v>104</v>
      </c>
      <c r="C109" s="25" t="s">
        <v>13</v>
      </c>
      <c r="D109" s="44">
        <v>0</v>
      </c>
    </row>
    <row r="110" spans="1:4" ht="15.75" thickBot="1" x14ac:dyDescent="0.3">
      <c r="A110" s="40" t="s">
        <v>110</v>
      </c>
      <c r="B110" s="41" t="s">
        <v>93</v>
      </c>
      <c r="C110" s="42" t="s">
        <v>47</v>
      </c>
      <c r="D110" s="41" t="s">
        <v>111</v>
      </c>
    </row>
    <row r="111" spans="1:4" ht="15.75" thickBot="1" x14ac:dyDescent="0.3">
      <c r="A111" s="24"/>
      <c r="B111" s="29" t="s">
        <v>95</v>
      </c>
      <c r="C111" s="25" t="s">
        <v>47</v>
      </c>
      <c r="D111" s="29" t="s">
        <v>107</v>
      </c>
    </row>
    <row r="112" spans="1:4" ht="15.75" thickBot="1" x14ac:dyDescent="0.3">
      <c r="A112" s="24"/>
      <c r="B112" s="29" t="s">
        <v>97</v>
      </c>
      <c r="C112" s="25" t="s">
        <v>107</v>
      </c>
      <c r="D112" s="39">
        <v>11782.119199999999</v>
      </c>
    </row>
    <row r="113" spans="1:4" ht="15.75" thickBot="1" x14ac:dyDescent="0.3">
      <c r="A113" s="24"/>
      <c r="B113" s="29" t="s">
        <v>98</v>
      </c>
      <c r="C113" s="25" t="s">
        <v>13</v>
      </c>
      <c r="D113" s="39">
        <f>124927.33-3889.11</f>
        <v>121038.22</v>
      </c>
    </row>
    <row r="114" spans="1:4" ht="15.75" thickBot="1" x14ac:dyDescent="0.3">
      <c r="A114" s="24"/>
      <c r="B114" s="25" t="s">
        <v>99</v>
      </c>
      <c r="C114" s="25" t="s">
        <v>13</v>
      </c>
      <c r="D114" s="43">
        <v>119380.36</v>
      </c>
    </row>
    <row r="115" spans="1:4" ht="15.75" thickBot="1" x14ac:dyDescent="0.3">
      <c r="A115" s="24"/>
      <c r="B115" s="25" t="s">
        <v>100</v>
      </c>
      <c r="C115" s="25" t="s">
        <v>13</v>
      </c>
      <c r="D115" s="43">
        <f>D113-D114</f>
        <v>1657.8600000000006</v>
      </c>
    </row>
    <row r="116" spans="1:4" ht="15.75" thickBot="1" x14ac:dyDescent="0.3">
      <c r="A116" s="24"/>
      <c r="B116" s="25" t="s">
        <v>101</v>
      </c>
      <c r="C116" s="25" t="s">
        <v>13</v>
      </c>
      <c r="D116" s="43">
        <v>137963.17000000001</v>
      </c>
    </row>
    <row r="117" spans="1:4" ht="15.75" thickBot="1" x14ac:dyDescent="0.3">
      <c r="A117" s="24"/>
      <c r="B117" s="25" t="s">
        <v>102</v>
      </c>
      <c r="C117" s="25" t="s">
        <v>13</v>
      </c>
      <c r="D117" s="43">
        <f>D114</f>
        <v>119380.36</v>
      </c>
    </row>
    <row r="118" spans="1:4" ht="15.75" thickBot="1" x14ac:dyDescent="0.3">
      <c r="A118" s="24"/>
      <c r="B118" s="25" t="s">
        <v>103</v>
      </c>
      <c r="C118" s="25" t="s">
        <v>13</v>
      </c>
      <c r="D118" s="43">
        <f>D115</f>
        <v>1657.8600000000006</v>
      </c>
    </row>
    <row r="119" spans="1:4" ht="15.75" thickBot="1" x14ac:dyDescent="0.3">
      <c r="A119" s="24"/>
      <c r="B119" s="29" t="s">
        <v>104</v>
      </c>
      <c r="C119" s="25" t="s">
        <v>13</v>
      </c>
      <c r="D119" s="39">
        <v>0</v>
      </c>
    </row>
    <row r="120" spans="1:4" x14ac:dyDescent="0.25">
      <c r="A120" s="46"/>
      <c r="B120" s="47"/>
      <c r="C120" s="48"/>
      <c r="D120" s="49"/>
    </row>
    <row r="121" spans="1:4" ht="15.75" thickBot="1" x14ac:dyDescent="0.3">
      <c r="A121" s="8" t="s">
        <v>112</v>
      </c>
      <c r="B121" s="2"/>
      <c r="C121" s="2"/>
      <c r="D121" s="2"/>
    </row>
    <row r="122" spans="1:4" ht="15.75" thickBot="1" x14ac:dyDescent="0.3">
      <c r="A122" s="22" t="s">
        <v>113</v>
      </c>
      <c r="B122" s="33" t="s">
        <v>73</v>
      </c>
      <c r="C122" s="32" t="s">
        <v>114</v>
      </c>
      <c r="D122" s="33">
        <v>0</v>
      </c>
    </row>
    <row r="123" spans="1:4" ht="15.75" thickBot="1" x14ac:dyDescent="0.3">
      <c r="A123" s="24" t="s">
        <v>115</v>
      </c>
      <c r="B123" s="29" t="s">
        <v>75</v>
      </c>
      <c r="C123" s="25" t="s">
        <v>114</v>
      </c>
      <c r="D123" s="29">
        <v>0</v>
      </c>
    </row>
    <row r="124" spans="1:4" ht="15.75" thickBot="1" x14ac:dyDescent="0.3">
      <c r="A124" s="24" t="s">
        <v>116</v>
      </c>
      <c r="B124" s="29" t="s">
        <v>77</v>
      </c>
      <c r="C124" s="25" t="s">
        <v>114</v>
      </c>
      <c r="D124" s="29">
        <v>0</v>
      </c>
    </row>
    <row r="125" spans="1:4" ht="15.75" thickBot="1" x14ac:dyDescent="0.3">
      <c r="A125" s="24" t="s">
        <v>117</v>
      </c>
      <c r="B125" s="29" t="s">
        <v>79</v>
      </c>
      <c r="C125" s="25" t="s">
        <v>13</v>
      </c>
      <c r="D125" s="39">
        <v>0</v>
      </c>
    </row>
    <row r="126" spans="1:4" x14ac:dyDescent="0.25">
      <c r="A126" s="2"/>
      <c r="B126" s="2"/>
      <c r="C126" s="2"/>
      <c r="D126" s="2"/>
    </row>
    <row r="127" spans="1:4" ht="15.75" thickBot="1" x14ac:dyDescent="0.3">
      <c r="A127" s="8" t="s">
        <v>118</v>
      </c>
      <c r="B127" s="2"/>
      <c r="C127" s="2"/>
      <c r="D127" s="2"/>
    </row>
    <row r="128" spans="1:4" ht="15.75" thickBot="1" x14ac:dyDescent="0.3">
      <c r="A128" s="34">
        <v>48</v>
      </c>
      <c r="B128" s="33" t="s">
        <v>119</v>
      </c>
      <c r="C128" s="32" t="s">
        <v>114</v>
      </c>
      <c r="D128" s="33">
        <v>1</v>
      </c>
    </row>
    <row r="129" spans="1:4" ht="15.75" thickBot="1" x14ac:dyDescent="0.3">
      <c r="A129" s="50">
        <v>49</v>
      </c>
      <c r="B129" s="29" t="s">
        <v>120</v>
      </c>
      <c r="C129" s="25" t="s">
        <v>114</v>
      </c>
      <c r="D129" s="29">
        <v>2</v>
      </c>
    </row>
    <row r="130" spans="1:4" ht="15.75" thickBot="1" x14ac:dyDescent="0.3">
      <c r="A130" s="51">
        <v>50</v>
      </c>
      <c r="B130" s="52" t="s">
        <v>121</v>
      </c>
      <c r="C130" s="53" t="s">
        <v>13</v>
      </c>
      <c r="D130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opLeftCell="A10" workbookViewId="0">
      <selection activeCell="D72" sqref="D72"/>
    </sheetView>
  </sheetViews>
  <sheetFormatPr defaultRowHeight="15" x14ac:dyDescent="0.25"/>
  <cols>
    <col min="2" max="2" width="75.42578125" customWidth="1"/>
    <col min="3" max="3" width="11" customWidth="1"/>
    <col min="4" max="4" width="58.42578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172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173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74853.070000000007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74853.070000000007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980036.26</v>
      </c>
    </row>
    <row r="17" spans="1:5" x14ac:dyDescent="0.25">
      <c r="A17" s="15" t="s">
        <v>20</v>
      </c>
      <c r="B17" s="16" t="s">
        <v>21</v>
      </c>
      <c r="C17" s="16" t="s">
        <v>13</v>
      </c>
      <c r="D17" s="17">
        <v>701037.4</v>
      </c>
    </row>
    <row r="18" spans="1:5" x14ac:dyDescent="0.25">
      <c r="A18" s="15" t="s">
        <v>22</v>
      </c>
      <c r="B18" s="15" t="s">
        <v>23</v>
      </c>
      <c r="C18" s="16" t="s">
        <v>13</v>
      </c>
      <c r="D18" s="17">
        <v>267898.86</v>
      </c>
    </row>
    <row r="19" spans="1:5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5" x14ac:dyDescent="0.25">
      <c r="A20" s="15" t="s">
        <v>26</v>
      </c>
      <c r="B20" s="18" t="s">
        <v>27</v>
      </c>
      <c r="C20" s="16" t="s">
        <v>13</v>
      </c>
      <c r="D20" s="17">
        <v>1025404.9</v>
      </c>
    </row>
    <row r="21" spans="1:5" x14ac:dyDescent="0.25">
      <c r="A21" s="15" t="s">
        <v>28</v>
      </c>
      <c r="B21" s="16" t="s">
        <v>29</v>
      </c>
      <c r="C21" s="16" t="s">
        <v>13</v>
      </c>
      <c r="D21" s="17">
        <f>734582.93+280022.97</f>
        <v>1014605.9</v>
      </c>
    </row>
    <row r="22" spans="1:5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5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5" x14ac:dyDescent="0.25">
      <c r="A24" s="15" t="s">
        <v>34</v>
      </c>
      <c r="B24" s="16" t="s">
        <v>35</v>
      </c>
      <c r="C24" s="16" t="s">
        <v>13</v>
      </c>
      <c r="D24" s="17">
        <v>10800</v>
      </c>
    </row>
    <row r="25" spans="1:5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5" x14ac:dyDescent="0.25">
      <c r="A26" s="15" t="s">
        <v>38</v>
      </c>
      <c r="B26" s="18" t="s">
        <v>39</v>
      </c>
      <c r="C26" s="16" t="s">
        <v>13</v>
      </c>
      <c r="D26" s="17">
        <f>D20+D14</f>
        <v>1100257.97</v>
      </c>
    </row>
    <row r="27" spans="1:5" x14ac:dyDescent="0.25">
      <c r="A27" s="15" t="s">
        <v>40</v>
      </c>
      <c r="B27" s="18" t="s">
        <v>41</v>
      </c>
      <c r="C27" s="16" t="s">
        <v>13</v>
      </c>
      <c r="D27" s="17">
        <v>9320.7099999999991</v>
      </c>
    </row>
    <row r="28" spans="1:5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5" ht="15.75" thickBot="1" x14ac:dyDescent="0.3">
      <c r="A29" s="19" t="s">
        <v>43</v>
      </c>
      <c r="B29" s="20" t="s">
        <v>17</v>
      </c>
      <c r="C29" s="20" t="s">
        <v>13</v>
      </c>
      <c r="D29" s="21">
        <v>9320.7099999999991</v>
      </c>
    </row>
    <row r="30" spans="1:5" x14ac:dyDescent="0.25">
      <c r="A30" s="2"/>
      <c r="B30" s="2"/>
      <c r="C30" s="2"/>
      <c r="D30" s="2"/>
    </row>
    <row r="31" spans="1:5" ht="15.75" thickBot="1" x14ac:dyDescent="0.3">
      <c r="A31" s="8" t="s">
        <v>44</v>
      </c>
      <c r="B31" s="2"/>
      <c r="C31" s="2"/>
      <c r="D31" s="2"/>
    </row>
    <row r="32" spans="1:5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  <c r="E32" s="57"/>
    </row>
    <row r="33" spans="1:5" ht="15.75" thickBot="1" x14ac:dyDescent="0.3">
      <c r="A33" s="24"/>
      <c r="B33" s="25" t="s">
        <v>49</v>
      </c>
      <c r="C33" s="25" t="s">
        <v>47</v>
      </c>
      <c r="D33" s="29" t="s">
        <v>50</v>
      </c>
      <c r="E33" s="57"/>
    </row>
    <row r="34" spans="1:5" ht="15.75" thickBot="1" x14ac:dyDescent="0.3">
      <c r="A34" s="24"/>
      <c r="B34" s="25" t="s">
        <v>51</v>
      </c>
      <c r="C34" s="25" t="s">
        <v>47</v>
      </c>
      <c r="D34" s="29" t="s">
        <v>52</v>
      </c>
      <c r="E34" s="57"/>
    </row>
    <row r="35" spans="1:5" ht="15.75" thickBot="1" x14ac:dyDescent="0.3">
      <c r="A35" s="24"/>
      <c r="B35" s="25" t="s">
        <v>53</v>
      </c>
      <c r="C35" s="25" t="s">
        <v>47</v>
      </c>
      <c r="D35" s="26" t="s">
        <v>54</v>
      </c>
      <c r="E35" s="57"/>
    </row>
    <row r="36" spans="1:5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  <c r="E36" s="57"/>
    </row>
    <row r="37" spans="1:5" ht="15.75" thickBot="1" x14ac:dyDescent="0.3">
      <c r="A37" s="24"/>
      <c r="B37" s="25" t="s">
        <v>49</v>
      </c>
      <c r="C37" s="25" t="s">
        <v>47</v>
      </c>
      <c r="D37" s="29" t="s">
        <v>124</v>
      </c>
      <c r="E37" s="57"/>
    </row>
    <row r="38" spans="1:5" ht="15.75" thickBot="1" x14ac:dyDescent="0.3">
      <c r="A38" s="24"/>
      <c r="B38" s="25" t="s">
        <v>51</v>
      </c>
      <c r="C38" s="25" t="s">
        <v>47</v>
      </c>
      <c r="D38" s="29" t="s">
        <v>57</v>
      </c>
      <c r="E38" s="57"/>
    </row>
    <row r="39" spans="1:5" ht="15.75" thickBot="1" x14ac:dyDescent="0.3">
      <c r="A39" s="24"/>
      <c r="B39" s="25" t="s">
        <v>53</v>
      </c>
      <c r="C39" s="25" t="s">
        <v>47</v>
      </c>
      <c r="D39" s="30">
        <v>3808160770</v>
      </c>
      <c r="E39" s="57"/>
    </row>
    <row r="40" spans="1:5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  <c r="E40" s="57"/>
    </row>
    <row r="41" spans="1:5" ht="15.75" thickBot="1" x14ac:dyDescent="0.3">
      <c r="A41" s="24"/>
      <c r="B41" s="25" t="s">
        <v>49</v>
      </c>
      <c r="C41" s="25" t="s">
        <v>47</v>
      </c>
      <c r="D41" s="29" t="s">
        <v>59</v>
      </c>
      <c r="E41" s="57"/>
    </row>
    <row r="42" spans="1:5" ht="15.75" thickBot="1" x14ac:dyDescent="0.3">
      <c r="A42" s="24"/>
      <c r="B42" s="25" t="s">
        <v>51</v>
      </c>
      <c r="C42" s="25" t="s">
        <v>47</v>
      </c>
      <c r="D42" s="29" t="s">
        <v>52</v>
      </c>
      <c r="E42" s="57"/>
    </row>
    <row r="43" spans="1:5" ht="15.75" thickBot="1" x14ac:dyDescent="0.3">
      <c r="A43" s="24"/>
      <c r="B43" s="25" t="s">
        <v>53</v>
      </c>
      <c r="C43" s="25" t="s">
        <v>47</v>
      </c>
      <c r="D43" s="30">
        <v>3807000117</v>
      </c>
      <c r="E43" s="57"/>
    </row>
    <row r="44" spans="1:5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  <c r="E44" s="57"/>
    </row>
    <row r="45" spans="1:5" ht="15.75" thickBot="1" x14ac:dyDescent="0.3">
      <c r="A45" s="24"/>
      <c r="B45" s="25" t="s">
        <v>49</v>
      </c>
      <c r="C45" s="25" t="s">
        <v>47</v>
      </c>
      <c r="D45" s="29" t="s">
        <v>70</v>
      </c>
      <c r="E45" s="57"/>
    </row>
    <row r="46" spans="1:5" ht="15.75" thickBot="1" x14ac:dyDescent="0.3">
      <c r="A46" s="24"/>
      <c r="B46" s="25" t="s">
        <v>51</v>
      </c>
      <c r="C46" s="25" t="s">
        <v>47</v>
      </c>
      <c r="D46" s="29" t="s">
        <v>57</v>
      </c>
      <c r="E46" s="57"/>
    </row>
    <row r="47" spans="1:5" ht="15.75" thickBot="1" x14ac:dyDescent="0.3">
      <c r="A47" s="24"/>
      <c r="B47" s="25" t="s">
        <v>53</v>
      </c>
      <c r="C47" s="25" t="s">
        <v>47</v>
      </c>
      <c r="D47" s="30">
        <v>3811171757</v>
      </c>
      <c r="E47" s="57"/>
    </row>
    <row r="48" spans="1:5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  <c r="E48" s="57"/>
    </row>
    <row r="49" spans="1:5" ht="15.75" thickBot="1" x14ac:dyDescent="0.3">
      <c r="A49" s="24"/>
      <c r="B49" s="25" t="s">
        <v>49</v>
      </c>
      <c r="C49" s="25" t="s">
        <v>47</v>
      </c>
      <c r="D49" s="29" t="s">
        <v>134</v>
      </c>
      <c r="E49" s="57"/>
    </row>
    <row r="50" spans="1:5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5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5" ht="15.75" thickBot="1" x14ac:dyDescent="0.3">
      <c r="A52" s="24" t="s">
        <v>62</v>
      </c>
      <c r="B52" s="27" t="s">
        <v>46</v>
      </c>
      <c r="C52" s="27" t="s">
        <v>47</v>
      </c>
      <c r="D52" s="28" t="s">
        <v>174</v>
      </c>
    </row>
    <row r="53" spans="1:5" ht="15.75" thickBot="1" x14ac:dyDescent="0.3">
      <c r="A53" s="24"/>
      <c r="B53" s="25" t="s">
        <v>49</v>
      </c>
      <c r="C53" s="25" t="s">
        <v>47</v>
      </c>
      <c r="D53" s="29" t="s">
        <v>151</v>
      </c>
    </row>
    <row r="54" spans="1:5" ht="15.75" thickBot="1" x14ac:dyDescent="0.3">
      <c r="A54" s="24"/>
      <c r="B54" s="25" t="s">
        <v>51</v>
      </c>
      <c r="C54" s="25" t="s">
        <v>47</v>
      </c>
      <c r="D54" s="29" t="s">
        <v>65</v>
      </c>
    </row>
    <row r="55" spans="1:5" ht="15.75" thickBot="1" x14ac:dyDescent="0.3">
      <c r="A55" s="24"/>
      <c r="B55" s="25" t="s">
        <v>53</v>
      </c>
      <c r="C55" s="25" t="s">
        <v>47</v>
      </c>
      <c r="D55" s="30">
        <v>3827043895</v>
      </c>
    </row>
    <row r="56" spans="1:5" ht="15.75" thickBot="1" x14ac:dyDescent="0.3">
      <c r="A56" s="24" t="s">
        <v>63</v>
      </c>
      <c r="B56" s="27" t="s">
        <v>46</v>
      </c>
      <c r="C56" s="27" t="s">
        <v>47</v>
      </c>
      <c r="D56" s="28" t="s">
        <v>175</v>
      </c>
    </row>
    <row r="57" spans="1:5" ht="15.75" thickBot="1" x14ac:dyDescent="0.3">
      <c r="A57" s="24"/>
      <c r="B57" s="25" t="s">
        <v>49</v>
      </c>
      <c r="C57" s="25" t="s">
        <v>47</v>
      </c>
      <c r="D57" s="29" t="s">
        <v>151</v>
      </c>
    </row>
    <row r="58" spans="1:5" ht="15.75" thickBot="1" x14ac:dyDescent="0.3">
      <c r="A58" s="24"/>
      <c r="B58" s="25" t="s">
        <v>51</v>
      </c>
      <c r="C58" s="25" t="s">
        <v>47</v>
      </c>
      <c r="D58" s="29" t="s">
        <v>65</v>
      </c>
    </row>
    <row r="59" spans="1:5" ht="15.75" thickBot="1" x14ac:dyDescent="0.3">
      <c r="A59" s="24"/>
      <c r="B59" s="25" t="s">
        <v>53</v>
      </c>
      <c r="C59" s="25" t="s">
        <v>47</v>
      </c>
      <c r="D59" s="30">
        <v>3827043895</v>
      </c>
    </row>
    <row r="60" spans="1:5" x14ac:dyDescent="0.25">
      <c r="A60" s="2"/>
      <c r="B60" s="2"/>
      <c r="C60" s="2"/>
      <c r="D60" s="2"/>
    </row>
    <row r="61" spans="1:5" ht="15.75" thickBot="1" x14ac:dyDescent="0.3">
      <c r="A61" s="8" t="s">
        <v>71</v>
      </c>
      <c r="B61" s="2"/>
      <c r="C61" s="2"/>
      <c r="D61" s="2"/>
    </row>
    <row r="62" spans="1:5" ht="15.75" thickBot="1" x14ac:dyDescent="0.3">
      <c r="A62" s="22" t="s">
        <v>72</v>
      </c>
      <c r="B62" s="32" t="s">
        <v>73</v>
      </c>
      <c r="C62" s="32" t="s">
        <v>47</v>
      </c>
      <c r="D62" s="33">
        <v>0</v>
      </c>
    </row>
    <row r="63" spans="1:5" ht="15.75" thickBot="1" x14ac:dyDescent="0.3">
      <c r="A63" s="24" t="s">
        <v>74</v>
      </c>
      <c r="B63" s="25" t="s">
        <v>75</v>
      </c>
      <c r="C63" s="25" t="s">
        <v>47</v>
      </c>
      <c r="D63" s="29">
        <v>0</v>
      </c>
    </row>
    <row r="64" spans="1:5" ht="15.75" thickBot="1" x14ac:dyDescent="0.3">
      <c r="A64" s="24" t="s">
        <v>76</v>
      </c>
      <c r="B64" s="25" t="s">
        <v>77</v>
      </c>
      <c r="C64" s="25" t="s">
        <v>47</v>
      </c>
      <c r="D64" s="29">
        <v>0</v>
      </c>
    </row>
    <row r="65" spans="1:4" ht="15.75" thickBot="1" x14ac:dyDescent="0.3">
      <c r="A65" s="22" t="s">
        <v>78</v>
      </c>
      <c r="B65" s="34" t="s">
        <v>79</v>
      </c>
      <c r="C65" s="34" t="s">
        <v>13</v>
      </c>
      <c r="D65" s="35">
        <v>0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80</v>
      </c>
      <c r="B67" s="2"/>
      <c r="C67" s="2"/>
      <c r="D67" s="2"/>
    </row>
    <row r="68" spans="1:4" ht="15.75" thickBot="1" x14ac:dyDescent="0.3">
      <c r="A68" s="36" t="s">
        <v>81</v>
      </c>
      <c r="B68" s="33" t="s">
        <v>82</v>
      </c>
      <c r="C68" s="32" t="s">
        <v>13</v>
      </c>
      <c r="D68" s="37">
        <f>D70+D69</f>
        <v>108655.23999999996</v>
      </c>
    </row>
    <row r="69" spans="1:4" ht="15.75" thickBot="1" x14ac:dyDescent="0.3">
      <c r="A69" s="38" t="s">
        <v>83</v>
      </c>
      <c r="B69" s="25" t="s">
        <v>84</v>
      </c>
      <c r="C69" s="25" t="s">
        <v>13</v>
      </c>
      <c r="D69" s="39">
        <f>-(132973.49+4095.76+10953.44+8553.37+3194.29+5973.7)</f>
        <v>-165744.05000000002</v>
      </c>
    </row>
    <row r="70" spans="1:4" ht="15.75" thickBot="1" x14ac:dyDescent="0.3">
      <c r="A70" s="38" t="s">
        <v>85</v>
      </c>
      <c r="B70" s="25" t="s">
        <v>86</v>
      </c>
      <c r="C70" s="25" t="s">
        <v>13</v>
      </c>
      <c r="D70" s="39">
        <f>96011.91+23883.29+111618.53+41396.28+193.92+1295.36</f>
        <v>274399.28999999998</v>
      </c>
    </row>
    <row r="71" spans="1:4" ht="15.75" thickBot="1" x14ac:dyDescent="0.3">
      <c r="A71" s="38" t="s">
        <v>87</v>
      </c>
      <c r="B71" s="29" t="s">
        <v>88</v>
      </c>
      <c r="C71" s="25" t="s">
        <v>13</v>
      </c>
      <c r="D71" s="39">
        <f>D73+D72</f>
        <v>149493.77999999997</v>
      </c>
    </row>
    <row r="72" spans="1:4" ht="15.75" thickBot="1" x14ac:dyDescent="0.3">
      <c r="A72" s="38" t="s">
        <v>89</v>
      </c>
      <c r="B72" s="25" t="s">
        <v>84</v>
      </c>
      <c r="C72" s="25" t="s">
        <v>13</v>
      </c>
      <c r="D72" s="39">
        <f>-(5081.35+8879.48+10911.71+10623.85+10631.47+11492.25)</f>
        <v>-57620.11</v>
      </c>
    </row>
    <row r="73" spans="1:4" ht="15.75" thickBot="1" x14ac:dyDescent="0.3">
      <c r="A73" s="38" t="s">
        <v>90</v>
      </c>
      <c r="B73" s="25" t="s">
        <v>86</v>
      </c>
      <c r="C73" s="25" t="s">
        <v>13</v>
      </c>
      <c r="D73" s="39">
        <f>109474.18+13336.65+58983.24+24222.97+113.64+983.21</f>
        <v>207113.88999999998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91</v>
      </c>
      <c r="B75" s="2"/>
      <c r="C75" s="2"/>
      <c r="D75" s="2"/>
    </row>
    <row r="76" spans="1:4" ht="15.75" thickBot="1" x14ac:dyDescent="0.3">
      <c r="A76" s="40" t="s">
        <v>92</v>
      </c>
      <c r="B76" s="41" t="s">
        <v>93</v>
      </c>
      <c r="C76" s="42" t="s">
        <v>47</v>
      </c>
      <c r="D76" s="41" t="s">
        <v>94</v>
      </c>
    </row>
    <row r="77" spans="1:4" ht="15.75" thickBot="1" x14ac:dyDescent="0.3">
      <c r="A77" s="24"/>
      <c r="B77" s="29" t="s">
        <v>95</v>
      </c>
      <c r="C77" s="25" t="s">
        <v>47</v>
      </c>
      <c r="D77" s="29" t="s">
        <v>96</v>
      </c>
    </row>
    <row r="78" spans="1:4" ht="15.75" thickBot="1" x14ac:dyDescent="0.3">
      <c r="A78" s="24"/>
      <c r="B78" s="29" t="s">
        <v>97</v>
      </c>
      <c r="C78" s="25" t="s">
        <v>96</v>
      </c>
      <c r="D78" s="39">
        <v>791.17639999999994</v>
      </c>
    </row>
    <row r="79" spans="1:4" ht="15.75" thickBot="1" x14ac:dyDescent="0.3">
      <c r="A79" s="24"/>
      <c r="B79" s="29" t="s">
        <v>98</v>
      </c>
      <c r="C79" s="25" t="s">
        <v>13</v>
      </c>
      <c r="D79" s="39">
        <f>789985.65-3563.19</f>
        <v>786422.46000000008</v>
      </c>
    </row>
    <row r="80" spans="1:4" ht="15.75" thickBot="1" x14ac:dyDescent="0.3">
      <c r="A80" s="24"/>
      <c r="B80" s="25" t="s">
        <v>99</v>
      </c>
      <c r="C80" s="25" t="s">
        <v>13</v>
      </c>
      <c r="D80" s="43">
        <v>645068.05000000005</v>
      </c>
    </row>
    <row r="81" spans="1:4" ht="15.75" thickBot="1" x14ac:dyDescent="0.3">
      <c r="A81" s="24"/>
      <c r="B81" s="25" t="s">
        <v>100</v>
      </c>
      <c r="C81" s="25" t="s">
        <v>13</v>
      </c>
      <c r="D81" s="43">
        <f>D79-D80</f>
        <v>141354.41000000003</v>
      </c>
    </row>
    <row r="82" spans="1:4" ht="15.75" thickBot="1" x14ac:dyDescent="0.3">
      <c r="A82" s="24"/>
      <c r="B82" s="25" t="s">
        <v>101</v>
      </c>
      <c r="C82" s="25" t="s">
        <v>13</v>
      </c>
      <c r="D82" s="43">
        <f>483382.93+366028.49</f>
        <v>849411.41999999993</v>
      </c>
    </row>
    <row r="83" spans="1:4" ht="15.75" thickBot="1" x14ac:dyDescent="0.3">
      <c r="A83" s="24"/>
      <c r="B83" s="25" t="s">
        <v>102</v>
      </c>
      <c r="C83" s="25" t="s">
        <v>13</v>
      </c>
      <c r="D83" s="43">
        <f>D80</f>
        <v>645068.05000000005</v>
      </c>
    </row>
    <row r="84" spans="1:4" ht="15.75" thickBot="1" x14ac:dyDescent="0.3">
      <c r="A84" s="24"/>
      <c r="B84" s="25" t="s">
        <v>103</v>
      </c>
      <c r="C84" s="25" t="s">
        <v>13</v>
      </c>
      <c r="D84" s="43">
        <f>D81</f>
        <v>141354.41000000003</v>
      </c>
    </row>
    <row r="85" spans="1:4" ht="15.75" thickBot="1" x14ac:dyDescent="0.3">
      <c r="A85" s="24"/>
      <c r="B85" s="29" t="s">
        <v>104</v>
      </c>
      <c r="C85" s="25" t="s">
        <v>13</v>
      </c>
      <c r="D85" s="39">
        <v>0</v>
      </c>
    </row>
    <row r="86" spans="1:4" ht="15.75" thickBot="1" x14ac:dyDescent="0.3">
      <c r="A86" s="40" t="s">
        <v>105</v>
      </c>
      <c r="B86" s="41" t="s">
        <v>93</v>
      </c>
      <c r="C86" s="42" t="s">
        <v>47</v>
      </c>
      <c r="D86" s="41" t="s">
        <v>106</v>
      </c>
    </row>
    <row r="87" spans="1:4" ht="15.75" thickBot="1" x14ac:dyDescent="0.3">
      <c r="A87" s="24"/>
      <c r="B87" s="29" t="s">
        <v>95</v>
      </c>
      <c r="C87" s="25" t="s">
        <v>47</v>
      </c>
      <c r="D87" s="29" t="s">
        <v>107</v>
      </c>
    </row>
    <row r="88" spans="1:4" ht="15.75" thickBot="1" x14ac:dyDescent="0.3">
      <c r="A88" s="24"/>
      <c r="B88" s="29" t="s">
        <v>97</v>
      </c>
      <c r="C88" s="25" t="s">
        <v>107</v>
      </c>
      <c r="D88" s="44">
        <v>9158.9755999999998</v>
      </c>
    </row>
    <row r="89" spans="1:4" ht="15.75" thickBot="1" x14ac:dyDescent="0.3">
      <c r="A89" s="24"/>
      <c r="B89" s="29" t="s">
        <v>98</v>
      </c>
      <c r="C89" s="25" t="s">
        <v>13</v>
      </c>
      <c r="D89" s="44">
        <f>1038.9+1524.43+93376.48-714.7</f>
        <v>95225.11</v>
      </c>
    </row>
    <row r="90" spans="1:4" ht="15.75" thickBot="1" x14ac:dyDescent="0.3">
      <c r="A90" s="24"/>
      <c r="B90" s="25" t="s">
        <v>99</v>
      </c>
      <c r="C90" s="25" t="s">
        <v>13</v>
      </c>
      <c r="D90" s="45">
        <f>10080.79+107992.14</f>
        <v>118072.93</v>
      </c>
    </row>
    <row r="91" spans="1:4" ht="15.75" thickBot="1" x14ac:dyDescent="0.3">
      <c r="A91" s="24"/>
      <c r="B91" s="25" t="s">
        <v>100</v>
      </c>
      <c r="C91" s="25" t="s">
        <v>13</v>
      </c>
      <c r="D91" s="45">
        <v>0</v>
      </c>
    </row>
    <row r="92" spans="1:4" ht="15.75" thickBot="1" x14ac:dyDescent="0.3">
      <c r="A92" s="24"/>
      <c r="B92" s="25" t="s">
        <v>101</v>
      </c>
      <c r="C92" s="25" t="s">
        <v>13</v>
      </c>
      <c r="D92" s="45">
        <v>142774.37</v>
      </c>
    </row>
    <row r="93" spans="1:4" ht="15.75" thickBot="1" x14ac:dyDescent="0.3">
      <c r="A93" s="24"/>
      <c r="B93" s="25" t="s">
        <v>102</v>
      </c>
      <c r="C93" s="25" t="s">
        <v>13</v>
      </c>
      <c r="D93" s="45">
        <f>D90</f>
        <v>118072.93</v>
      </c>
    </row>
    <row r="94" spans="1:4" ht="15.75" thickBot="1" x14ac:dyDescent="0.3">
      <c r="A94" s="24"/>
      <c r="B94" s="25" t="s">
        <v>103</v>
      </c>
      <c r="C94" s="25" t="s">
        <v>13</v>
      </c>
      <c r="D94" s="45">
        <v>0</v>
      </c>
    </row>
    <row r="95" spans="1:4" ht="15.75" thickBot="1" x14ac:dyDescent="0.3">
      <c r="A95" s="24"/>
      <c r="B95" s="29" t="s">
        <v>104</v>
      </c>
      <c r="C95" s="25" t="s">
        <v>13</v>
      </c>
      <c r="D95" s="44">
        <v>0</v>
      </c>
    </row>
    <row r="96" spans="1:4" ht="15.75" thickBot="1" x14ac:dyDescent="0.3">
      <c r="A96" s="40" t="s">
        <v>108</v>
      </c>
      <c r="B96" s="41" t="s">
        <v>93</v>
      </c>
      <c r="C96" s="42" t="s">
        <v>47</v>
      </c>
      <c r="D96" s="41" t="s">
        <v>109</v>
      </c>
    </row>
    <row r="97" spans="1:4" ht="15.75" thickBot="1" x14ac:dyDescent="0.3">
      <c r="A97" s="24"/>
      <c r="B97" s="29" t="s">
        <v>95</v>
      </c>
      <c r="C97" s="25" t="s">
        <v>47</v>
      </c>
      <c r="D97" s="29" t="s">
        <v>107</v>
      </c>
    </row>
    <row r="98" spans="1:4" ht="15.75" thickBot="1" x14ac:dyDescent="0.3">
      <c r="A98" s="24"/>
      <c r="B98" s="29" t="s">
        <v>97</v>
      </c>
      <c r="C98" s="25" t="s">
        <v>107</v>
      </c>
      <c r="D98" s="44">
        <v>6220.4785000000002</v>
      </c>
    </row>
    <row r="99" spans="1:4" ht="15.75" thickBot="1" x14ac:dyDescent="0.3">
      <c r="A99" s="24"/>
      <c r="B99" s="29" t="s">
        <v>98</v>
      </c>
      <c r="C99" s="25" t="s">
        <v>13</v>
      </c>
      <c r="D99" s="44">
        <f>435642.39+2877.48+8438.4+6340.27</f>
        <v>453298.54000000004</v>
      </c>
    </row>
    <row r="100" spans="1:4" ht="15.75" thickBot="1" x14ac:dyDescent="0.3">
      <c r="A100" s="24"/>
      <c r="B100" s="25" t="s">
        <v>99</v>
      </c>
      <c r="C100" s="25" t="s">
        <v>13</v>
      </c>
      <c r="D100" s="45">
        <f>491113.43+20609.37</f>
        <v>511722.8</v>
      </c>
    </row>
    <row r="101" spans="1:4" ht="15.75" thickBot="1" x14ac:dyDescent="0.3">
      <c r="A101" s="24"/>
      <c r="B101" s="25" t="s">
        <v>100</v>
      </c>
      <c r="C101" s="25" t="s">
        <v>13</v>
      </c>
      <c r="D101" s="45">
        <v>0</v>
      </c>
    </row>
    <row r="102" spans="1:4" ht="15.75" thickBot="1" x14ac:dyDescent="0.3">
      <c r="A102" s="24"/>
      <c r="B102" s="25" t="s">
        <v>101</v>
      </c>
      <c r="C102" s="25" t="s">
        <v>13</v>
      </c>
      <c r="D102" s="45">
        <f>193686.16+193774.62</f>
        <v>387460.78</v>
      </c>
    </row>
    <row r="103" spans="1:4" ht="15.75" thickBot="1" x14ac:dyDescent="0.3">
      <c r="A103" s="24"/>
      <c r="B103" s="25" t="s">
        <v>102</v>
      </c>
      <c r="C103" s="25" t="s">
        <v>13</v>
      </c>
      <c r="D103" s="45">
        <f>D100</f>
        <v>511722.8</v>
      </c>
    </row>
    <row r="104" spans="1:4" ht="15.75" thickBot="1" x14ac:dyDescent="0.3">
      <c r="A104" s="24"/>
      <c r="B104" s="25" t="s">
        <v>103</v>
      </c>
      <c r="C104" s="25" t="s">
        <v>13</v>
      </c>
      <c r="D104" s="45">
        <v>0</v>
      </c>
    </row>
    <row r="105" spans="1:4" ht="15.75" thickBot="1" x14ac:dyDescent="0.3">
      <c r="A105" s="24"/>
      <c r="B105" s="29" t="s">
        <v>104</v>
      </c>
      <c r="C105" s="25" t="s">
        <v>13</v>
      </c>
      <c r="D105" s="44">
        <v>0</v>
      </c>
    </row>
    <row r="106" spans="1:4" ht="15.75" thickBot="1" x14ac:dyDescent="0.3">
      <c r="A106" s="40" t="s">
        <v>110</v>
      </c>
      <c r="B106" s="41" t="s">
        <v>93</v>
      </c>
      <c r="C106" s="42" t="s">
        <v>47</v>
      </c>
      <c r="D106" s="41" t="s">
        <v>111</v>
      </c>
    </row>
    <row r="107" spans="1:4" ht="15.75" thickBot="1" x14ac:dyDescent="0.3">
      <c r="A107" s="24"/>
      <c r="B107" s="29" t="s">
        <v>95</v>
      </c>
      <c r="C107" s="25" t="s">
        <v>47</v>
      </c>
      <c r="D107" s="29" t="s">
        <v>107</v>
      </c>
    </row>
    <row r="108" spans="1:4" ht="15.75" thickBot="1" x14ac:dyDescent="0.3">
      <c r="A108" s="24"/>
      <c r="B108" s="29" t="s">
        <v>97</v>
      </c>
      <c r="C108" s="25" t="s">
        <v>107</v>
      </c>
      <c r="D108" s="39">
        <v>15379.4468</v>
      </c>
    </row>
    <row r="109" spans="1:4" ht="15.75" thickBot="1" x14ac:dyDescent="0.3">
      <c r="A109" s="24"/>
      <c r="B109" s="29" t="s">
        <v>98</v>
      </c>
      <c r="C109" s="25" t="s">
        <v>13</v>
      </c>
      <c r="D109" s="39">
        <f>162441.48-2192.19</f>
        <v>160249.29</v>
      </c>
    </row>
    <row r="110" spans="1:4" ht="15.75" thickBot="1" x14ac:dyDescent="0.3">
      <c r="A110" s="24"/>
      <c r="B110" s="25" t="s">
        <v>99</v>
      </c>
      <c r="C110" s="25" t="s">
        <v>13</v>
      </c>
      <c r="D110" s="43">
        <v>179493.08</v>
      </c>
    </row>
    <row r="111" spans="1:4" ht="15.75" thickBot="1" x14ac:dyDescent="0.3">
      <c r="A111" s="24"/>
      <c r="B111" s="25" t="s">
        <v>100</v>
      </c>
      <c r="C111" s="25" t="s">
        <v>13</v>
      </c>
      <c r="D111" s="43">
        <v>0</v>
      </c>
    </row>
    <row r="112" spans="1:4" ht="15.75" thickBot="1" x14ac:dyDescent="0.3">
      <c r="A112" s="24"/>
      <c r="B112" s="25" t="s">
        <v>101</v>
      </c>
      <c r="C112" s="25" t="s">
        <v>13</v>
      </c>
      <c r="D112" s="43">
        <v>201412.98</v>
      </c>
    </row>
    <row r="113" spans="1:4" ht="15.75" thickBot="1" x14ac:dyDescent="0.3">
      <c r="A113" s="24"/>
      <c r="B113" s="25" t="s">
        <v>102</v>
      </c>
      <c r="C113" s="25" t="s">
        <v>13</v>
      </c>
      <c r="D113" s="43">
        <f>D110</f>
        <v>179493.08</v>
      </c>
    </row>
    <row r="114" spans="1:4" ht="15.75" thickBot="1" x14ac:dyDescent="0.3">
      <c r="A114" s="24"/>
      <c r="B114" s="25" t="s">
        <v>103</v>
      </c>
      <c r="C114" s="25" t="s">
        <v>13</v>
      </c>
      <c r="D114" s="43">
        <v>0</v>
      </c>
    </row>
    <row r="115" spans="1:4" ht="15.75" thickBot="1" x14ac:dyDescent="0.3">
      <c r="A115" s="24"/>
      <c r="B115" s="29" t="s">
        <v>104</v>
      </c>
      <c r="C115" s="25" t="s">
        <v>13</v>
      </c>
      <c r="D115" s="39">
        <v>0</v>
      </c>
    </row>
    <row r="116" spans="1:4" x14ac:dyDescent="0.25">
      <c r="A116" s="46"/>
      <c r="B116" s="47"/>
      <c r="C116" s="48"/>
      <c r="D116" s="49"/>
    </row>
    <row r="117" spans="1:4" ht="15.75" thickBot="1" x14ac:dyDescent="0.3">
      <c r="A117" s="8" t="s">
        <v>112</v>
      </c>
      <c r="B117" s="2"/>
      <c r="C117" s="2"/>
      <c r="D117" s="2"/>
    </row>
    <row r="118" spans="1:4" ht="15.75" thickBot="1" x14ac:dyDescent="0.3">
      <c r="A118" s="22" t="s">
        <v>113</v>
      </c>
      <c r="B118" s="33" t="s">
        <v>73</v>
      </c>
      <c r="C118" s="32" t="s">
        <v>114</v>
      </c>
      <c r="D118" s="33">
        <v>0</v>
      </c>
    </row>
    <row r="119" spans="1:4" ht="15.75" thickBot="1" x14ac:dyDescent="0.3">
      <c r="A119" s="24" t="s">
        <v>115</v>
      </c>
      <c r="B119" s="29" t="s">
        <v>75</v>
      </c>
      <c r="C119" s="25" t="s">
        <v>114</v>
      </c>
      <c r="D119" s="29">
        <v>0</v>
      </c>
    </row>
    <row r="120" spans="1:4" ht="15.75" thickBot="1" x14ac:dyDescent="0.3">
      <c r="A120" s="24" t="s">
        <v>116</v>
      </c>
      <c r="B120" s="29" t="s">
        <v>77</v>
      </c>
      <c r="C120" s="25" t="s">
        <v>114</v>
      </c>
      <c r="D120" s="29">
        <v>0</v>
      </c>
    </row>
    <row r="121" spans="1:4" ht="15.75" thickBot="1" x14ac:dyDescent="0.3">
      <c r="A121" s="24" t="s">
        <v>117</v>
      </c>
      <c r="B121" s="29" t="s">
        <v>79</v>
      </c>
      <c r="C121" s="25" t="s">
        <v>13</v>
      </c>
      <c r="D121" s="39">
        <v>0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118</v>
      </c>
      <c r="B123" s="2"/>
      <c r="C123" s="2"/>
      <c r="D123" s="2"/>
    </row>
    <row r="124" spans="1:4" ht="15.75" thickBot="1" x14ac:dyDescent="0.3">
      <c r="A124" s="34">
        <v>48</v>
      </c>
      <c r="B124" s="33" t="s">
        <v>119</v>
      </c>
      <c r="C124" s="32" t="s">
        <v>114</v>
      </c>
      <c r="D124" s="33">
        <v>1</v>
      </c>
    </row>
    <row r="125" spans="1:4" ht="15.75" thickBot="1" x14ac:dyDescent="0.3">
      <c r="A125" s="50">
        <v>49</v>
      </c>
      <c r="B125" s="29" t="s">
        <v>120</v>
      </c>
      <c r="C125" s="25" t="s">
        <v>114</v>
      </c>
      <c r="D125" s="29">
        <v>0</v>
      </c>
    </row>
    <row r="126" spans="1:4" ht="15.75" thickBot="1" x14ac:dyDescent="0.3">
      <c r="A126" s="51">
        <v>50</v>
      </c>
      <c r="B126" s="52" t="s">
        <v>121</v>
      </c>
      <c r="C126" s="53" t="s">
        <v>13</v>
      </c>
      <c r="D126" s="56">
        <f>22813</f>
        <v>22813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opLeftCell="A64" workbookViewId="0">
      <selection activeCell="D76" sqref="D76"/>
    </sheetView>
  </sheetViews>
  <sheetFormatPr defaultRowHeight="15" x14ac:dyDescent="0.25"/>
  <cols>
    <col min="2" max="2" width="74" customWidth="1"/>
    <col min="3" max="3" width="12.140625" customWidth="1"/>
    <col min="4" max="4" width="57.71093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176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177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99545.36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99545.36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939162.27</v>
      </c>
    </row>
    <row r="17" spans="1:5" x14ac:dyDescent="0.25">
      <c r="A17" s="15" t="s">
        <v>20</v>
      </c>
      <c r="B17" s="16" t="s">
        <v>21</v>
      </c>
      <c r="C17" s="16" t="s">
        <v>13</v>
      </c>
      <c r="D17" s="17">
        <f>695381.22+21886.07</f>
        <v>717267.28999999992</v>
      </c>
    </row>
    <row r="18" spans="1:5" x14ac:dyDescent="0.25">
      <c r="A18" s="15" t="s">
        <v>22</v>
      </c>
      <c r="B18" s="15" t="s">
        <v>23</v>
      </c>
      <c r="C18" s="16" t="s">
        <v>13</v>
      </c>
      <c r="D18" s="17">
        <f>191315.34+4082.4</f>
        <v>195397.74</v>
      </c>
    </row>
    <row r="19" spans="1:5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5" x14ac:dyDescent="0.25">
      <c r="A20" s="15" t="s">
        <v>26</v>
      </c>
      <c r="B20" s="18" t="s">
        <v>27</v>
      </c>
      <c r="C20" s="16" t="s">
        <v>13</v>
      </c>
      <c r="D20" s="17">
        <v>917154.02</v>
      </c>
    </row>
    <row r="21" spans="1:5" x14ac:dyDescent="0.25">
      <c r="A21" s="15" t="s">
        <v>28</v>
      </c>
      <c r="B21" s="16" t="s">
        <v>29</v>
      </c>
      <c r="C21" s="16" t="s">
        <v>13</v>
      </c>
      <c r="D21" s="17">
        <f>670154.02+194676.25+37956.93</f>
        <v>902787.20000000007</v>
      </c>
    </row>
    <row r="22" spans="1:5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5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5" x14ac:dyDescent="0.25">
      <c r="A24" s="15" t="s">
        <v>34</v>
      </c>
      <c r="B24" s="16" t="s">
        <v>35</v>
      </c>
      <c r="C24" s="16" t="s">
        <v>13</v>
      </c>
      <c r="D24" s="17">
        <v>15156</v>
      </c>
    </row>
    <row r="25" spans="1:5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5" x14ac:dyDescent="0.25">
      <c r="A26" s="15" t="s">
        <v>38</v>
      </c>
      <c r="B26" s="18" t="s">
        <v>39</v>
      </c>
      <c r="C26" s="16" t="s">
        <v>13</v>
      </c>
      <c r="D26" s="17">
        <f>D20+D14</f>
        <v>1016699.38</v>
      </c>
    </row>
    <row r="27" spans="1:5" x14ac:dyDescent="0.25">
      <c r="A27" s="15" t="s">
        <v>40</v>
      </c>
      <c r="B27" s="18" t="s">
        <v>41</v>
      </c>
      <c r="C27" s="16" t="s">
        <v>13</v>
      </c>
      <c r="D27" s="17">
        <v>96119.52</v>
      </c>
    </row>
    <row r="28" spans="1:5" x14ac:dyDescent="0.25">
      <c r="A28" s="15" t="s">
        <v>42</v>
      </c>
      <c r="B28" s="16" t="s">
        <v>15</v>
      </c>
      <c r="C28" s="16" t="s">
        <v>13</v>
      </c>
      <c r="D28" s="17">
        <v>96119.52</v>
      </c>
    </row>
    <row r="29" spans="1:5" ht="15.75" thickBot="1" x14ac:dyDescent="0.3">
      <c r="A29" s="19" t="s">
        <v>43</v>
      </c>
      <c r="B29" s="20" t="s">
        <v>17</v>
      </c>
      <c r="C29" s="20" t="s">
        <v>13</v>
      </c>
      <c r="D29" s="21">
        <v>0</v>
      </c>
    </row>
    <row r="30" spans="1:5" x14ac:dyDescent="0.25">
      <c r="A30" s="2"/>
      <c r="B30" s="2"/>
      <c r="C30" s="2"/>
      <c r="D30" s="2"/>
    </row>
    <row r="31" spans="1:5" ht="15.75" thickBot="1" x14ac:dyDescent="0.3">
      <c r="A31" s="8" t="s">
        <v>44</v>
      </c>
      <c r="B31" s="2"/>
      <c r="C31" s="2"/>
      <c r="D31" s="2"/>
      <c r="E31" s="57"/>
    </row>
    <row r="32" spans="1:5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  <c r="E32" s="57"/>
    </row>
    <row r="33" spans="1:5" ht="15.75" thickBot="1" x14ac:dyDescent="0.3">
      <c r="A33" s="24"/>
      <c r="B33" s="25" t="s">
        <v>49</v>
      </c>
      <c r="C33" s="25" t="s">
        <v>47</v>
      </c>
      <c r="D33" s="29" t="s">
        <v>50</v>
      </c>
      <c r="E33" s="57"/>
    </row>
    <row r="34" spans="1:5" ht="15.75" thickBot="1" x14ac:dyDescent="0.3">
      <c r="A34" s="24"/>
      <c r="B34" s="25" t="s">
        <v>51</v>
      </c>
      <c r="C34" s="25" t="s">
        <v>47</v>
      </c>
      <c r="D34" s="29" t="s">
        <v>52</v>
      </c>
      <c r="E34" s="57"/>
    </row>
    <row r="35" spans="1:5" ht="15.75" thickBot="1" x14ac:dyDescent="0.3">
      <c r="A35" s="24"/>
      <c r="B35" s="25" t="s">
        <v>53</v>
      </c>
      <c r="C35" s="25" t="s">
        <v>47</v>
      </c>
      <c r="D35" s="58" t="s">
        <v>54</v>
      </c>
      <c r="E35" s="57"/>
    </row>
    <row r="36" spans="1:5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  <c r="E36" s="57"/>
    </row>
    <row r="37" spans="1:5" ht="15.75" thickBot="1" x14ac:dyDescent="0.3">
      <c r="A37" s="24"/>
      <c r="B37" s="25" t="s">
        <v>49</v>
      </c>
      <c r="C37" s="25" t="s">
        <v>47</v>
      </c>
      <c r="D37" s="29" t="s">
        <v>124</v>
      </c>
      <c r="E37" s="57"/>
    </row>
    <row r="38" spans="1:5" ht="15.75" thickBot="1" x14ac:dyDescent="0.3">
      <c r="A38" s="24"/>
      <c r="B38" s="25" t="s">
        <v>51</v>
      </c>
      <c r="C38" s="25" t="s">
        <v>47</v>
      </c>
      <c r="D38" s="29" t="s">
        <v>57</v>
      </c>
      <c r="E38" s="57"/>
    </row>
    <row r="39" spans="1:5" ht="15.75" thickBot="1" x14ac:dyDescent="0.3">
      <c r="A39" s="24"/>
      <c r="B39" s="25" t="s">
        <v>53</v>
      </c>
      <c r="C39" s="25" t="s">
        <v>47</v>
      </c>
      <c r="D39" s="30">
        <v>3808160770</v>
      </c>
      <c r="E39" s="57"/>
    </row>
    <row r="40" spans="1:5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  <c r="E40" s="57"/>
    </row>
    <row r="41" spans="1:5" ht="15.75" thickBot="1" x14ac:dyDescent="0.3">
      <c r="A41" s="24"/>
      <c r="B41" s="25" t="s">
        <v>49</v>
      </c>
      <c r="C41" s="25" t="s">
        <v>47</v>
      </c>
      <c r="D41" s="29" t="s">
        <v>59</v>
      </c>
      <c r="E41" s="57"/>
    </row>
    <row r="42" spans="1:5" ht="15.75" thickBot="1" x14ac:dyDescent="0.3">
      <c r="A42" s="24"/>
      <c r="B42" s="25" t="s">
        <v>51</v>
      </c>
      <c r="C42" s="25" t="s">
        <v>47</v>
      </c>
      <c r="D42" s="29" t="s">
        <v>52</v>
      </c>
      <c r="E42" s="57"/>
    </row>
    <row r="43" spans="1:5" ht="15.75" thickBot="1" x14ac:dyDescent="0.3">
      <c r="A43" s="24"/>
      <c r="B43" s="25" t="s">
        <v>53</v>
      </c>
      <c r="C43" s="25" t="s">
        <v>47</v>
      </c>
      <c r="D43" s="30">
        <v>3807000117</v>
      </c>
      <c r="E43" s="57"/>
    </row>
    <row r="44" spans="1:5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  <c r="E44" s="57"/>
    </row>
    <row r="45" spans="1:5" ht="15.75" thickBot="1" x14ac:dyDescent="0.3">
      <c r="A45" s="24"/>
      <c r="B45" s="25" t="s">
        <v>49</v>
      </c>
      <c r="C45" s="25" t="s">
        <v>47</v>
      </c>
      <c r="D45" s="29" t="s">
        <v>70</v>
      </c>
      <c r="E45" s="57"/>
    </row>
    <row r="46" spans="1:5" ht="15.75" thickBot="1" x14ac:dyDescent="0.3">
      <c r="A46" s="24"/>
      <c r="B46" s="25" t="s">
        <v>51</v>
      </c>
      <c r="C46" s="25" t="s">
        <v>47</v>
      </c>
      <c r="D46" s="29" t="s">
        <v>57</v>
      </c>
      <c r="E46" s="57"/>
    </row>
    <row r="47" spans="1:5" ht="15.75" thickBot="1" x14ac:dyDescent="0.3">
      <c r="A47" s="24"/>
      <c r="B47" s="25" t="s">
        <v>53</v>
      </c>
      <c r="C47" s="25" t="s">
        <v>47</v>
      </c>
      <c r="D47" s="30">
        <v>3811171757</v>
      </c>
      <c r="E47" s="57"/>
    </row>
    <row r="48" spans="1:5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  <c r="E48" s="57"/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178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70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3811171757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179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180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181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182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183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65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3810324922</v>
      </c>
    </row>
    <row r="64" spans="1:4" x14ac:dyDescent="0.25">
      <c r="A64" s="2"/>
      <c r="B64" s="2"/>
      <c r="C64" s="2"/>
      <c r="D64" s="2"/>
    </row>
    <row r="65" spans="1:4" ht="15.75" thickBot="1" x14ac:dyDescent="0.3">
      <c r="A65" s="8" t="s">
        <v>71</v>
      </c>
      <c r="B65" s="2"/>
      <c r="C65" s="2"/>
      <c r="D65" s="2"/>
    </row>
    <row r="66" spans="1:4" ht="15.75" thickBot="1" x14ac:dyDescent="0.3">
      <c r="A66" s="22" t="s">
        <v>72</v>
      </c>
      <c r="B66" s="32" t="s">
        <v>73</v>
      </c>
      <c r="C66" s="32" t="s">
        <v>47</v>
      </c>
      <c r="D66" s="33">
        <v>0</v>
      </c>
    </row>
    <row r="67" spans="1:4" ht="15.75" thickBot="1" x14ac:dyDescent="0.3">
      <c r="A67" s="24" t="s">
        <v>74</v>
      </c>
      <c r="B67" s="25" t="s">
        <v>75</v>
      </c>
      <c r="C67" s="25" t="s">
        <v>47</v>
      </c>
      <c r="D67" s="29">
        <v>0</v>
      </c>
    </row>
    <row r="68" spans="1:4" ht="15.75" thickBot="1" x14ac:dyDescent="0.3">
      <c r="A68" s="24" t="s">
        <v>76</v>
      </c>
      <c r="B68" s="25" t="s">
        <v>77</v>
      </c>
      <c r="C68" s="25" t="s">
        <v>47</v>
      </c>
      <c r="D68" s="29">
        <v>0</v>
      </c>
    </row>
    <row r="69" spans="1:4" ht="15.75" thickBot="1" x14ac:dyDescent="0.3">
      <c r="A69" s="22" t="s">
        <v>78</v>
      </c>
      <c r="B69" s="34" t="s">
        <v>79</v>
      </c>
      <c r="C69" s="34" t="s">
        <v>13</v>
      </c>
      <c r="D69" s="35">
        <v>0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80</v>
      </c>
      <c r="B71" s="2"/>
      <c r="C71" s="2"/>
      <c r="D71" s="2"/>
    </row>
    <row r="72" spans="1:4" ht="15.75" thickBot="1" x14ac:dyDescent="0.3">
      <c r="A72" s="36" t="s">
        <v>81</v>
      </c>
      <c r="B72" s="33" t="s">
        <v>82</v>
      </c>
      <c r="C72" s="32" t="s">
        <v>13</v>
      </c>
      <c r="D72" s="37">
        <f>D74+D73</f>
        <v>24269.51999999999</v>
      </c>
    </row>
    <row r="73" spans="1:4" ht="15.75" thickBot="1" x14ac:dyDescent="0.3">
      <c r="A73" s="38" t="s">
        <v>83</v>
      </c>
      <c r="B73" s="25" t="s">
        <v>84</v>
      </c>
      <c r="C73" s="25" t="s">
        <v>13</v>
      </c>
      <c r="D73" s="39">
        <f>-(40669.77+3586.17+16348.88+3613.47+16.55+123.16)</f>
        <v>-64358</v>
      </c>
    </row>
    <row r="74" spans="1:4" ht="15.75" thickBot="1" x14ac:dyDescent="0.3">
      <c r="A74" s="38" t="s">
        <v>85</v>
      </c>
      <c r="B74" s="25" t="s">
        <v>86</v>
      </c>
      <c r="C74" s="25" t="s">
        <v>13</v>
      </c>
      <c r="D74" s="39">
        <f>13943.44+8140.99+46301.47+19029.63+147.7+1064.29</f>
        <v>88627.51999999999</v>
      </c>
    </row>
    <row r="75" spans="1:4" ht="15.75" thickBot="1" x14ac:dyDescent="0.3">
      <c r="A75" s="38" t="s">
        <v>87</v>
      </c>
      <c r="B75" s="29" t="s">
        <v>88</v>
      </c>
      <c r="C75" s="25" t="s">
        <v>13</v>
      </c>
      <c r="D75" s="39">
        <f>D77+D76</f>
        <v>230271.8</v>
      </c>
    </row>
    <row r="76" spans="1:4" ht="15.75" thickBot="1" x14ac:dyDescent="0.3">
      <c r="A76" s="38" t="s">
        <v>89</v>
      </c>
      <c r="B76" s="25" t="s">
        <v>84</v>
      </c>
      <c r="C76" s="25" t="s">
        <v>13</v>
      </c>
      <c r="D76" s="39">
        <f>-(1748.52+2197.88+745.68+757.3+2572.64)</f>
        <v>-8022.02</v>
      </c>
    </row>
    <row r="77" spans="1:4" ht="15.75" thickBot="1" x14ac:dyDescent="0.3">
      <c r="A77" s="38" t="s">
        <v>90</v>
      </c>
      <c r="B77" s="25" t="s">
        <v>86</v>
      </c>
      <c r="C77" s="25" t="s">
        <v>13</v>
      </c>
      <c r="D77" s="39">
        <f>161254.93+10762.65+44439.16+20508.66+129.08+1199.34</f>
        <v>238293.81999999998</v>
      </c>
    </row>
    <row r="78" spans="1:4" x14ac:dyDescent="0.25">
      <c r="A78" s="2"/>
      <c r="B78" s="2"/>
      <c r="C78" s="2"/>
      <c r="D78" s="2"/>
    </row>
    <row r="79" spans="1:4" ht="15.75" thickBot="1" x14ac:dyDescent="0.3">
      <c r="A79" s="8" t="s">
        <v>91</v>
      </c>
      <c r="B79" s="2"/>
      <c r="C79" s="2"/>
      <c r="D79" s="2"/>
    </row>
    <row r="80" spans="1:4" ht="15.75" thickBot="1" x14ac:dyDescent="0.3">
      <c r="A80" s="40" t="s">
        <v>92</v>
      </c>
      <c r="B80" s="41" t="s">
        <v>93</v>
      </c>
      <c r="C80" s="42" t="s">
        <v>47</v>
      </c>
      <c r="D80" s="41" t="s">
        <v>94</v>
      </c>
    </row>
    <row r="81" spans="1:4" ht="15.75" thickBot="1" x14ac:dyDescent="0.3">
      <c r="A81" s="24"/>
      <c r="B81" s="29" t="s">
        <v>95</v>
      </c>
      <c r="C81" s="25" t="s">
        <v>47</v>
      </c>
      <c r="D81" s="29" t="s">
        <v>96</v>
      </c>
    </row>
    <row r="82" spans="1:4" ht="15.75" thickBot="1" x14ac:dyDescent="0.3">
      <c r="A82" s="24"/>
      <c r="B82" s="29" t="s">
        <v>97</v>
      </c>
      <c r="C82" s="25" t="s">
        <v>96</v>
      </c>
      <c r="D82" s="39">
        <v>725.04930000000002</v>
      </c>
    </row>
    <row r="83" spans="1:4" ht="15.75" thickBot="1" x14ac:dyDescent="0.3">
      <c r="A83" s="24"/>
      <c r="B83" s="29" t="s">
        <v>98</v>
      </c>
      <c r="C83" s="25" t="s">
        <v>13</v>
      </c>
      <c r="D83" s="39">
        <f>718199.66+3653.72</f>
        <v>721853.38</v>
      </c>
    </row>
    <row r="84" spans="1:4" ht="15.75" thickBot="1" x14ac:dyDescent="0.3">
      <c r="A84" s="24"/>
      <c r="B84" s="25" t="s">
        <v>99</v>
      </c>
      <c r="C84" s="25" t="s">
        <v>13</v>
      </c>
      <c r="D84" s="43">
        <v>533872.12</v>
      </c>
    </row>
    <row r="85" spans="1:4" ht="15.75" thickBot="1" x14ac:dyDescent="0.3">
      <c r="A85" s="24"/>
      <c r="B85" s="25" t="s">
        <v>100</v>
      </c>
      <c r="C85" s="25" t="s">
        <v>13</v>
      </c>
      <c r="D85" s="43">
        <f>D83-D84</f>
        <v>187981.26</v>
      </c>
    </row>
    <row r="86" spans="1:4" ht="15.75" thickBot="1" x14ac:dyDescent="0.3">
      <c r="A86" s="24"/>
      <c r="B86" s="25" t="s">
        <v>101</v>
      </c>
      <c r="C86" s="25" t="s">
        <v>13</v>
      </c>
      <c r="D86" s="43">
        <v>721076.64</v>
      </c>
    </row>
    <row r="87" spans="1:4" ht="15.75" thickBot="1" x14ac:dyDescent="0.3">
      <c r="A87" s="24"/>
      <c r="B87" s="25" t="s">
        <v>102</v>
      </c>
      <c r="C87" s="25" t="s">
        <v>13</v>
      </c>
      <c r="D87" s="43">
        <f>D84</f>
        <v>533872.12</v>
      </c>
    </row>
    <row r="88" spans="1:4" ht="15.75" thickBot="1" x14ac:dyDescent="0.3">
      <c r="A88" s="24"/>
      <c r="B88" s="25" t="s">
        <v>103</v>
      </c>
      <c r="C88" s="25" t="s">
        <v>13</v>
      </c>
      <c r="D88" s="43">
        <f>D85</f>
        <v>187981.26</v>
      </c>
    </row>
    <row r="89" spans="1:4" ht="15.75" thickBot="1" x14ac:dyDescent="0.3">
      <c r="A89" s="24"/>
      <c r="B89" s="29" t="s">
        <v>104</v>
      </c>
      <c r="C89" s="25" t="s">
        <v>13</v>
      </c>
      <c r="D89" s="39">
        <v>0</v>
      </c>
    </row>
    <row r="90" spans="1:4" ht="15.75" thickBot="1" x14ac:dyDescent="0.3">
      <c r="A90" s="40" t="s">
        <v>105</v>
      </c>
      <c r="B90" s="41" t="s">
        <v>93</v>
      </c>
      <c r="C90" s="42" t="s">
        <v>47</v>
      </c>
      <c r="D90" s="41" t="s">
        <v>106</v>
      </c>
    </row>
    <row r="91" spans="1:4" ht="15.75" thickBot="1" x14ac:dyDescent="0.3">
      <c r="A91" s="24"/>
      <c r="B91" s="29" t="s">
        <v>95</v>
      </c>
      <c r="C91" s="25" t="s">
        <v>47</v>
      </c>
      <c r="D91" s="29" t="s">
        <v>107</v>
      </c>
    </row>
    <row r="92" spans="1:4" ht="15.75" thickBot="1" x14ac:dyDescent="0.3">
      <c r="A92" s="24"/>
      <c r="B92" s="29" t="s">
        <v>97</v>
      </c>
      <c r="C92" s="25" t="s">
        <v>107</v>
      </c>
      <c r="D92" s="44">
        <f>8251.5605+49.1834</f>
        <v>8300.7438999999995</v>
      </c>
    </row>
    <row r="93" spans="1:4" ht="15.75" thickBot="1" x14ac:dyDescent="0.3">
      <c r="A93" s="24"/>
      <c r="B93" s="29" t="s">
        <v>98</v>
      </c>
      <c r="C93" s="25" t="s">
        <v>13</v>
      </c>
      <c r="D93" s="44">
        <f>933.62+768.49+84674.5-150.58</f>
        <v>86226.03</v>
      </c>
    </row>
    <row r="94" spans="1:4" ht="15.75" thickBot="1" x14ac:dyDescent="0.3">
      <c r="A94" s="24"/>
      <c r="B94" s="25" t="s">
        <v>99</v>
      </c>
      <c r="C94" s="25" t="s">
        <v>13</v>
      </c>
      <c r="D94" s="45">
        <f>2461.48+80365.77</f>
        <v>82827.25</v>
      </c>
    </row>
    <row r="95" spans="1:4" ht="15.75" thickBot="1" x14ac:dyDescent="0.3">
      <c r="A95" s="24"/>
      <c r="B95" s="25" t="s">
        <v>100</v>
      </c>
      <c r="C95" s="25" t="s">
        <v>13</v>
      </c>
      <c r="D95" s="45">
        <f>D93-D94</f>
        <v>3398.7799999999988</v>
      </c>
    </row>
    <row r="96" spans="1:4" ht="15.75" thickBot="1" x14ac:dyDescent="0.3">
      <c r="A96" s="24"/>
      <c r="B96" s="25" t="s">
        <v>101</v>
      </c>
      <c r="C96" s="25" t="s">
        <v>13</v>
      </c>
      <c r="D96" s="45">
        <v>87841.66</v>
      </c>
    </row>
    <row r="97" spans="1:4" ht="15.75" thickBot="1" x14ac:dyDescent="0.3">
      <c r="A97" s="24"/>
      <c r="B97" s="25" t="s">
        <v>102</v>
      </c>
      <c r="C97" s="25" t="s">
        <v>13</v>
      </c>
      <c r="D97" s="45">
        <f>D94</f>
        <v>82827.25</v>
      </c>
    </row>
    <row r="98" spans="1:4" ht="15.75" thickBot="1" x14ac:dyDescent="0.3">
      <c r="A98" s="24"/>
      <c r="B98" s="25" t="s">
        <v>103</v>
      </c>
      <c r="C98" s="25" t="s">
        <v>13</v>
      </c>
      <c r="D98" s="45">
        <f>D95</f>
        <v>3398.7799999999988</v>
      </c>
    </row>
    <row r="99" spans="1:4" ht="15.75" thickBot="1" x14ac:dyDescent="0.3">
      <c r="A99" s="24"/>
      <c r="B99" s="29" t="s">
        <v>104</v>
      </c>
      <c r="C99" s="25" t="s">
        <v>13</v>
      </c>
      <c r="D99" s="44">
        <v>0</v>
      </c>
    </row>
    <row r="100" spans="1:4" ht="15.75" thickBot="1" x14ac:dyDescent="0.3">
      <c r="A100" s="40" t="s">
        <v>108</v>
      </c>
      <c r="B100" s="41" t="s">
        <v>93</v>
      </c>
      <c r="C100" s="42" t="s">
        <v>47</v>
      </c>
      <c r="D100" s="41" t="s">
        <v>109</v>
      </c>
    </row>
    <row r="101" spans="1:4" ht="15.75" thickBot="1" x14ac:dyDescent="0.3">
      <c r="A101" s="24"/>
      <c r="B101" s="29" t="s">
        <v>95</v>
      </c>
      <c r="C101" s="25" t="s">
        <v>47</v>
      </c>
      <c r="D101" s="29" t="s">
        <v>107</v>
      </c>
    </row>
    <row r="102" spans="1:4" ht="15.75" thickBot="1" x14ac:dyDescent="0.3">
      <c r="A102" s="24"/>
      <c r="B102" s="29" t="s">
        <v>97</v>
      </c>
      <c r="C102" s="25" t="s">
        <v>107</v>
      </c>
      <c r="D102" s="44">
        <v>4930.5513000000001</v>
      </c>
    </row>
    <row r="103" spans="1:4" ht="15.75" thickBot="1" x14ac:dyDescent="0.3">
      <c r="A103" s="24"/>
      <c r="B103" s="29" t="s">
        <v>98</v>
      </c>
      <c r="C103" s="25" t="s">
        <v>13</v>
      </c>
      <c r="D103" s="44">
        <f>345441.41-19069.92+9997.66+736.05</f>
        <v>337105.19999999995</v>
      </c>
    </row>
    <row r="104" spans="1:4" ht="15.75" thickBot="1" x14ac:dyDescent="0.3">
      <c r="A104" s="24"/>
      <c r="B104" s="25" t="s">
        <v>99</v>
      </c>
      <c r="C104" s="25" t="s">
        <v>13</v>
      </c>
      <c r="D104" s="45">
        <f>314082.8+13048.14</f>
        <v>327130.94</v>
      </c>
    </row>
    <row r="105" spans="1:4" ht="15.75" thickBot="1" x14ac:dyDescent="0.3">
      <c r="A105" s="24"/>
      <c r="B105" s="25" t="s">
        <v>100</v>
      </c>
      <c r="C105" s="25" t="s">
        <v>13</v>
      </c>
      <c r="D105" s="45">
        <f>D103-D104</f>
        <v>9974.2599999999511</v>
      </c>
    </row>
    <row r="106" spans="1:4" ht="15.75" thickBot="1" x14ac:dyDescent="0.3">
      <c r="A106" s="24"/>
      <c r="B106" s="25" t="s">
        <v>101</v>
      </c>
      <c r="C106" s="25" t="s">
        <v>13</v>
      </c>
      <c r="D106" s="45">
        <v>326709.73</v>
      </c>
    </row>
    <row r="107" spans="1:4" ht="15.75" thickBot="1" x14ac:dyDescent="0.3">
      <c r="A107" s="24"/>
      <c r="B107" s="25" t="s">
        <v>102</v>
      </c>
      <c r="C107" s="25" t="s">
        <v>13</v>
      </c>
      <c r="D107" s="45">
        <f>D104</f>
        <v>327130.94</v>
      </c>
    </row>
    <row r="108" spans="1:4" ht="15.75" thickBot="1" x14ac:dyDescent="0.3">
      <c r="A108" s="24"/>
      <c r="B108" s="25" t="s">
        <v>103</v>
      </c>
      <c r="C108" s="25" t="s">
        <v>13</v>
      </c>
      <c r="D108" s="45">
        <f>D105</f>
        <v>9974.2599999999511</v>
      </c>
    </row>
    <row r="109" spans="1:4" ht="15.75" thickBot="1" x14ac:dyDescent="0.3">
      <c r="A109" s="24"/>
      <c r="B109" s="29" t="s">
        <v>104</v>
      </c>
      <c r="C109" s="25" t="s">
        <v>13</v>
      </c>
      <c r="D109" s="44">
        <v>0</v>
      </c>
    </row>
    <row r="110" spans="1:4" ht="15.75" thickBot="1" x14ac:dyDescent="0.3">
      <c r="A110" s="40" t="s">
        <v>110</v>
      </c>
      <c r="B110" s="41" t="s">
        <v>93</v>
      </c>
      <c r="C110" s="42" t="s">
        <v>47</v>
      </c>
      <c r="D110" s="41" t="s">
        <v>111</v>
      </c>
    </row>
    <row r="111" spans="1:4" ht="15.75" thickBot="1" x14ac:dyDescent="0.3">
      <c r="A111" s="24"/>
      <c r="B111" s="29" t="s">
        <v>95</v>
      </c>
      <c r="C111" s="25" t="s">
        <v>47</v>
      </c>
      <c r="D111" s="29" t="s">
        <v>107</v>
      </c>
    </row>
    <row r="112" spans="1:4" ht="15.75" thickBot="1" x14ac:dyDescent="0.3">
      <c r="A112" s="24"/>
      <c r="B112" s="29" t="s">
        <v>97</v>
      </c>
      <c r="C112" s="25" t="s">
        <v>107</v>
      </c>
      <c r="D112" s="39">
        <v>13182.1103</v>
      </c>
    </row>
    <row r="113" spans="1:4" ht="15.75" thickBot="1" x14ac:dyDescent="0.3">
      <c r="A113" s="24"/>
      <c r="B113" s="29" t="s">
        <v>98</v>
      </c>
      <c r="C113" s="25" t="s">
        <v>13</v>
      </c>
      <c r="D113" s="39">
        <f>139314.87+708.74</f>
        <v>140023.60999999999</v>
      </c>
    </row>
    <row r="114" spans="1:4" ht="15.75" thickBot="1" x14ac:dyDescent="0.3">
      <c r="A114" s="24"/>
      <c r="B114" s="25" t="s">
        <v>99</v>
      </c>
      <c r="C114" s="25" t="s">
        <v>13</v>
      </c>
      <c r="D114" s="43">
        <v>135676.79</v>
      </c>
    </row>
    <row r="115" spans="1:4" ht="15.75" thickBot="1" x14ac:dyDescent="0.3">
      <c r="A115" s="24"/>
      <c r="B115" s="25" t="s">
        <v>100</v>
      </c>
      <c r="C115" s="25" t="s">
        <v>13</v>
      </c>
      <c r="D115" s="43">
        <f>D113-D114</f>
        <v>4346.8199999999779</v>
      </c>
    </row>
    <row r="116" spans="1:4" ht="15.75" thickBot="1" x14ac:dyDescent="0.3">
      <c r="A116" s="24"/>
      <c r="B116" s="25" t="s">
        <v>101</v>
      </c>
      <c r="C116" s="25" t="s">
        <v>13</v>
      </c>
      <c r="D116" s="43">
        <v>141845.41</v>
      </c>
    </row>
    <row r="117" spans="1:4" ht="15.75" thickBot="1" x14ac:dyDescent="0.3">
      <c r="A117" s="24"/>
      <c r="B117" s="25" t="s">
        <v>102</v>
      </c>
      <c r="C117" s="25" t="s">
        <v>13</v>
      </c>
      <c r="D117" s="43">
        <f>D114</f>
        <v>135676.79</v>
      </c>
    </row>
    <row r="118" spans="1:4" ht="15.75" thickBot="1" x14ac:dyDescent="0.3">
      <c r="A118" s="24"/>
      <c r="B118" s="25" t="s">
        <v>103</v>
      </c>
      <c r="C118" s="25" t="s">
        <v>13</v>
      </c>
      <c r="D118" s="43">
        <f>D115</f>
        <v>4346.8199999999779</v>
      </c>
    </row>
    <row r="119" spans="1:4" ht="15.75" thickBot="1" x14ac:dyDescent="0.3">
      <c r="A119" s="24"/>
      <c r="B119" s="29" t="s">
        <v>104</v>
      </c>
      <c r="C119" s="25" t="s">
        <v>13</v>
      </c>
      <c r="D119" s="39">
        <v>0</v>
      </c>
    </row>
    <row r="120" spans="1:4" x14ac:dyDescent="0.25">
      <c r="A120" s="46"/>
      <c r="B120" s="47"/>
      <c r="C120" s="48"/>
      <c r="D120" s="49"/>
    </row>
    <row r="121" spans="1:4" ht="15.75" thickBot="1" x14ac:dyDescent="0.3">
      <c r="A121" s="8" t="s">
        <v>112</v>
      </c>
      <c r="B121" s="2"/>
      <c r="C121" s="2"/>
      <c r="D121" s="2"/>
    </row>
    <row r="122" spans="1:4" ht="15.75" thickBot="1" x14ac:dyDescent="0.3">
      <c r="A122" s="22" t="s">
        <v>113</v>
      </c>
      <c r="B122" s="33" t="s">
        <v>73</v>
      </c>
      <c r="C122" s="32" t="s">
        <v>114</v>
      </c>
      <c r="D122" s="33">
        <v>0</v>
      </c>
    </row>
    <row r="123" spans="1:4" ht="15.75" thickBot="1" x14ac:dyDescent="0.3">
      <c r="A123" s="24" t="s">
        <v>115</v>
      </c>
      <c r="B123" s="29" t="s">
        <v>75</v>
      </c>
      <c r="C123" s="25" t="s">
        <v>114</v>
      </c>
      <c r="D123" s="29">
        <v>0</v>
      </c>
    </row>
    <row r="124" spans="1:4" ht="15.75" thickBot="1" x14ac:dyDescent="0.3">
      <c r="A124" s="24" t="s">
        <v>116</v>
      </c>
      <c r="B124" s="29" t="s">
        <v>77</v>
      </c>
      <c r="C124" s="25" t="s">
        <v>114</v>
      </c>
      <c r="D124" s="29">
        <v>0</v>
      </c>
    </row>
    <row r="125" spans="1:4" ht="15.75" thickBot="1" x14ac:dyDescent="0.3">
      <c r="A125" s="24" t="s">
        <v>117</v>
      </c>
      <c r="B125" s="29" t="s">
        <v>79</v>
      </c>
      <c r="C125" s="25" t="s">
        <v>13</v>
      </c>
      <c r="D125" s="39">
        <v>0</v>
      </c>
    </row>
    <row r="126" spans="1:4" x14ac:dyDescent="0.25">
      <c r="A126" s="2"/>
      <c r="B126" s="2"/>
      <c r="C126" s="2"/>
      <c r="D126" s="2"/>
    </row>
    <row r="127" spans="1:4" ht="15.75" thickBot="1" x14ac:dyDescent="0.3">
      <c r="A127" s="8" t="s">
        <v>118</v>
      </c>
      <c r="B127" s="2"/>
      <c r="C127" s="2"/>
      <c r="D127" s="2"/>
    </row>
    <row r="128" spans="1:4" ht="15.75" thickBot="1" x14ac:dyDescent="0.3">
      <c r="A128" s="34">
        <v>48</v>
      </c>
      <c r="B128" s="33" t="s">
        <v>119</v>
      </c>
      <c r="C128" s="32" t="s">
        <v>114</v>
      </c>
      <c r="D128" s="33">
        <v>0</v>
      </c>
    </row>
    <row r="129" spans="1:4" ht="15.75" thickBot="1" x14ac:dyDescent="0.3">
      <c r="A129" s="50">
        <v>49</v>
      </c>
      <c r="B129" s="29" t="s">
        <v>120</v>
      </c>
      <c r="C129" s="25" t="s">
        <v>114</v>
      </c>
      <c r="D129" s="29">
        <v>0</v>
      </c>
    </row>
    <row r="130" spans="1:4" ht="15.75" thickBot="1" x14ac:dyDescent="0.3">
      <c r="A130" s="51">
        <v>50</v>
      </c>
      <c r="B130" s="52" t="s">
        <v>121</v>
      </c>
      <c r="C130" s="53" t="s">
        <v>13</v>
      </c>
      <c r="D130" s="56">
        <v>0</v>
      </c>
    </row>
  </sheetData>
  <mergeCells count="2">
    <mergeCell ref="A5:D5"/>
    <mergeCell ref="A6:D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61" workbookViewId="0">
      <selection activeCell="D72" sqref="D72"/>
    </sheetView>
  </sheetViews>
  <sheetFormatPr defaultRowHeight="15" x14ac:dyDescent="0.25"/>
  <cols>
    <col min="2" max="2" width="68.42578125" customWidth="1"/>
    <col min="3" max="3" width="12.28515625" customWidth="1"/>
    <col min="4" max="4" width="57.140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184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185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0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273552.56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204680+7585.984</f>
        <v>212265.984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22947.6+21104.016</f>
        <v>44051.615999999995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77974.78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50514.4+5942.88+21517.5</f>
        <v>77974.78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</f>
        <v>77974.78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182649.18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182649.18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186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187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65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3812092378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188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189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190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191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192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193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194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195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196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197</v>
      </c>
    </row>
    <row r="60" spans="1:4" x14ac:dyDescent="0.25">
      <c r="A60" s="2"/>
      <c r="B60" s="2"/>
      <c r="C60" s="2"/>
      <c r="D60" s="2"/>
    </row>
    <row r="61" spans="1:4" ht="15.75" thickBot="1" x14ac:dyDescent="0.3">
      <c r="A61" s="8" t="s">
        <v>71</v>
      </c>
      <c r="B61" s="2"/>
      <c r="C61" s="2"/>
      <c r="D61" s="2"/>
    </row>
    <row r="62" spans="1:4" ht="15.75" thickBot="1" x14ac:dyDescent="0.3">
      <c r="A62" s="22" t="s">
        <v>72</v>
      </c>
      <c r="B62" s="32" t="s">
        <v>73</v>
      </c>
      <c r="C62" s="32" t="s">
        <v>47</v>
      </c>
      <c r="D62" s="33">
        <v>0</v>
      </c>
    </row>
    <row r="63" spans="1:4" ht="15.75" thickBot="1" x14ac:dyDescent="0.3">
      <c r="A63" s="24" t="s">
        <v>74</v>
      </c>
      <c r="B63" s="25" t="s">
        <v>75</v>
      </c>
      <c r="C63" s="25" t="s">
        <v>47</v>
      </c>
      <c r="D63" s="29">
        <v>0</v>
      </c>
    </row>
    <row r="64" spans="1:4" ht="15.75" thickBot="1" x14ac:dyDescent="0.3">
      <c r="A64" s="24" t="s">
        <v>76</v>
      </c>
      <c r="B64" s="25" t="s">
        <v>77</v>
      </c>
      <c r="C64" s="25" t="s">
        <v>47</v>
      </c>
      <c r="D64" s="29">
        <v>0</v>
      </c>
    </row>
    <row r="65" spans="1:4" ht="15.75" thickBot="1" x14ac:dyDescent="0.3">
      <c r="A65" s="22" t="s">
        <v>78</v>
      </c>
      <c r="B65" s="34" t="s">
        <v>79</v>
      </c>
      <c r="C65" s="34" t="s">
        <v>13</v>
      </c>
      <c r="D65" s="35">
        <v>0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80</v>
      </c>
      <c r="B67" s="2"/>
      <c r="C67" s="2"/>
      <c r="D67" s="2"/>
    </row>
    <row r="68" spans="1:4" ht="15.75" thickBot="1" x14ac:dyDescent="0.3">
      <c r="A68" s="36" t="s">
        <v>81</v>
      </c>
      <c r="B68" s="33" t="s">
        <v>82</v>
      </c>
      <c r="C68" s="32" t="s">
        <v>13</v>
      </c>
      <c r="D68" s="37">
        <v>0</v>
      </c>
    </row>
    <row r="69" spans="1:4" ht="15.75" thickBot="1" x14ac:dyDescent="0.3">
      <c r="A69" s="38" t="s">
        <v>83</v>
      </c>
      <c r="B69" s="25" t="s">
        <v>84</v>
      </c>
      <c r="C69" s="25" t="s">
        <v>13</v>
      </c>
      <c r="D69" s="39">
        <v>0</v>
      </c>
    </row>
    <row r="70" spans="1:4" ht="15.75" thickBot="1" x14ac:dyDescent="0.3">
      <c r="A70" s="38" t="s">
        <v>85</v>
      </c>
      <c r="B70" s="25" t="s">
        <v>86</v>
      </c>
      <c r="C70" s="25" t="s">
        <v>13</v>
      </c>
      <c r="D70" s="39">
        <v>0</v>
      </c>
    </row>
    <row r="71" spans="1:4" ht="15.75" thickBot="1" x14ac:dyDescent="0.3">
      <c r="A71" s="38" t="s">
        <v>87</v>
      </c>
      <c r="B71" s="29" t="s">
        <v>88</v>
      </c>
      <c r="C71" s="25" t="s">
        <v>13</v>
      </c>
      <c r="D71" s="39">
        <f>D73+D72</f>
        <v>228732.41</v>
      </c>
    </row>
    <row r="72" spans="1:4" ht="15.75" thickBot="1" x14ac:dyDescent="0.3">
      <c r="A72" s="38" t="s">
        <v>89</v>
      </c>
      <c r="B72" s="25" t="s">
        <v>84</v>
      </c>
      <c r="C72" s="25" t="s">
        <v>13</v>
      </c>
      <c r="D72" s="39">
        <f>-(11.89+49.63+20.53+10.33)</f>
        <v>-92.38000000000001</v>
      </c>
    </row>
    <row r="73" spans="1:4" ht="15.75" thickBot="1" x14ac:dyDescent="0.3">
      <c r="A73" s="38" t="s">
        <v>90</v>
      </c>
      <c r="B73" s="25" t="s">
        <v>86</v>
      </c>
      <c r="C73" s="25" t="s">
        <v>13</v>
      </c>
      <c r="D73" s="39">
        <f>186270.66+5410.67+25183.05+9749.08+280.41+1930.92</f>
        <v>228824.79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91</v>
      </c>
      <c r="B75" s="2"/>
      <c r="C75" s="2"/>
      <c r="D75" s="2"/>
    </row>
    <row r="76" spans="1:4" ht="15.75" thickBot="1" x14ac:dyDescent="0.3">
      <c r="A76" s="40" t="s">
        <v>92</v>
      </c>
      <c r="B76" s="41" t="s">
        <v>93</v>
      </c>
      <c r="C76" s="42" t="s">
        <v>47</v>
      </c>
      <c r="D76" s="41" t="s">
        <v>94</v>
      </c>
    </row>
    <row r="77" spans="1:4" ht="15.75" thickBot="1" x14ac:dyDescent="0.3">
      <c r="A77" s="24"/>
      <c r="B77" s="29" t="s">
        <v>95</v>
      </c>
      <c r="C77" s="25" t="s">
        <v>47</v>
      </c>
      <c r="D77" s="29" t="s">
        <v>96</v>
      </c>
    </row>
    <row r="78" spans="1:4" ht="15.75" thickBot="1" x14ac:dyDescent="0.3">
      <c r="A78" s="24"/>
      <c r="B78" s="29" t="s">
        <v>97</v>
      </c>
      <c r="C78" s="25" t="s">
        <v>96</v>
      </c>
      <c r="D78" s="39">
        <v>232.33770000000001</v>
      </c>
    </row>
    <row r="79" spans="1:4" ht="15.75" thickBot="1" x14ac:dyDescent="0.3">
      <c r="A79" s="24"/>
      <c r="B79" s="29" t="s">
        <v>98</v>
      </c>
      <c r="C79" s="25" t="s">
        <v>13</v>
      </c>
      <c r="D79" s="39">
        <f>241919.24-3316.51</f>
        <v>238602.72999999998</v>
      </c>
    </row>
    <row r="80" spans="1:4" ht="15.75" thickBot="1" x14ac:dyDescent="0.3">
      <c r="A80" s="24"/>
      <c r="B80" s="25" t="s">
        <v>99</v>
      </c>
      <c r="C80" s="25" t="s">
        <v>13</v>
      </c>
      <c r="D80" s="43">
        <v>52332.07</v>
      </c>
    </row>
    <row r="81" spans="1:4" ht="15.75" thickBot="1" x14ac:dyDescent="0.3">
      <c r="A81" s="24"/>
      <c r="B81" s="25" t="s">
        <v>100</v>
      </c>
      <c r="C81" s="25" t="s">
        <v>13</v>
      </c>
      <c r="D81" s="43">
        <f>D79-D80</f>
        <v>186270.65999999997</v>
      </c>
    </row>
    <row r="82" spans="1:4" ht="15.75" thickBot="1" x14ac:dyDescent="0.3">
      <c r="A82" s="24"/>
      <c r="B82" s="25" t="s">
        <v>101</v>
      </c>
      <c r="C82" s="25" t="s">
        <v>13</v>
      </c>
      <c r="D82" s="43">
        <v>0</v>
      </c>
    </row>
    <row r="83" spans="1:4" ht="15.75" thickBot="1" x14ac:dyDescent="0.3">
      <c r="A83" s="24"/>
      <c r="B83" s="25" t="s">
        <v>102</v>
      </c>
      <c r="C83" s="25" t="s">
        <v>13</v>
      </c>
      <c r="D83" s="43">
        <f>D80</f>
        <v>52332.07</v>
      </c>
    </row>
    <row r="84" spans="1:4" ht="15.75" thickBot="1" x14ac:dyDescent="0.3">
      <c r="A84" s="24"/>
      <c r="B84" s="25" t="s">
        <v>103</v>
      </c>
      <c r="C84" s="25" t="s">
        <v>13</v>
      </c>
      <c r="D84" s="43">
        <f>D81</f>
        <v>186270.65999999997</v>
      </c>
    </row>
    <row r="85" spans="1:4" ht="15.75" thickBot="1" x14ac:dyDescent="0.3">
      <c r="A85" s="24"/>
      <c r="B85" s="29" t="s">
        <v>104</v>
      </c>
      <c r="C85" s="25" t="s">
        <v>13</v>
      </c>
      <c r="D85" s="39">
        <v>0</v>
      </c>
    </row>
    <row r="86" spans="1:4" ht="15.75" thickBot="1" x14ac:dyDescent="0.3">
      <c r="A86" s="40" t="s">
        <v>105</v>
      </c>
      <c r="B86" s="41" t="s">
        <v>93</v>
      </c>
      <c r="C86" s="42" t="s">
        <v>47</v>
      </c>
      <c r="D86" s="41" t="s">
        <v>106</v>
      </c>
    </row>
    <row r="87" spans="1:4" ht="15.75" thickBot="1" x14ac:dyDescent="0.3">
      <c r="A87" s="24"/>
      <c r="B87" s="29" t="s">
        <v>95</v>
      </c>
      <c r="C87" s="25" t="s">
        <v>47</v>
      </c>
      <c r="D87" s="29" t="s">
        <v>107</v>
      </c>
    </row>
    <row r="88" spans="1:4" ht="15.75" thickBot="1" x14ac:dyDescent="0.3">
      <c r="A88" s="24"/>
      <c r="B88" s="29" t="s">
        <v>97</v>
      </c>
      <c r="C88" s="25" t="s">
        <v>107</v>
      </c>
      <c r="D88" s="44">
        <v>748.63419999999996</v>
      </c>
    </row>
    <row r="89" spans="1:4" ht="15.75" thickBot="1" x14ac:dyDescent="0.3">
      <c r="A89" s="24"/>
      <c r="B89" s="29" t="s">
        <v>98</v>
      </c>
      <c r="C89" s="25" t="s">
        <v>13</v>
      </c>
      <c r="D89" s="44">
        <f>389.17-7.02+7913.16-250.61</f>
        <v>8044.7</v>
      </c>
    </row>
    <row r="90" spans="1:4" ht="15.75" thickBot="1" x14ac:dyDescent="0.3">
      <c r="A90" s="24"/>
      <c r="B90" s="25" t="s">
        <v>99</v>
      </c>
      <c r="C90" s="25" t="s">
        <v>13</v>
      </c>
      <c r="D90" s="45">
        <f>112.07+2263.77</f>
        <v>2375.84</v>
      </c>
    </row>
    <row r="91" spans="1:4" ht="15.75" thickBot="1" x14ac:dyDescent="0.3">
      <c r="A91" s="24"/>
      <c r="B91" s="25" t="s">
        <v>100</v>
      </c>
      <c r="C91" s="25" t="s">
        <v>13</v>
      </c>
      <c r="D91" s="45">
        <f>D89-D90</f>
        <v>5668.86</v>
      </c>
    </row>
    <row r="92" spans="1:4" ht="15.75" thickBot="1" x14ac:dyDescent="0.3">
      <c r="A92" s="24"/>
      <c r="B92" s="25" t="s">
        <v>101</v>
      </c>
      <c r="C92" s="25" t="s">
        <v>13</v>
      </c>
      <c r="D92" s="45">
        <v>0</v>
      </c>
    </row>
    <row r="93" spans="1:4" ht="15.75" thickBot="1" x14ac:dyDescent="0.3">
      <c r="A93" s="24"/>
      <c r="B93" s="25" t="s">
        <v>102</v>
      </c>
      <c r="C93" s="25" t="s">
        <v>13</v>
      </c>
      <c r="D93" s="45">
        <f>D90</f>
        <v>2375.84</v>
      </c>
    </row>
    <row r="94" spans="1:4" ht="15.75" thickBot="1" x14ac:dyDescent="0.3">
      <c r="A94" s="24"/>
      <c r="B94" s="25" t="s">
        <v>103</v>
      </c>
      <c r="C94" s="25" t="s">
        <v>13</v>
      </c>
      <c r="D94" s="45">
        <f>D91</f>
        <v>5668.86</v>
      </c>
    </row>
    <row r="95" spans="1:4" ht="15.75" thickBot="1" x14ac:dyDescent="0.3">
      <c r="A95" s="24"/>
      <c r="B95" s="29" t="s">
        <v>104</v>
      </c>
      <c r="C95" s="25" t="s">
        <v>13</v>
      </c>
      <c r="D95" s="44">
        <v>0</v>
      </c>
    </row>
    <row r="96" spans="1:4" ht="15.75" thickBot="1" x14ac:dyDescent="0.3">
      <c r="A96" s="40" t="s">
        <v>108</v>
      </c>
      <c r="B96" s="41" t="s">
        <v>93</v>
      </c>
      <c r="C96" s="42" t="s">
        <v>47</v>
      </c>
      <c r="D96" s="41" t="s">
        <v>109</v>
      </c>
    </row>
    <row r="97" spans="1:4" ht="15.75" thickBot="1" x14ac:dyDescent="0.3">
      <c r="A97" s="24"/>
      <c r="B97" s="29" t="s">
        <v>95</v>
      </c>
      <c r="C97" s="25" t="s">
        <v>47</v>
      </c>
      <c r="D97" s="29" t="s">
        <v>107</v>
      </c>
    </row>
    <row r="98" spans="1:4" ht="15.75" thickBot="1" x14ac:dyDescent="0.3">
      <c r="A98" s="24"/>
      <c r="B98" s="29" t="s">
        <v>97</v>
      </c>
      <c r="C98" s="25" t="s">
        <v>107</v>
      </c>
      <c r="D98" s="44">
        <v>557.95650000000001</v>
      </c>
    </row>
    <row r="99" spans="1:4" ht="15.75" thickBot="1" x14ac:dyDescent="0.3">
      <c r="A99" s="24"/>
      <c r="B99" s="29" t="s">
        <v>98</v>
      </c>
      <c r="C99" s="25" t="s">
        <v>13</v>
      </c>
      <c r="D99" s="44">
        <f>40217.21-1078+2655.17-47.9</f>
        <v>41746.479999999996</v>
      </c>
    </row>
    <row r="100" spans="1:4" ht="15.75" thickBot="1" x14ac:dyDescent="0.3">
      <c r="A100" s="24"/>
      <c r="B100" s="25" t="s">
        <v>99</v>
      </c>
      <c r="C100" s="25" t="s">
        <v>13</v>
      </c>
      <c r="D100" s="45">
        <f>14005.79+676.35</f>
        <v>14682.140000000001</v>
      </c>
    </row>
    <row r="101" spans="1:4" ht="15.75" thickBot="1" x14ac:dyDescent="0.3">
      <c r="A101" s="24"/>
      <c r="B101" s="25" t="s">
        <v>100</v>
      </c>
      <c r="C101" s="25" t="s">
        <v>13</v>
      </c>
      <c r="D101" s="45">
        <f>D99-D100</f>
        <v>27064.339999999997</v>
      </c>
    </row>
    <row r="102" spans="1:4" ht="15.75" thickBot="1" x14ac:dyDescent="0.3">
      <c r="A102" s="24"/>
      <c r="B102" s="25" t="s">
        <v>101</v>
      </c>
      <c r="C102" s="25" t="s">
        <v>13</v>
      </c>
      <c r="D102" s="45">
        <v>0</v>
      </c>
    </row>
    <row r="103" spans="1:4" ht="15.75" thickBot="1" x14ac:dyDescent="0.3">
      <c r="A103" s="24"/>
      <c r="B103" s="25" t="s">
        <v>102</v>
      </c>
      <c r="C103" s="25" t="s">
        <v>13</v>
      </c>
      <c r="D103" s="45">
        <f>D100</f>
        <v>14682.140000000001</v>
      </c>
    </row>
    <row r="104" spans="1:4" ht="15.75" thickBot="1" x14ac:dyDescent="0.3">
      <c r="A104" s="24"/>
      <c r="B104" s="25" t="s">
        <v>103</v>
      </c>
      <c r="C104" s="25" t="s">
        <v>13</v>
      </c>
      <c r="D104" s="45">
        <f>D101</f>
        <v>27064.339999999997</v>
      </c>
    </row>
    <row r="105" spans="1:4" ht="15.75" thickBot="1" x14ac:dyDescent="0.3">
      <c r="A105" s="24"/>
      <c r="B105" s="29" t="s">
        <v>104</v>
      </c>
      <c r="C105" s="25" t="s">
        <v>13</v>
      </c>
      <c r="D105" s="44">
        <v>0</v>
      </c>
    </row>
    <row r="106" spans="1:4" ht="15.75" thickBot="1" x14ac:dyDescent="0.3">
      <c r="A106" s="40" t="s">
        <v>110</v>
      </c>
      <c r="B106" s="41" t="s">
        <v>93</v>
      </c>
      <c r="C106" s="42" t="s">
        <v>47</v>
      </c>
      <c r="D106" s="41" t="s">
        <v>111</v>
      </c>
    </row>
    <row r="107" spans="1:4" ht="15.75" thickBot="1" x14ac:dyDescent="0.3">
      <c r="A107" s="24"/>
      <c r="B107" s="29" t="s">
        <v>95</v>
      </c>
      <c r="C107" s="25" t="s">
        <v>47</v>
      </c>
      <c r="D107" s="29" t="s">
        <v>107</v>
      </c>
    </row>
    <row r="108" spans="1:4" ht="15.75" thickBot="1" x14ac:dyDescent="0.3">
      <c r="A108" s="24"/>
      <c r="B108" s="29" t="s">
        <v>97</v>
      </c>
      <c r="C108" s="25" t="s">
        <v>107</v>
      </c>
      <c r="D108" s="39">
        <v>1306.5907</v>
      </c>
    </row>
    <row r="109" spans="1:4" ht="15.75" thickBot="1" x14ac:dyDescent="0.3">
      <c r="A109" s="24"/>
      <c r="B109" s="29" t="s">
        <v>98</v>
      </c>
      <c r="C109" s="25" t="s">
        <v>13</v>
      </c>
      <c r="D109" s="39">
        <f>14790.35-438.07</f>
        <v>14352.28</v>
      </c>
    </row>
    <row r="110" spans="1:4" ht="15.75" thickBot="1" x14ac:dyDescent="0.3">
      <c r="A110" s="24"/>
      <c r="B110" s="25" t="s">
        <v>99</v>
      </c>
      <c r="C110" s="25" t="s">
        <v>13</v>
      </c>
      <c r="D110" s="43">
        <v>4623.7299999999996</v>
      </c>
    </row>
    <row r="111" spans="1:4" ht="15.75" thickBot="1" x14ac:dyDescent="0.3">
      <c r="A111" s="24"/>
      <c r="B111" s="25" t="s">
        <v>100</v>
      </c>
      <c r="C111" s="25" t="s">
        <v>13</v>
      </c>
      <c r="D111" s="43">
        <f>D109-D110</f>
        <v>9728.5500000000011</v>
      </c>
    </row>
    <row r="112" spans="1:4" ht="15.75" thickBot="1" x14ac:dyDescent="0.3">
      <c r="A112" s="24"/>
      <c r="B112" s="25" t="s">
        <v>101</v>
      </c>
      <c r="C112" s="25" t="s">
        <v>13</v>
      </c>
      <c r="D112" s="43">
        <v>0</v>
      </c>
    </row>
    <row r="113" spans="1:4" ht="15.75" thickBot="1" x14ac:dyDescent="0.3">
      <c r="A113" s="24"/>
      <c r="B113" s="25" t="s">
        <v>102</v>
      </c>
      <c r="C113" s="25" t="s">
        <v>13</v>
      </c>
      <c r="D113" s="43">
        <f>D110</f>
        <v>4623.7299999999996</v>
      </c>
    </row>
    <row r="114" spans="1:4" ht="15.75" thickBot="1" x14ac:dyDescent="0.3">
      <c r="A114" s="24"/>
      <c r="B114" s="25" t="s">
        <v>103</v>
      </c>
      <c r="C114" s="25" t="s">
        <v>13</v>
      </c>
      <c r="D114" s="43">
        <f>D111</f>
        <v>9728.5500000000011</v>
      </c>
    </row>
    <row r="115" spans="1:4" ht="15.75" thickBot="1" x14ac:dyDescent="0.3">
      <c r="A115" s="24"/>
      <c r="B115" s="29" t="s">
        <v>104</v>
      </c>
      <c r="C115" s="25" t="s">
        <v>13</v>
      </c>
      <c r="D115" s="39">
        <v>0</v>
      </c>
    </row>
    <row r="116" spans="1:4" x14ac:dyDescent="0.25">
      <c r="A116" s="46"/>
      <c r="B116" s="47"/>
      <c r="C116" s="48"/>
      <c r="D116" s="49"/>
    </row>
    <row r="117" spans="1:4" ht="15.75" thickBot="1" x14ac:dyDescent="0.3">
      <c r="A117" s="8" t="s">
        <v>112</v>
      </c>
      <c r="B117" s="2"/>
      <c r="C117" s="2"/>
      <c r="D117" s="2"/>
    </row>
    <row r="118" spans="1:4" ht="15.75" thickBot="1" x14ac:dyDescent="0.3">
      <c r="A118" s="22" t="s">
        <v>113</v>
      </c>
      <c r="B118" s="33" t="s">
        <v>73</v>
      </c>
      <c r="C118" s="32" t="s">
        <v>114</v>
      </c>
      <c r="D118" s="33">
        <v>0</v>
      </c>
    </row>
    <row r="119" spans="1:4" ht="15.75" thickBot="1" x14ac:dyDescent="0.3">
      <c r="A119" s="24" t="s">
        <v>115</v>
      </c>
      <c r="B119" s="29" t="s">
        <v>75</v>
      </c>
      <c r="C119" s="25" t="s">
        <v>114</v>
      </c>
      <c r="D119" s="29">
        <v>0</v>
      </c>
    </row>
    <row r="120" spans="1:4" ht="15.75" thickBot="1" x14ac:dyDescent="0.3">
      <c r="A120" s="24" t="s">
        <v>116</v>
      </c>
      <c r="B120" s="29" t="s">
        <v>77</v>
      </c>
      <c r="C120" s="25" t="s">
        <v>114</v>
      </c>
      <c r="D120" s="29">
        <v>0</v>
      </c>
    </row>
    <row r="121" spans="1:4" ht="15.75" thickBot="1" x14ac:dyDescent="0.3">
      <c r="A121" s="24" t="s">
        <v>117</v>
      </c>
      <c r="B121" s="29" t="s">
        <v>79</v>
      </c>
      <c r="C121" s="25" t="s">
        <v>13</v>
      </c>
      <c r="D121" s="39">
        <v>0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118</v>
      </c>
      <c r="B123" s="2"/>
      <c r="C123" s="2"/>
      <c r="D123" s="2"/>
    </row>
    <row r="124" spans="1:4" ht="15.75" thickBot="1" x14ac:dyDescent="0.3">
      <c r="A124" s="34">
        <v>48</v>
      </c>
      <c r="B124" s="33" t="s">
        <v>119</v>
      </c>
      <c r="C124" s="32" t="s">
        <v>114</v>
      </c>
      <c r="D124" s="33">
        <v>0</v>
      </c>
    </row>
    <row r="125" spans="1:4" ht="15.75" thickBot="1" x14ac:dyDescent="0.3">
      <c r="A125" s="50">
        <v>49</v>
      </c>
      <c r="B125" s="29" t="s">
        <v>120</v>
      </c>
      <c r="C125" s="25" t="s">
        <v>114</v>
      </c>
      <c r="D125" s="29">
        <v>0</v>
      </c>
    </row>
    <row r="126" spans="1:4" ht="15.75" thickBot="1" x14ac:dyDescent="0.3">
      <c r="A126" s="51">
        <v>50</v>
      </c>
      <c r="B126" s="52" t="s">
        <v>121</v>
      </c>
      <c r="C126" s="53" t="s">
        <v>13</v>
      </c>
      <c r="D126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2"/>
  <sheetViews>
    <sheetView topLeftCell="A60" workbookViewId="0">
      <selection activeCell="D68" sqref="D68"/>
    </sheetView>
  </sheetViews>
  <sheetFormatPr defaultRowHeight="15" x14ac:dyDescent="0.25"/>
  <cols>
    <col min="2" max="2" width="67.85546875" customWidth="1"/>
    <col min="3" max="3" width="15.5703125" customWidth="1"/>
    <col min="4" max="4" width="57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198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199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272117.31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272117.31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995668.06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712305.93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271962.13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972785.94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693035.99+267599.95</f>
        <v>960635.94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12150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D20-D15</f>
        <v>700668.62999999989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324129.88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324129.88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200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201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197</v>
      </c>
    </row>
    <row r="56" spans="1:4" x14ac:dyDescent="0.25">
      <c r="A56" s="2"/>
      <c r="B56" s="2"/>
      <c r="C56" s="2"/>
      <c r="D56" s="2"/>
    </row>
    <row r="57" spans="1:4" ht="15.75" thickBot="1" x14ac:dyDescent="0.3">
      <c r="A57" s="8" t="s">
        <v>71</v>
      </c>
      <c r="B57" s="2"/>
      <c r="C57" s="2"/>
      <c r="D57" s="2"/>
    </row>
    <row r="58" spans="1:4" ht="15.75" thickBot="1" x14ac:dyDescent="0.3">
      <c r="A58" s="22" t="s">
        <v>72</v>
      </c>
      <c r="B58" s="32" t="s">
        <v>73</v>
      </c>
      <c r="C58" s="32" t="s">
        <v>47</v>
      </c>
      <c r="D58" s="33">
        <v>0</v>
      </c>
    </row>
    <row r="59" spans="1:4" ht="15.75" thickBot="1" x14ac:dyDescent="0.3">
      <c r="A59" s="24" t="s">
        <v>74</v>
      </c>
      <c r="B59" s="25" t="s">
        <v>75</v>
      </c>
      <c r="C59" s="25" t="s">
        <v>47</v>
      </c>
      <c r="D59" s="29">
        <v>0</v>
      </c>
    </row>
    <row r="60" spans="1:4" ht="15.75" thickBot="1" x14ac:dyDescent="0.3">
      <c r="A60" s="24" t="s">
        <v>76</v>
      </c>
      <c r="B60" s="25" t="s">
        <v>77</v>
      </c>
      <c r="C60" s="25" t="s">
        <v>47</v>
      </c>
      <c r="D60" s="29">
        <v>0</v>
      </c>
    </row>
    <row r="61" spans="1:4" ht="15.75" thickBot="1" x14ac:dyDescent="0.3">
      <c r="A61" s="22" t="s">
        <v>78</v>
      </c>
      <c r="B61" s="34" t="s">
        <v>79</v>
      </c>
      <c r="C61" s="34" t="s">
        <v>13</v>
      </c>
      <c r="D61" s="35">
        <v>0</v>
      </c>
    </row>
    <row r="62" spans="1:4" x14ac:dyDescent="0.25">
      <c r="A62" s="2"/>
      <c r="B62" s="2"/>
      <c r="C62" s="2"/>
      <c r="D62" s="2"/>
    </row>
    <row r="63" spans="1:4" ht="15.75" thickBot="1" x14ac:dyDescent="0.3">
      <c r="A63" s="8" t="s">
        <v>80</v>
      </c>
      <c r="B63" s="2"/>
      <c r="C63" s="2"/>
      <c r="D63" s="2"/>
    </row>
    <row r="64" spans="1:4" ht="15.75" thickBot="1" x14ac:dyDescent="0.3">
      <c r="A64" s="36" t="s">
        <v>81</v>
      </c>
      <c r="B64" s="33" t="s">
        <v>82</v>
      </c>
      <c r="C64" s="32" t="s">
        <v>13</v>
      </c>
      <c r="D64" s="37">
        <f>D66+D65</f>
        <v>65504.309999999983</v>
      </c>
    </row>
    <row r="65" spans="1:4" ht="15.75" thickBot="1" x14ac:dyDescent="0.3">
      <c r="A65" s="38" t="s">
        <v>83</v>
      </c>
      <c r="B65" s="25" t="s">
        <v>84</v>
      </c>
      <c r="C65" s="25" t="s">
        <v>13</v>
      </c>
      <c r="D65" s="39">
        <f>-(61131.83+6471.35+7378.8+3145.61+387.97+383.56)</f>
        <v>-78899.12000000001</v>
      </c>
    </row>
    <row r="66" spans="1:4" ht="15.75" thickBot="1" x14ac:dyDescent="0.3">
      <c r="A66" s="38" t="s">
        <v>85</v>
      </c>
      <c r="B66" s="25" t="s">
        <v>86</v>
      </c>
      <c r="C66" s="25" t="s">
        <v>13</v>
      </c>
      <c r="D66" s="39">
        <f>27701.86+12819.71+74713.25+27349.01+238.77+1580.83</f>
        <v>144403.43</v>
      </c>
    </row>
    <row r="67" spans="1:4" ht="15.75" thickBot="1" x14ac:dyDescent="0.3">
      <c r="A67" s="38" t="s">
        <v>87</v>
      </c>
      <c r="B67" s="29" t="s">
        <v>88</v>
      </c>
      <c r="C67" s="25" t="s">
        <v>13</v>
      </c>
      <c r="D67" s="39">
        <f>D69+D68</f>
        <v>193950.94999999998</v>
      </c>
    </row>
    <row r="68" spans="1:4" ht="15.75" thickBot="1" x14ac:dyDescent="0.3">
      <c r="A68" s="38" t="s">
        <v>89</v>
      </c>
      <c r="B68" s="25" t="s">
        <v>84</v>
      </c>
      <c r="C68" s="25" t="s">
        <v>13</v>
      </c>
      <c r="D68" s="39">
        <f>-(1381.01+4515.66+3953.64+1652.7+4181.49+2827.82)</f>
        <v>-18512.32</v>
      </c>
    </row>
    <row r="69" spans="1:4" ht="15.75" thickBot="1" x14ac:dyDescent="0.3">
      <c r="A69" s="38" t="s">
        <v>90</v>
      </c>
      <c r="B69" s="25" t="s">
        <v>86</v>
      </c>
      <c r="C69" s="25" t="s">
        <v>13</v>
      </c>
      <c r="D69" s="39">
        <f>110212.5+13728+62050.97+24774.71+228.26+1468.83</f>
        <v>212463.27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91</v>
      </c>
      <c r="B71" s="2"/>
      <c r="C71" s="2"/>
      <c r="D71" s="2"/>
    </row>
    <row r="72" spans="1:4" ht="15.75" thickBot="1" x14ac:dyDescent="0.3">
      <c r="A72" s="40" t="s">
        <v>92</v>
      </c>
      <c r="B72" s="41" t="s">
        <v>93</v>
      </c>
      <c r="C72" s="42" t="s">
        <v>47</v>
      </c>
      <c r="D72" s="41" t="s">
        <v>94</v>
      </c>
    </row>
    <row r="73" spans="1:4" ht="15.75" thickBot="1" x14ac:dyDescent="0.3">
      <c r="A73" s="24"/>
      <c r="B73" s="29" t="s">
        <v>95</v>
      </c>
      <c r="C73" s="25" t="s">
        <v>47</v>
      </c>
      <c r="D73" s="29" t="s">
        <v>96</v>
      </c>
    </row>
    <row r="74" spans="1:4" ht="15.75" thickBot="1" x14ac:dyDescent="0.3">
      <c r="A74" s="24"/>
      <c r="B74" s="29" t="s">
        <v>97</v>
      </c>
      <c r="C74" s="25" t="s">
        <v>96</v>
      </c>
      <c r="D74" s="39">
        <v>820.77589999999998</v>
      </c>
    </row>
    <row r="75" spans="1:4" ht="15.75" thickBot="1" x14ac:dyDescent="0.3">
      <c r="A75" s="24"/>
      <c r="B75" s="29" t="s">
        <v>98</v>
      </c>
      <c r="C75" s="25" t="s">
        <v>13</v>
      </c>
      <c r="D75" s="39">
        <f>819691.21+4860.09</f>
        <v>824551.29999999993</v>
      </c>
    </row>
    <row r="76" spans="1:4" ht="15.75" thickBot="1" x14ac:dyDescent="0.3">
      <c r="A76" s="24"/>
      <c r="B76" s="25" t="s">
        <v>99</v>
      </c>
      <c r="C76" s="25" t="s">
        <v>13</v>
      </c>
      <c r="D76" s="43">
        <v>682289.84</v>
      </c>
    </row>
    <row r="77" spans="1:4" ht="15.75" thickBot="1" x14ac:dyDescent="0.3">
      <c r="A77" s="24"/>
      <c r="B77" s="25" t="s">
        <v>100</v>
      </c>
      <c r="C77" s="25" t="s">
        <v>13</v>
      </c>
      <c r="D77" s="43">
        <f>D75-D76</f>
        <v>142261.45999999996</v>
      </c>
    </row>
    <row r="78" spans="1:4" ht="15.75" thickBot="1" x14ac:dyDescent="0.3">
      <c r="A78" s="24"/>
      <c r="B78" s="25" t="s">
        <v>101</v>
      </c>
      <c r="C78" s="25" t="s">
        <v>13</v>
      </c>
      <c r="D78" s="43">
        <v>826284.74</v>
      </c>
    </row>
    <row r="79" spans="1:4" ht="15.75" thickBot="1" x14ac:dyDescent="0.3">
      <c r="A79" s="24"/>
      <c r="B79" s="25" t="s">
        <v>102</v>
      </c>
      <c r="C79" s="25" t="s">
        <v>13</v>
      </c>
      <c r="D79" s="43">
        <f>D76</f>
        <v>682289.84</v>
      </c>
    </row>
    <row r="80" spans="1:4" ht="15.75" thickBot="1" x14ac:dyDescent="0.3">
      <c r="A80" s="24"/>
      <c r="B80" s="25" t="s">
        <v>103</v>
      </c>
      <c r="C80" s="25" t="s">
        <v>13</v>
      </c>
      <c r="D80" s="43">
        <f>D77</f>
        <v>142261.45999999996</v>
      </c>
    </row>
    <row r="81" spans="1:4" ht="15.75" thickBot="1" x14ac:dyDescent="0.3">
      <c r="A81" s="24"/>
      <c r="B81" s="29" t="s">
        <v>104</v>
      </c>
      <c r="C81" s="25" t="s">
        <v>13</v>
      </c>
      <c r="D81" s="39">
        <v>0</v>
      </c>
    </row>
    <row r="82" spans="1:4" ht="15.75" thickBot="1" x14ac:dyDescent="0.3">
      <c r="A82" s="40" t="s">
        <v>105</v>
      </c>
      <c r="B82" s="41" t="s">
        <v>93</v>
      </c>
      <c r="C82" s="42" t="s">
        <v>47</v>
      </c>
      <c r="D82" s="41" t="s">
        <v>106</v>
      </c>
    </row>
    <row r="83" spans="1:4" ht="15.75" thickBot="1" x14ac:dyDescent="0.3">
      <c r="A83" s="24"/>
      <c r="B83" s="29" t="s">
        <v>95</v>
      </c>
      <c r="C83" s="25" t="s">
        <v>47</v>
      </c>
      <c r="D83" s="29" t="s">
        <v>107</v>
      </c>
    </row>
    <row r="84" spans="1:4" ht="15.75" thickBot="1" x14ac:dyDescent="0.3">
      <c r="A84" s="24"/>
      <c r="B84" s="29" t="s">
        <v>97</v>
      </c>
      <c r="C84" s="25" t="s">
        <v>107</v>
      </c>
      <c r="D84" s="44">
        <v>9733.1455000000005</v>
      </c>
    </row>
    <row r="85" spans="1:4" ht="15.75" thickBot="1" x14ac:dyDescent="0.3">
      <c r="A85" s="24"/>
      <c r="B85" s="29" t="s">
        <v>98</v>
      </c>
      <c r="C85" s="25" t="s">
        <v>13</v>
      </c>
      <c r="D85" s="44">
        <f>1652.48+4306.2+99357.79+647.93</f>
        <v>105964.4</v>
      </c>
    </row>
    <row r="86" spans="1:4" ht="15.75" thickBot="1" x14ac:dyDescent="0.3">
      <c r="A86" s="24"/>
      <c r="B86" s="25" t="s">
        <v>99</v>
      </c>
      <c r="C86" s="25" t="s">
        <v>13</v>
      </c>
      <c r="D86" s="45">
        <f>9762.71+97141.74</f>
        <v>106904.45000000001</v>
      </c>
    </row>
    <row r="87" spans="1:4" ht="15.75" thickBot="1" x14ac:dyDescent="0.3">
      <c r="A87" s="24"/>
      <c r="B87" s="25" t="s">
        <v>100</v>
      </c>
      <c r="C87" s="25" t="s">
        <v>13</v>
      </c>
      <c r="D87" s="45">
        <v>0</v>
      </c>
    </row>
    <row r="88" spans="1:4" ht="15.75" thickBot="1" x14ac:dyDescent="0.3">
      <c r="A88" s="24"/>
      <c r="B88" s="25" t="s">
        <v>101</v>
      </c>
      <c r="C88" s="25" t="s">
        <v>13</v>
      </c>
      <c r="D88" s="45">
        <v>116168.47</v>
      </c>
    </row>
    <row r="89" spans="1:4" ht="15.75" thickBot="1" x14ac:dyDescent="0.3">
      <c r="A89" s="24"/>
      <c r="B89" s="25" t="s">
        <v>102</v>
      </c>
      <c r="C89" s="25" t="s">
        <v>13</v>
      </c>
      <c r="D89" s="45">
        <f>D86</f>
        <v>106904.45000000001</v>
      </c>
    </row>
    <row r="90" spans="1:4" ht="15.75" thickBot="1" x14ac:dyDescent="0.3">
      <c r="A90" s="24"/>
      <c r="B90" s="25" t="s">
        <v>103</v>
      </c>
      <c r="C90" s="25" t="s">
        <v>13</v>
      </c>
      <c r="D90" s="45">
        <v>0</v>
      </c>
    </row>
    <row r="91" spans="1:4" ht="15.75" thickBot="1" x14ac:dyDescent="0.3">
      <c r="A91" s="24"/>
      <c r="B91" s="29" t="s">
        <v>104</v>
      </c>
      <c r="C91" s="25" t="s">
        <v>13</v>
      </c>
      <c r="D91" s="44">
        <v>0</v>
      </c>
    </row>
    <row r="92" spans="1:4" ht="15.75" thickBot="1" x14ac:dyDescent="0.3">
      <c r="A92" s="40" t="s">
        <v>108</v>
      </c>
      <c r="B92" s="41" t="s">
        <v>93</v>
      </c>
      <c r="C92" s="42" t="s">
        <v>47</v>
      </c>
      <c r="D92" s="41" t="s">
        <v>109</v>
      </c>
    </row>
    <row r="93" spans="1:4" ht="15.75" thickBot="1" x14ac:dyDescent="0.3">
      <c r="A93" s="24"/>
      <c r="B93" s="29" t="s">
        <v>95</v>
      </c>
      <c r="C93" s="25" t="s">
        <v>47</v>
      </c>
      <c r="D93" s="29" t="s">
        <v>107</v>
      </c>
    </row>
    <row r="94" spans="1:4" ht="15.75" thickBot="1" x14ac:dyDescent="0.3">
      <c r="A94" s="24"/>
      <c r="B94" s="29" t="s">
        <v>97</v>
      </c>
      <c r="C94" s="25" t="s">
        <v>107</v>
      </c>
      <c r="D94" s="44">
        <v>6308.4705999999996</v>
      </c>
    </row>
    <row r="95" spans="1:4" ht="15.75" thickBot="1" x14ac:dyDescent="0.3">
      <c r="A95" s="24"/>
      <c r="B95" s="29" t="s">
        <v>98</v>
      </c>
      <c r="C95" s="25" t="s">
        <v>13</v>
      </c>
      <c r="D95" s="44">
        <f>442723.95+3205.3+10533.02+4528.04</f>
        <v>460990.31</v>
      </c>
    </row>
    <row r="96" spans="1:4" ht="15.75" thickBot="1" x14ac:dyDescent="0.3">
      <c r="A96" s="24"/>
      <c r="B96" s="25" t="s">
        <v>99</v>
      </c>
      <c r="C96" s="25" t="s">
        <v>13</v>
      </c>
      <c r="D96" s="45">
        <f>455166.37+17617.32</f>
        <v>472783.69</v>
      </c>
    </row>
    <row r="97" spans="1:4" ht="15.75" thickBot="1" x14ac:dyDescent="0.3">
      <c r="A97" s="24"/>
      <c r="B97" s="25" t="s">
        <v>100</v>
      </c>
      <c r="C97" s="25" t="s">
        <v>13</v>
      </c>
      <c r="D97" s="45">
        <v>0</v>
      </c>
    </row>
    <row r="98" spans="1:4" ht="15.75" thickBot="1" x14ac:dyDescent="0.3">
      <c r="A98" s="24"/>
      <c r="B98" s="25" t="s">
        <v>101</v>
      </c>
      <c r="C98" s="25" t="s">
        <v>13</v>
      </c>
      <c r="D98" s="45">
        <v>508807.73</v>
      </c>
    </row>
    <row r="99" spans="1:4" ht="15.75" thickBot="1" x14ac:dyDescent="0.3">
      <c r="A99" s="24"/>
      <c r="B99" s="25" t="s">
        <v>102</v>
      </c>
      <c r="C99" s="25" t="s">
        <v>13</v>
      </c>
      <c r="D99" s="45">
        <f>D96</f>
        <v>472783.69</v>
      </c>
    </row>
    <row r="100" spans="1:4" ht="15.75" thickBot="1" x14ac:dyDescent="0.3">
      <c r="A100" s="24"/>
      <c r="B100" s="25" t="s">
        <v>103</v>
      </c>
      <c r="C100" s="25" t="s">
        <v>13</v>
      </c>
      <c r="D100" s="45">
        <v>0</v>
      </c>
    </row>
    <row r="101" spans="1:4" ht="15.75" thickBot="1" x14ac:dyDescent="0.3">
      <c r="A101" s="24"/>
      <c r="B101" s="29" t="s">
        <v>104</v>
      </c>
      <c r="C101" s="25" t="s">
        <v>13</v>
      </c>
      <c r="D101" s="44">
        <v>0</v>
      </c>
    </row>
    <row r="102" spans="1:4" ht="15.75" thickBot="1" x14ac:dyDescent="0.3">
      <c r="A102" s="40" t="s">
        <v>110</v>
      </c>
      <c r="B102" s="41" t="s">
        <v>93</v>
      </c>
      <c r="C102" s="42" t="s">
        <v>47</v>
      </c>
      <c r="D102" s="41" t="s">
        <v>111</v>
      </c>
    </row>
    <row r="103" spans="1:4" ht="15.75" thickBot="1" x14ac:dyDescent="0.3">
      <c r="A103" s="24"/>
      <c r="B103" s="29" t="s">
        <v>95</v>
      </c>
      <c r="C103" s="25" t="s">
        <v>47</v>
      </c>
      <c r="D103" s="29" t="s">
        <v>107</v>
      </c>
    </row>
    <row r="104" spans="1:4" ht="15.75" thickBot="1" x14ac:dyDescent="0.3">
      <c r="A104" s="24"/>
      <c r="B104" s="29" t="s">
        <v>97</v>
      </c>
      <c r="C104" s="25" t="s">
        <v>107</v>
      </c>
      <c r="D104" s="39">
        <v>16041.6077</v>
      </c>
    </row>
    <row r="105" spans="1:4" ht="15.75" thickBot="1" x14ac:dyDescent="0.3">
      <c r="A105" s="24"/>
      <c r="B105" s="29" t="s">
        <v>98</v>
      </c>
      <c r="C105" s="25" t="s">
        <v>13</v>
      </c>
      <c r="D105" s="39">
        <f>170001.63-2907.73</f>
        <v>167093.9</v>
      </c>
    </row>
    <row r="106" spans="1:4" ht="15.75" thickBot="1" x14ac:dyDescent="0.3">
      <c r="A106" s="24"/>
      <c r="B106" s="25" t="s">
        <v>99</v>
      </c>
      <c r="C106" s="25" t="s">
        <v>13</v>
      </c>
      <c r="D106" s="43">
        <v>168175.29</v>
      </c>
    </row>
    <row r="107" spans="1:4" ht="15.75" thickBot="1" x14ac:dyDescent="0.3">
      <c r="A107" s="24"/>
      <c r="B107" s="25" t="s">
        <v>100</v>
      </c>
      <c r="C107" s="25" t="s">
        <v>13</v>
      </c>
      <c r="D107" s="43">
        <v>0</v>
      </c>
    </row>
    <row r="108" spans="1:4" ht="15.75" thickBot="1" x14ac:dyDescent="0.3">
      <c r="A108" s="24"/>
      <c r="B108" s="25" t="s">
        <v>101</v>
      </c>
      <c r="C108" s="25" t="s">
        <v>13</v>
      </c>
      <c r="D108" s="43">
        <v>199480.27</v>
      </c>
    </row>
    <row r="109" spans="1:4" ht="15.75" thickBot="1" x14ac:dyDescent="0.3">
      <c r="A109" s="24"/>
      <c r="B109" s="25" t="s">
        <v>102</v>
      </c>
      <c r="C109" s="25" t="s">
        <v>13</v>
      </c>
      <c r="D109" s="43">
        <f>D106</f>
        <v>168175.29</v>
      </c>
    </row>
    <row r="110" spans="1:4" ht="15.75" thickBot="1" x14ac:dyDescent="0.3">
      <c r="A110" s="24"/>
      <c r="B110" s="25" t="s">
        <v>103</v>
      </c>
      <c r="C110" s="25" t="s">
        <v>13</v>
      </c>
      <c r="D110" s="43">
        <v>0</v>
      </c>
    </row>
    <row r="111" spans="1:4" ht="15.75" thickBot="1" x14ac:dyDescent="0.3">
      <c r="A111" s="24"/>
      <c r="B111" s="29" t="s">
        <v>104</v>
      </c>
      <c r="C111" s="25" t="s">
        <v>13</v>
      </c>
      <c r="D111" s="39">
        <v>0</v>
      </c>
    </row>
    <row r="112" spans="1:4" x14ac:dyDescent="0.25">
      <c r="A112" s="46"/>
      <c r="B112" s="47"/>
      <c r="C112" s="48"/>
      <c r="D112" s="49"/>
    </row>
    <row r="113" spans="1:4" ht="15.75" thickBot="1" x14ac:dyDescent="0.3">
      <c r="A113" s="8" t="s">
        <v>112</v>
      </c>
      <c r="B113" s="2"/>
      <c r="C113" s="2"/>
      <c r="D113" s="2"/>
    </row>
    <row r="114" spans="1:4" ht="15.75" thickBot="1" x14ac:dyDescent="0.3">
      <c r="A114" s="22" t="s">
        <v>113</v>
      </c>
      <c r="B114" s="33" t="s">
        <v>73</v>
      </c>
      <c r="C114" s="32" t="s">
        <v>114</v>
      </c>
      <c r="D114" s="33">
        <v>0</v>
      </c>
    </row>
    <row r="115" spans="1:4" ht="15.75" thickBot="1" x14ac:dyDescent="0.3">
      <c r="A115" s="24" t="s">
        <v>115</v>
      </c>
      <c r="B115" s="29" t="s">
        <v>75</v>
      </c>
      <c r="C115" s="25" t="s">
        <v>114</v>
      </c>
      <c r="D115" s="29">
        <v>0</v>
      </c>
    </row>
    <row r="116" spans="1:4" ht="15.75" thickBot="1" x14ac:dyDescent="0.3">
      <c r="A116" s="24" t="s">
        <v>116</v>
      </c>
      <c r="B116" s="29" t="s">
        <v>77</v>
      </c>
      <c r="C116" s="25" t="s">
        <v>114</v>
      </c>
      <c r="D116" s="29">
        <v>0</v>
      </c>
    </row>
    <row r="117" spans="1:4" ht="15.75" thickBot="1" x14ac:dyDescent="0.3">
      <c r="A117" s="24" t="s">
        <v>117</v>
      </c>
      <c r="B117" s="29" t="s">
        <v>79</v>
      </c>
      <c r="C117" s="25" t="s">
        <v>13</v>
      </c>
      <c r="D117" s="39">
        <v>0</v>
      </c>
    </row>
    <row r="118" spans="1:4" x14ac:dyDescent="0.25">
      <c r="A118" s="2"/>
      <c r="B118" s="2"/>
      <c r="C118" s="2"/>
      <c r="D118" s="2"/>
    </row>
    <row r="119" spans="1:4" ht="15.75" thickBot="1" x14ac:dyDescent="0.3">
      <c r="A119" s="8" t="s">
        <v>118</v>
      </c>
      <c r="B119" s="2"/>
      <c r="C119" s="2"/>
      <c r="D119" s="2"/>
    </row>
    <row r="120" spans="1:4" ht="15.75" thickBot="1" x14ac:dyDescent="0.3">
      <c r="A120" s="34">
        <v>48</v>
      </c>
      <c r="B120" s="33" t="s">
        <v>119</v>
      </c>
      <c r="C120" s="32" t="s">
        <v>114</v>
      </c>
      <c r="D120" s="33">
        <v>0</v>
      </c>
    </row>
    <row r="121" spans="1:4" ht="15.75" thickBot="1" x14ac:dyDescent="0.3">
      <c r="A121" s="50">
        <v>49</v>
      </c>
      <c r="B121" s="29" t="s">
        <v>120</v>
      </c>
      <c r="C121" s="25" t="s">
        <v>114</v>
      </c>
      <c r="D121" s="29">
        <v>0</v>
      </c>
    </row>
    <row r="122" spans="1:4" ht="15.75" thickBot="1" x14ac:dyDescent="0.3">
      <c r="A122" s="51">
        <v>50</v>
      </c>
      <c r="B122" s="52" t="s">
        <v>121</v>
      </c>
      <c r="C122" s="53" t="s">
        <v>13</v>
      </c>
      <c r="D122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4"/>
  <sheetViews>
    <sheetView topLeftCell="A10" workbookViewId="0">
      <selection activeCell="D17" sqref="D17"/>
    </sheetView>
  </sheetViews>
  <sheetFormatPr defaultRowHeight="15" x14ac:dyDescent="0.25"/>
  <cols>
    <col min="2" max="2" width="71.85546875" customWidth="1"/>
    <col min="3" max="3" width="12.28515625" customWidth="1"/>
    <col min="4" max="4" width="57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202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203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0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626434.12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619334.12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0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480483.67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v>473483.67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7000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</f>
        <v>480483.67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157921.79999999999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157921.79999999999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204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3811037600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205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204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3811037600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134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68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133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3808170471</v>
      </c>
    </row>
    <row r="60" spans="1:4" ht="26.25" thickBot="1" x14ac:dyDescent="0.3">
      <c r="A60" s="24" t="s">
        <v>64</v>
      </c>
      <c r="B60" s="27" t="s">
        <v>46</v>
      </c>
      <c r="C60" s="27" t="s">
        <v>47</v>
      </c>
      <c r="D60" s="59" t="s">
        <v>206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133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3808170471</v>
      </c>
    </row>
    <row r="64" spans="1:4" ht="15.75" thickBot="1" x14ac:dyDescent="0.3">
      <c r="A64" s="24" t="s">
        <v>66</v>
      </c>
      <c r="B64" s="27" t="s">
        <v>46</v>
      </c>
      <c r="C64" s="27" t="s">
        <v>47</v>
      </c>
      <c r="D64" s="59" t="s">
        <v>192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207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57</v>
      </c>
    </row>
    <row r="67" spans="1:4" ht="15.75" thickBot="1" x14ac:dyDescent="0.3">
      <c r="A67" s="24"/>
      <c r="B67" s="25" t="s">
        <v>53</v>
      </c>
      <c r="C67" s="25" t="s">
        <v>47</v>
      </c>
      <c r="D67" s="30">
        <v>3808140910</v>
      </c>
    </row>
    <row r="68" spans="1:4" ht="15.75" thickBot="1" x14ac:dyDescent="0.3">
      <c r="A68" s="24" t="s">
        <v>67</v>
      </c>
      <c r="B68" s="27" t="s">
        <v>46</v>
      </c>
      <c r="C68" s="27" t="s">
        <v>47</v>
      </c>
      <c r="D68" s="59" t="s">
        <v>192</v>
      </c>
    </row>
    <row r="69" spans="1:4" ht="15.75" thickBot="1" x14ac:dyDescent="0.3">
      <c r="A69" s="24"/>
      <c r="B69" s="25" t="s">
        <v>49</v>
      </c>
      <c r="C69" s="25" t="s">
        <v>47</v>
      </c>
      <c r="D69" s="29" t="s">
        <v>208</v>
      </c>
    </row>
    <row r="70" spans="1:4" ht="15.75" thickBot="1" x14ac:dyDescent="0.3">
      <c r="A70" s="24"/>
      <c r="B70" s="25" t="s">
        <v>51</v>
      </c>
      <c r="C70" s="25" t="s">
        <v>47</v>
      </c>
      <c r="D70" s="29" t="s">
        <v>57</v>
      </c>
    </row>
    <row r="71" spans="1:4" ht="15.75" thickBot="1" x14ac:dyDescent="0.3">
      <c r="A71" s="24"/>
      <c r="B71" s="25" t="s">
        <v>53</v>
      </c>
      <c r="C71" s="25" t="s">
        <v>47</v>
      </c>
      <c r="D71" s="30">
        <v>3812080615</v>
      </c>
    </row>
    <row r="72" spans="1:4" ht="15.75" thickBot="1" x14ac:dyDescent="0.3">
      <c r="A72" s="24" t="s">
        <v>69</v>
      </c>
      <c r="B72" s="27" t="s">
        <v>46</v>
      </c>
      <c r="C72" s="27" t="s">
        <v>47</v>
      </c>
      <c r="D72" s="59" t="s">
        <v>209</v>
      </c>
    </row>
    <row r="73" spans="1:4" ht="15.75" thickBot="1" x14ac:dyDescent="0.3">
      <c r="A73" s="24"/>
      <c r="B73" s="25" t="s">
        <v>49</v>
      </c>
      <c r="C73" s="25" t="s">
        <v>47</v>
      </c>
      <c r="D73" s="29" t="s">
        <v>210</v>
      </c>
    </row>
    <row r="74" spans="1:4" ht="15.75" thickBot="1" x14ac:dyDescent="0.3">
      <c r="A74" s="24"/>
      <c r="B74" s="25" t="s">
        <v>51</v>
      </c>
      <c r="C74" s="25" t="s">
        <v>47</v>
      </c>
      <c r="D74" s="29" t="s">
        <v>190</v>
      </c>
    </row>
    <row r="75" spans="1:4" ht="15.75" thickBot="1" x14ac:dyDescent="0.3">
      <c r="A75" s="24"/>
      <c r="B75" s="25" t="s">
        <v>53</v>
      </c>
      <c r="C75" s="25" t="s">
        <v>47</v>
      </c>
      <c r="D75" s="30">
        <v>5405485497</v>
      </c>
    </row>
    <row r="76" spans="1:4" ht="15.75" thickBot="1" x14ac:dyDescent="0.3">
      <c r="A76" s="24" t="s">
        <v>154</v>
      </c>
      <c r="B76" s="27" t="s">
        <v>46</v>
      </c>
      <c r="C76" s="27" t="s">
        <v>47</v>
      </c>
      <c r="D76" s="59" t="s">
        <v>211</v>
      </c>
    </row>
    <row r="77" spans="1:4" ht="15.75" thickBot="1" x14ac:dyDescent="0.3">
      <c r="A77" s="24"/>
      <c r="B77" s="25" t="s">
        <v>49</v>
      </c>
      <c r="C77" s="25" t="s">
        <v>47</v>
      </c>
      <c r="D77" s="29" t="s">
        <v>212</v>
      </c>
    </row>
    <row r="78" spans="1:4" ht="15.75" thickBot="1" x14ac:dyDescent="0.3">
      <c r="A78" s="24"/>
      <c r="B78" s="25" t="s">
        <v>51</v>
      </c>
      <c r="C78" s="25" t="s">
        <v>47</v>
      </c>
      <c r="D78" s="29" t="s">
        <v>190</v>
      </c>
    </row>
    <row r="79" spans="1:4" ht="15.75" thickBot="1" x14ac:dyDescent="0.3">
      <c r="A79" s="24"/>
      <c r="B79" s="25" t="s">
        <v>53</v>
      </c>
      <c r="C79" s="25" t="s">
        <v>47</v>
      </c>
      <c r="D79" s="30">
        <v>7705042179</v>
      </c>
    </row>
    <row r="80" spans="1:4" ht="15.75" thickBot="1" x14ac:dyDescent="0.3">
      <c r="A80" s="24" t="s">
        <v>226</v>
      </c>
      <c r="B80" s="27" t="s">
        <v>46</v>
      </c>
      <c r="C80" s="27" t="s">
        <v>47</v>
      </c>
      <c r="D80" s="59" t="s">
        <v>213</v>
      </c>
    </row>
    <row r="81" spans="1:4" ht="15.75" thickBot="1" x14ac:dyDescent="0.3">
      <c r="A81" s="24"/>
      <c r="B81" s="25" t="s">
        <v>49</v>
      </c>
      <c r="C81" s="25" t="s">
        <v>47</v>
      </c>
      <c r="D81" s="29" t="s">
        <v>189</v>
      </c>
    </row>
    <row r="82" spans="1:4" ht="15.75" thickBot="1" x14ac:dyDescent="0.3">
      <c r="A82" s="24"/>
      <c r="B82" s="25" t="s">
        <v>51</v>
      </c>
      <c r="C82" s="25" t="s">
        <v>47</v>
      </c>
      <c r="D82" s="29" t="s">
        <v>190</v>
      </c>
    </row>
    <row r="83" spans="1:4" ht="15.75" thickBot="1" x14ac:dyDescent="0.3">
      <c r="A83" s="24"/>
      <c r="B83" s="25" t="s">
        <v>53</v>
      </c>
      <c r="C83" s="25" t="s">
        <v>47</v>
      </c>
      <c r="D83" s="30">
        <v>7706196090</v>
      </c>
    </row>
    <row r="84" spans="1:4" ht="15.75" thickBot="1" x14ac:dyDescent="0.3">
      <c r="A84" s="24" t="s">
        <v>227</v>
      </c>
      <c r="B84" s="27" t="s">
        <v>46</v>
      </c>
      <c r="C84" s="27" t="s">
        <v>47</v>
      </c>
      <c r="D84" s="59" t="s">
        <v>214</v>
      </c>
    </row>
    <row r="85" spans="1:4" ht="15.75" thickBot="1" x14ac:dyDescent="0.3">
      <c r="A85" s="24"/>
      <c r="B85" s="25" t="s">
        <v>49</v>
      </c>
      <c r="C85" s="25" t="s">
        <v>47</v>
      </c>
      <c r="D85" s="29" t="s">
        <v>215</v>
      </c>
    </row>
    <row r="86" spans="1:4" ht="15.75" thickBot="1" x14ac:dyDescent="0.3">
      <c r="A86" s="24"/>
      <c r="B86" s="25" t="s">
        <v>51</v>
      </c>
      <c r="C86" s="25" t="s">
        <v>47</v>
      </c>
      <c r="D86" s="29" t="s">
        <v>57</v>
      </c>
    </row>
    <row r="87" spans="1:4" ht="15.75" thickBot="1" x14ac:dyDescent="0.3">
      <c r="A87" s="24"/>
      <c r="B87" s="25" t="s">
        <v>53</v>
      </c>
      <c r="C87" s="25" t="s">
        <v>47</v>
      </c>
      <c r="D87" s="31" t="s">
        <v>181</v>
      </c>
    </row>
    <row r="88" spans="1:4" ht="15.75" thickBot="1" x14ac:dyDescent="0.3">
      <c r="A88" s="24" t="s">
        <v>228</v>
      </c>
      <c r="B88" s="27" t="s">
        <v>46</v>
      </c>
      <c r="C88" s="27" t="s">
        <v>47</v>
      </c>
      <c r="D88" s="59" t="s">
        <v>216</v>
      </c>
    </row>
    <row r="89" spans="1:4" ht="15.75" thickBot="1" x14ac:dyDescent="0.3">
      <c r="A89" s="24"/>
      <c r="B89" s="25" t="s">
        <v>49</v>
      </c>
      <c r="C89" s="25" t="s">
        <v>47</v>
      </c>
      <c r="D89" s="29" t="s">
        <v>217</v>
      </c>
    </row>
    <row r="90" spans="1:4" ht="15.75" thickBot="1" x14ac:dyDescent="0.3">
      <c r="A90" s="24"/>
      <c r="B90" s="25" t="s">
        <v>51</v>
      </c>
      <c r="C90" s="25" t="s">
        <v>47</v>
      </c>
      <c r="D90" s="29" t="s">
        <v>218</v>
      </c>
    </row>
    <row r="91" spans="1:4" ht="15.75" thickBot="1" x14ac:dyDescent="0.3">
      <c r="A91" s="24"/>
      <c r="B91" s="25" t="s">
        <v>53</v>
      </c>
      <c r="C91" s="25" t="s">
        <v>47</v>
      </c>
      <c r="D91" s="31" t="s">
        <v>219</v>
      </c>
    </row>
    <row r="92" spans="1:4" ht="15.75" thickBot="1" x14ac:dyDescent="0.3">
      <c r="A92" s="24" t="s">
        <v>229</v>
      </c>
      <c r="B92" s="27" t="s">
        <v>46</v>
      </c>
      <c r="C92" s="27" t="s">
        <v>47</v>
      </c>
      <c r="D92" s="59" t="s">
        <v>220</v>
      </c>
    </row>
    <row r="93" spans="1:4" ht="15.75" thickBot="1" x14ac:dyDescent="0.3">
      <c r="A93" s="24"/>
      <c r="B93" s="25" t="s">
        <v>49</v>
      </c>
      <c r="C93" s="25" t="s">
        <v>47</v>
      </c>
      <c r="D93" s="29" t="s">
        <v>221</v>
      </c>
    </row>
    <row r="94" spans="1:4" ht="15.75" thickBot="1" x14ac:dyDescent="0.3">
      <c r="A94" s="24"/>
      <c r="B94" s="25" t="s">
        <v>51</v>
      </c>
      <c r="C94" s="25" t="s">
        <v>47</v>
      </c>
      <c r="D94" s="29" t="s">
        <v>218</v>
      </c>
    </row>
    <row r="95" spans="1:4" ht="15.75" thickBot="1" x14ac:dyDescent="0.3">
      <c r="A95" s="24"/>
      <c r="B95" s="25" t="s">
        <v>53</v>
      </c>
      <c r="C95" s="25" t="s">
        <v>47</v>
      </c>
      <c r="D95" s="31" t="s">
        <v>222</v>
      </c>
    </row>
    <row r="96" spans="1:4" ht="26.25" thickBot="1" x14ac:dyDescent="0.3">
      <c r="A96" s="24" t="s">
        <v>230</v>
      </c>
      <c r="B96" s="27" t="s">
        <v>46</v>
      </c>
      <c r="C96" s="27" t="s">
        <v>47</v>
      </c>
      <c r="D96" s="59" t="s">
        <v>223</v>
      </c>
    </row>
    <row r="97" spans="1:4" ht="15.75" thickBot="1" x14ac:dyDescent="0.3">
      <c r="A97" s="24"/>
      <c r="B97" s="25" t="s">
        <v>49</v>
      </c>
      <c r="C97" s="25" t="s">
        <v>47</v>
      </c>
      <c r="D97" s="29" t="s">
        <v>224</v>
      </c>
    </row>
    <row r="98" spans="1:4" ht="15.75" thickBot="1" x14ac:dyDescent="0.3">
      <c r="A98" s="24"/>
      <c r="B98" s="25" t="s">
        <v>51</v>
      </c>
      <c r="C98" s="25" t="s">
        <v>47</v>
      </c>
      <c r="D98" s="29" t="s">
        <v>218</v>
      </c>
    </row>
    <row r="99" spans="1:4" ht="15.75" thickBot="1" x14ac:dyDescent="0.3">
      <c r="A99" s="24"/>
      <c r="B99" s="25" t="s">
        <v>53</v>
      </c>
      <c r="C99" s="25" t="s">
        <v>47</v>
      </c>
      <c r="D99" s="31" t="s">
        <v>225</v>
      </c>
    </row>
    <row r="100" spans="1:4" ht="15.75" thickBot="1" x14ac:dyDescent="0.3">
      <c r="A100" s="24" t="s">
        <v>231</v>
      </c>
      <c r="B100" s="27" t="s">
        <v>46</v>
      </c>
      <c r="C100" s="27" t="s">
        <v>47</v>
      </c>
      <c r="D100" s="28" t="s">
        <v>126</v>
      </c>
    </row>
    <row r="101" spans="1:4" ht="15.75" thickBot="1" x14ac:dyDescent="0.3">
      <c r="A101" s="24"/>
      <c r="B101" s="25" t="s">
        <v>49</v>
      </c>
      <c r="C101" s="25" t="s">
        <v>47</v>
      </c>
      <c r="D101" s="29" t="s">
        <v>70</v>
      </c>
    </row>
    <row r="102" spans="1:4" ht="15.75" thickBot="1" x14ac:dyDescent="0.3">
      <c r="A102" s="24"/>
      <c r="B102" s="25" t="s">
        <v>51</v>
      </c>
      <c r="C102" s="25" t="s">
        <v>47</v>
      </c>
      <c r="D102" s="29" t="s">
        <v>57</v>
      </c>
    </row>
    <row r="103" spans="1:4" ht="15.75" thickBot="1" x14ac:dyDescent="0.3">
      <c r="A103" s="24"/>
      <c r="B103" s="25" t="s">
        <v>53</v>
      </c>
      <c r="C103" s="25" t="s">
        <v>47</v>
      </c>
      <c r="D103" s="30">
        <v>3811171757</v>
      </c>
    </row>
    <row r="104" spans="1:4" ht="15.75" thickBot="1" x14ac:dyDescent="0.3">
      <c r="A104" s="24" t="s">
        <v>232</v>
      </c>
      <c r="B104" s="27" t="s">
        <v>46</v>
      </c>
      <c r="C104" s="27" t="s">
        <v>47</v>
      </c>
      <c r="D104" s="28" t="s">
        <v>178</v>
      </c>
    </row>
    <row r="105" spans="1:4" ht="15.75" thickBot="1" x14ac:dyDescent="0.3">
      <c r="A105" s="24"/>
      <c r="B105" s="25" t="s">
        <v>49</v>
      </c>
      <c r="C105" s="25" t="s">
        <v>47</v>
      </c>
      <c r="D105" s="29" t="s">
        <v>70</v>
      </c>
    </row>
    <row r="106" spans="1:4" ht="15.75" thickBot="1" x14ac:dyDescent="0.3">
      <c r="A106" s="24"/>
      <c r="B106" s="25" t="s">
        <v>51</v>
      </c>
      <c r="C106" s="25" t="s">
        <v>47</v>
      </c>
      <c r="D106" s="29" t="s">
        <v>57</v>
      </c>
    </row>
    <row r="107" spans="1:4" ht="15.75" thickBot="1" x14ac:dyDescent="0.3">
      <c r="A107" s="24"/>
      <c r="B107" s="25" t="s">
        <v>53</v>
      </c>
      <c r="C107" s="25" t="s">
        <v>47</v>
      </c>
      <c r="D107" s="30">
        <v>3811171757</v>
      </c>
    </row>
    <row r="108" spans="1:4" x14ac:dyDescent="0.25">
      <c r="A108" s="2"/>
      <c r="B108" s="2"/>
      <c r="C108" s="2"/>
      <c r="D108" s="2"/>
    </row>
    <row r="109" spans="1:4" ht="15.75" thickBot="1" x14ac:dyDescent="0.3">
      <c r="A109" s="8" t="s">
        <v>71</v>
      </c>
      <c r="B109" s="2"/>
      <c r="C109" s="2"/>
      <c r="D109" s="2"/>
    </row>
    <row r="110" spans="1:4" ht="15.75" thickBot="1" x14ac:dyDescent="0.3">
      <c r="A110" s="22" t="s">
        <v>72</v>
      </c>
      <c r="B110" s="32" t="s">
        <v>73</v>
      </c>
      <c r="C110" s="32" t="s">
        <v>47</v>
      </c>
      <c r="D110" s="33">
        <v>0</v>
      </c>
    </row>
    <row r="111" spans="1:4" ht="15.75" thickBot="1" x14ac:dyDescent="0.3">
      <c r="A111" s="24" t="s">
        <v>74</v>
      </c>
      <c r="B111" s="25" t="s">
        <v>75</v>
      </c>
      <c r="C111" s="25" t="s">
        <v>47</v>
      </c>
      <c r="D111" s="29">
        <v>0</v>
      </c>
    </row>
    <row r="112" spans="1:4" ht="15.75" thickBot="1" x14ac:dyDescent="0.3">
      <c r="A112" s="24" t="s">
        <v>76</v>
      </c>
      <c r="B112" s="25" t="s">
        <v>77</v>
      </c>
      <c r="C112" s="25" t="s">
        <v>47</v>
      </c>
      <c r="D112" s="29">
        <v>0</v>
      </c>
    </row>
    <row r="113" spans="1:4" ht="15.75" thickBot="1" x14ac:dyDescent="0.3">
      <c r="A113" s="22" t="s">
        <v>78</v>
      </c>
      <c r="B113" s="34" t="s">
        <v>79</v>
      </c>
      <c r="C113" s="34" t="s">
        <v>13</v>
      </c>
      <c r="D113" s="35">
        <v>0</v>
      </c>
    </row>
    <row r="114" spans="1:4" x14ac:dyDescent="0.25">
      <c r="A114" s="2"/>
      <c r="B114" s="2"/>
      <c r="C114" s="2"/>
      <c r="D114" s="2"/>
    </row>
    <row r="115" spans="1:4" ht="15.75" thickBot="1" x14ac:dyDescent="0.3">
      <c r="A115" s="8" t="s">
        <v>80</v>
      </c>
      <c r="B115" s="2"/>
      <c r="C115" s="2"/>
      <c r="D115" s="2"/>
    </row>
    <row r="116" spans="1:4" ht="15.75" thickBot="1" x14ac:dyDescent="0.3">
      <c r="A116" s="36" t="s">
        <v>81</v>
      </c>
      <c r="B116" s="33" t="s">
        <v>82</v>
      </c>
      <c r="C116" s="32" t="s">
        <v>13</v>
      </c>
      <c r="D116" s="37">
        <v>0</v>
      </c>
    </row>
    <row r="117" spans="1:4" ht="15.75" thickBot="1" x14ac:dyDescent="0.3">
      <c r="A117" s="38" t="s">
        <v>83</v>
      </c>
      <c r="B117" s="25" t="s">
        <v>84</v>
      </c>
      <c r="C117" s="25" t="s">
        <v>13</v>
      </c>
      <c r="D117" s="39">
        <v>0</v>
      </c>
    </row>
    <row r="118" spans="1:4" ht="15.75" thickBot="1" x14ac:dyDescent="0.3">
      <c r="A118" s="38" t="s">
        <v>85</v>
      </c>
      <c r="B118" s="25" t="s">
        <v>86</v>
      </c>
      <c r="C118" s="25" t="s">
        <v>13</v>
      </c>
      <c r="D118" s="39">
        <v>0</v>
      </c>
    </row>
    <row r="119" spans="1:4" ht="15.75" thickBot="1" x14ac:dyDescent="0.3">
      <c r="A119" s="38" t="s">
        <v>87</v>
      </c>
      <c r="B119" s="29" t="s">
        <v>88</v>
      </c>
      <c r="C119" s="25" t="s">
        <v>13</v>
      </c>
      <c r="D119" s="39">
        <f>D121+D120</f>
        <v>148916.55000000002</v>
      </c>
    </row>
    <row r="120" spans="1:4" ht="15.75" thickBot="1" x14ac:dyDescent="0.3">
      <c r="A120" s="38" t="s">
        <v>89</v>
      </c>
      <c r="B120" s="25" t="s">
        <v>84</v>
      </c>
      <c r="C120" s="25" t="s">
        <v>13</v>
      </c>
      <c r="D120" s="39">
        <f>-(70.08+391.02+402.61+1973.78+429.28+503.39+559.13)</f>
        <v>-4329.2899999999991</v>
      </c>
    </row>
    <row r="121" spans="1:4" ht="15.75" thickBot="1" x14ac:dyDescent="0.3">
      <c r="A121" s="38" t="s">
        <v>90</v>
      </c>
      <c r="B121" s="25" t="s">
        <v>86</v>
      </c>
      <c r="C121" s="25" t="s">
        <v>13</v>
      </c>
      <c r="D121" s="39">
        <f>128665.66+2894.76+1831.41+9983.82+5074.07+621.5+4174.62</f>
        <v>153245.84000000003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91</v>
      </c>
      <c r="B123" s="2"/>
      <c r="C123" s="2"/>
      <c r="D123" s="2"/>
    </row>
    <row r="124" spans="1:4" ht="15.75" thickBot="1" x14ac:dyDescent="0.3">
      <c r="A124" s="40" t="s">
        <v>92</v>
      </c>
      <c r="B124" s="41" t="s">
        <v>93</v>
      </c>
      <c r="C124" s="42" t="s">
        <v>47</v>
      </c>
      <c r="D124" s="41" t="s">
        <v>94</v>
      </c>
    </row>
    <row r="125" spans="1:4" ht="15.75" thickBot="1" x14ac:dyDescent="0.3">
      <c r="A125" s="24"/>
      <c r="B125" s="29" t="s">
        <v>95</v>
      </c>
      <c r="C125" s="25" t="s">
        <v>47</v>
      </c>
      <c r="D125" s="29" t="s">
        <v>96</v>
      </c>
    </row>
    <row r="126" spans="1:4" ht="15.75" thickBot="1" x14ac:dyDescent="0.3">
      <c r="A126" s="24"/>
      <c r="B126" s="29" t="s">
        <v>97</v>
      </c>
      <c r="C126" s="25" t="s">
        <v>96</v>
      </c>
      <c r="D126" s="39">
        <v>450.79169999999999</v>
      </c>
    </row>
    <row r="127" spans="1:4" ht="15.75" thickBot="1" x14ac:dyDescent="0.3">
      <c r="A127" s="24"/>
      <c r="B127" s="29" t="s">
        <v>98</v>
      </c>
      <c r="C127" s="25" t="s">
        <v>13</v>
      </c>
      <c r="D127" s="39">
        <f>457886.92+1708.3</f>
        <v>459595.22</v>
      </c>
    </row>
    <row r="128" spans="1:4" ht="15.75" thickBot="1" x14ac:dyDescent="0.3">
      <c r="A128" s="24"/>
      <c r="B128" s="25" t="s">
        <v>99</v>
      </c>
      <c r="C128" s="25" t="s">
        <v>13</v>
      </c>
      <c r="D128" s="43">
        <v>330999.64</v>
      </c>
    </row>
    <row r="129" spans="1:4" ht="15.75" thickBot="1" x14ac:dyDescent="0.3">
      <c r="A129" s="24"/>
      <c r="B129" s="25" t="s">
        <v>100</v>
      </c>
      <c r="C129" s="25" t="s">
        <v>13</v>
      </c>
      <c r="D129" s="43">
        <f>D127-D128</f>
        <v>128595.57999999996</v>
      </c>
    </row>
    <row r="130" spans="1:4" ht="15.75" thickBot="1" x14ac:dyDescent="0.3">
      <c r="A130" s="24"/>
      <c r="B130" s="25" t="s">
        <v>101</v>
      </c>
      <c r="C130" s="25" t="s">
        <v>13</v>
      </c>
      <c r="D130" s="43">
        <v>253832.15650000001</v>
      </c>
    </row>
    <row r="131" spans="1:4" ht="15.75" thickBot="1" x14ac:dyDescent="0.3">
      <c r="A131" s="24"/>
      <c r="B131" s="25" t="s">
        <v>102</v>
      </c>
      <c r="C131" s="25" t="s">
        <v>13</v>
      </c>
      <c r="D131" s="43">
        <f>D128</f>
        <v>330999.64</v>
      </c>
    </row>
    <row r="132" spans="1:4" ht="15.75" thickBot="1" x14ac:dyDescent="0.3">
      <c r="A132" s="24"/>
      <c r="B132" s="25" t="s">
        <v>103</v>
      </c>
      <c r="C132" s="25" t="s">
        <v>13</v>
      </c>
      <c r="D132" s="43">
        <f>D129</f>
        <v>128595.57999999996</v>
      </c>
    </row>
    <row r="133" spans="1:4" ht="15.75" thickBot="1" x14ac:dyDescent="0.3">
      <c r="A133" s="24"/>
      <c r="B133" s="29" t="s">
        <v>104</v>
      </c>
      <c r="C133" s="25" t="s">
        <v>13</v>
      </c>
      <c r="D133" s="39">
        <v>0</v>
      </c>
    </row>
    <row r="134" spans="1:4" ht="15.75" thickBot="1" x14ac:dyDescent="0.3">
      <c r="A134" s="40" t="s">
        <v>105</v>
      </c>
      <c r="B134" s="41" t="s">
        <v>93</v>
      </c>
      <c r="C134" s="42" t="s">
        <v>47</v>
      </c>
      <c r="D134" s="41" t="s">
        <v>106</v>
      </c>
    </row>
    <row r="135" spans="1:4" ht="15.75" thickBot="1" x14ac:dyDescent="0.3">
      <c r="A135" s="24"/>
      <c r="B135" s="29" t="s">
        <v>95</v>
      </c>
      <c r="C135" s="25" t="s">
        <v>47</v>
      </c>
      <c r="D135" s="29" t="s">
        <v>107</v>
      </c>
    </row>
    <row r="136" spans="1:4" ht="15.75" thickBot="1" x14ac:dyDescent="0.3">
      <c r="A136" s="24"/>
      <c r="B136" s="29" t="s">
        <v>97</v>
      </c>
      <c r="C136" s="25" t="s">
        <v>107</v>
      </c>
      <c r="D136" s="44">
        <f>1215.4586+741.8998</f>
        <v>1957.3584000000001</v>
      </c>
    </row>
    <row r="137" spans="1:4" ht="15.75" thickBot="1" x14ac:dyDescent="0.3">
      <c r="A137" s="24"/>
      <c r="B137" s="29" t="s">
        <v>98</v>
      </c>
      <c r="C137" s="25" t="s">
        <v>13</v>
      </c>
      <c r="D137" s="44">
        <f>2367.64+518.19+12757.96-150+7754.5</f>
        <v>23248.29</v>
      </c>
    </row>
    <row r="138" spans="1:4" ht="15.75" thickBot="1" x14ac:dyDescent="0.3">
      <c r="A138" s="24"/>
      <c r="B138" s="25" t="s">
        <v>99</v>
      </c>
      <c r="C138" s="25" t="s">
        <v>13</v>
      </c>
      <c r="D138" s="45">
        <f>2767.72+10221.2+6396.38</f>
        <v>19385.3</v>
      </c>
    </row>
    <row r="139" spans="1:4" ht="15.75" thickBot="1" x14ac:dyDescent="0.3">
      <c r="A139" s="24"/>
      <c r="B139" s="25" t="s">
        <v>100</v>
      </c>
      <c r="C139" s="25" t="s">
        <v>13</v>
      </c>
      <c r="D139" s="45">
        <f>D137-D138</f>
        <v>3862.9900000000016</v>
      </c>
    </row>
    <row r="140" spans="1:4" ht="15.75" thickBot="1" x14ac:dyDescent="0.3">
      <c r="A140" s="24"/>
      <c r="B140" s="25" t="s">
        <v>101</v>
      </c>
      <c r="C140" s="25" t="s">
        <v>13</v>
      </c>
      <c r="D140" s="45">
        <v>13367.619000000001</v>
      </c>
    </row>
    <row r="141" spans="1:4" ht="15.75" thickBot="1" x14ac:dyDescent="0.3">
      <c r="A141" s="24"/>
      <c r="B141" s="25" t="s">
        <v>102</v>
      </c>
      <c r="C141" s="25" t="s">
        <v>13</v>
      </c>
      <c r="D141" s="45">
        <f>D138</f>
        <v>19385.3</v>
      </c>
    </row>
    <row r="142" spans="1:4" ht="15.75" thickBot="1" x14ac:dyDescent="0.3">
      <c r="A142" s="24"/>
      <c r="B142" s="25" t="s">
        <v>103</v>
      </c>
      <c r="C142" s="25" t="s">
        <v>13</v>
      </c>
      <c r="D142" s="45">
        <f>D139</f>
        <v>3862.9900000000016</v>
      </c>
    </row>
    <row r="143" spans="1:4" ht="15.75" thickBot="1" x14ac:dyDescent="0.3">
      <c r="A143" s="24"/>
      <c r="B143" s="29" t="s">
        <v>104</v>
      </c>
      <c r="C143" s="25" t="s">
        <v>13</v>
      </c>
      <c r="D143" s="44">
        <v>0</v>
      </c>
    </row>
    <row r="144" spans="1:4" ht="15.75" thickBot="1" x14ac:dyDescent="0.3">
      <c r="A144" s="40" t="s">
        <v>108</v>
      </c>
      <c r="B144" s="41" t="s">
        <v>93</v>
      </c>
      <c r="C144" s="42" t="s">
        <v>47</v>
      </c>
      <c r="D144" s="41" t="s">
        <v>109</v>
      </c>
    </row>
    <row r="145" spans="1:4" ht="15.75" thickBot="1" x14ac:dyDescent="0.3">
      <c r="A145" s="24"/>
      <c r="B145" s="29" t="s">
        <v>95</v>
      </c>
      <c r="C145" s="25" t="s">
        <v>47</v>
      </c>
      <c r="D145" s="29" t="s">
        <v>107</v>
      </c>
    </row>
    <row r="146" spans="1:4" ht="15.75" thickBot="1" x14ac:dyDescent="0.3">
      <c r="A146" s="24"/>
      <c r="B146" s="29" t="s">
        <v>97</v>
      </c>
      <c r="C146" s="25" t="s">
        <v>107</v>
      </c>
      <c r="D146" s="44">
        <v>40.207599999999999</v>
      </c>
    </row>
    <row r="147" spans="1:4" ht="15.75" thickBot="1" x14ac:dyDescent="0.3">
      <c r="A147" s="24"/>
      <c r="B147" s="29" t="s">
        <v>98</v>
      </c>
      <c r="C147" s="25" t="s">
        <v>13</v>
      </c>
      <c r="D147" s="44">
        <f>15256.38+907.32+41516.85-112.34</f>
        <v>57568.21</v>
      </c>
    </row>
    <row r="148" spans="1:4" ht="15.75" thickBot="1" x14ac:dyDescent="0.3">
      <c r="A148" s="24"/>
      <c r="B148" s="25" t="s">
        <v>99</v>
      </c>
      <c r="C148" s="25" t="s">
        <v>13</v>
      </c>
      <c r="D148" s="45">
        <f>33753.06+12548.21</f>
        <v>46301.27</v>
      </c>
    </row>
    <row r="149" spans="1:4" ht="15.75" thickBot="1" x14ac:dyDescent="0.3">
      <c r="A149" s="24"/>
      <c r="B149" s="25" t="s">
        <v>100</v>
      </c>
      <c r="C149" s="25" t="s">
        <v>13</v>
      </c>
      <c r="D149" s="45">
        <f>D147-D148</f>
        <v>11266.940000000002</v>
      </c>
    </row>
    <row r="150" spans="1:4" ht="15.75" thickBot="1" x14ac:dyDescent="0.3">
      <c r="A150" s="24"/>
      <c r="B150" s="25" t="s">
        <v>101</v>
      </c>
      <c r="C150" s="25" t="s">
        <v>13</v>
      </c>
      <c r="D150" s="45">
        <v>0</v>
      </c>
    </row>
    <row r="151" spans="1:4" ht="15.75" thickBot="1" x14ac:dyDescent="0.3">
      <c r="A151" s="24"/>
      <c r="B151" s="25" t="s">
        <v>102</v>
      </c>
      <c r="C151" s="25" t="s">
        <v>13</v>
      </c>
      <c r="D151" s="45">
        <f>D148</f>
        <v>46301.27</v>
      </c>
    </row>
    <row r="152" spans="1:4" ht="15.75" thickBot="1" x14ac:dyDescent="0.3">
      <c r="A152" s="24"/>
      <c r="B152" s="25" t="s">
        <v>103</v>
      </c>
      <c r="C152" s="25" t="s">
        <v>13</v>
      </c>
      <c r="D152" s="45">
        <f>D149</f>
        <v>11266.940000000002</v>
      </c>
    </row>
    <row r="153" spans="1:4" ht="15.75" thickBot="1" x14ac:dyDescent="0.3">
      <c r="A153" s="24"/>
      <c r="B153" s="29" t="s">
        <v>104</v>
      </c>
      <c r="C153" s="25" t="s">
        <v>13</v>
      </c>
      <c r="D153" s="44">
        <v>0</v>
      </c>
    </row>
    <row r="154" spans="1:4" ht="15.75" thickBot="1" x14ac:dyDescent="0.3">
      <c r="A154" s="40" t="s">
        <v>110</v>
      </c>
      <c r="B154" s="41" t="s">
        <v>93</v>
      </c>
      <c r="C154" s="42" t="s">
        <v>47</v>
      </c>
      <c r="D154" s="41" t="s">
        <v>111</v>
      </c>
    </row>
    <row r="155" spans="1:4" ht="15.75" thickBot="1" x14ac:dyDescent="0.3">
      <c r="A155" s="24"/>
      <c r="B155" s="29" t="s">
        <v>95</v>
      </c>
      <c r="C155" s="25" t="s">
        <v>47</v>
      </c>
      <c r="D155" s="29" t="s">
        <v>107</v>
      </c>
    </row>
    <row r="156" spans="1:4" ht="15.75" thickBot="1" x14ac:dyDescent="0.3">
      <c r="A156" s="24"/>
      <c r="B156" s="29" t="s">
        <v>97</v>
      </c>
      <c r="C156" s="25" t="s">
        <v>107</v>
      </c>
      <c r="D156" s="39">
        <v>1946.5064</v>
      </c>
    </row>
    <row r="157" spans="1:4" ht="15.75" thickBot="1" x14ac:dyDescent="0.3">
      <c r="A157" s="24"/>
      <c r="B157" s="29" t="s">
        <v>98</v>
      </c>
      <c r="C157" s="25" t="s">
        <v>13</v>
      </c>
      <c r="D157" s="39">
        <f>21687.38-368.19</f>
        <v>21319.190000000002</v>
      </c>
    </row>
    <row r="158" spans="1:4" ht="15.75" thickBot="1" x14ac:dyDescent="0.3">
      <c r="A158" s="24"/>
      <c r="B158" s="25" t="s">
        <v>99</v>
      </c>
      <c r="C158" s="25" t="s">
        <v>13</v>
      </c>
      <c r="D158" s="43">
        <v>16862.439999999999</v>
      </c>
    </row>
    <row r="159" spans="1:4" ht="15.75" thickBot="1" x14ac:dyDescent="0.3">
      <c r="A159" s="24"/>
      <c r="B159" s="25" t="s">
        <v>100</v>
      </c>
      <c r="C159" s="25" t="s">
        <v>13</v>
      </c>
      <c r="D159" s="43">
        <f>D157-D158</f>
        <v>4456.7500000000036</v>
      </c>
    </row>
    <row r="160" spans="1:4" ht="15.75" thickBot="1" x14ac:dyDescent="0.3">
      <c r="A160" s="24"/>
      <c r="B160" s="25" t="s">
        <v>101</v>
      </c>
      <c r="C160" s="25" t="s">
        <v>13</v>
      </c>
      <c r="D160" s="43">
        <v>18704.195199999998</v>
      </c>
    </row>
    <row r="161" spans="1:4" ht="15.75" thickBot="1" x14ac:dyDescent="0.3">
      <c r="A161" s="24"/>
      <c r="B161" s="25" t="s">
        <v>102</v>
      </c>
      <c r="C161" s="25" t="s">
        <v>13</v>
      </c>
      <c r="D161" s="43">
        <f>D158</f>
        <v>16862.439999999999</v>
      </c>
    </row>
    <row r="162" spans="1:4" ht="15.75" thickBot="1" x14ac:dyDescent="0.3">
      <c r="A162" s="24"/>
      <c r="B162" s="25" t="s">
        <v>103</v>
      </c>
      <c r="C162" s="25" t="s">
        <v>13</v>
      </c>
      <c r="D162" s="43">
        <f>D159</f>
        <v>4456.7500000000036</v>
      </c>
    </row>
    <row r="163" spans="1:4" ht="15.75" thickBot="1" x14ac:dyDescent="0.3">
      <c r="A163" s="24"/>
      <c r="B163" s="29" t="s">
        <v>104</v>
      </c>
      <c r="C163" s="25" t="s">
        <v>13</v>
      </c>
      <c r="D163" s="39">
        <v>0</v>
      </c>
    </row>
    <row r="164" spans="1:4" x14ac:dyDescent="0.25">
      <c r="A164" s="46"/>
      <c r="B164" s="47"/>
      <c r="C164" s="48"/>
      <c r="D164" s="49"/>
    </row>
    <row r="165" spans="1:4" ht="15.75" thickBot="1" x14ac:dyDescent="0.3">
      <c r="A165" s="8" t="s">
        <v>112</v>
      </c>
      <c r="B165" s="2"/>
      <c r="C165" s="2"/>
      <c r="D165" s="2"/>
    </row>
    <row r="166" spans="1:4" ht="15.75" thickBot="1" x14ac:dyDescent="0.3">
      <c r="A166" s="22" t="s">
        <v>113</v>
      </c>
      <c r="B166" s="33" t="s">
        <v>73</v>
      </c>
      <c r="C166" s="32" t="s">
        <v>114</v>
      </c>
      <c r="D166" s="33">
        <v>0</v>
      </c>
    </row>
    <row r="167" spans="1:4" ht="15.75" thickBot="1" x14ac:dyDescent="0.3">
      <c r="A167" s="24" t="s">
        <v>115</v>
      </c>
      <c r="B167" s="29" t="s">
        <v>75</v>
      </c>
      <c r="C167" s="25" t="s">
        <v>114</v>
      </c>
      <c r="D167" s="29">
        <v>0</v>
      </c>
    </row>
    <row r="168" spans="1:4" ht="15.75" thickBot="1" x14ac:dyDescent="0.3">
      <c r="A168" s="24" t="s">
        <v>116</v>
      </c>
      <c r="B168" s="29" t="s">
        <v>77</v>
      </c>
      <c r="C168" s="25" t="s">
        <v>114</v>
      </c>
      <c r="D168" s="29">
        <v>0</v>
      </c>
    </row>
    <row r="169" spans="1:4" ht="15.75" thickBot="1" x14ac:dyDescent="0.3">
      <c r="A169" s="24" t="s">
        <v>117</v>
      </c>
      <c r="B169" s="29" t="s">
        <v>79</v>
      </c>
      <c r="C169" s="25" t="s">
        <v>13</v>
      </c>
      <c r="D169" s="39">
        <v>0</v>
      </c>
    </row>
    <row r="170" spans="1:4" x14ac:dyDescent="0.25">
      <c r="A170" s="2"/>
      <c r="B170" s="2"/>
      <c r="C170" s="2"/>
      <c r="D170" s="2"/>
    </row>
    <row r="171" spans="1:4" ht="15.75" thickBot="1" x14ac:dyDescent="0.3">
      <c r="A171" s="8" t="s">
        <v>118</v>
      </c>
      <c r="B171" s="2"/>
      <c r="C171" s="2"/>
      <c r="D171" s="2"/>
    </row>
    <row r="172" spans="1:4" ht="15.75" thickBot="1" x14ac:dyDescent="0.3">
      <c r="A172" s="34">
        <v>48</v>
      </c>
      <c r="B172" s="33" t="s">
        <v>119</v>
      </c>
      <c r="C172" s="32" t="s">
        <v>114</v>
      </c>
      <c r="D172" s="33">
        <v>0</v>
      </c>
    </row>
    <row r="173" spans="1:4" ht="15.75" thickBot="1" x14ac:dyDescent="0.3">
      <c r="A173" s="50">
        <v>49</v>
      </c>
      <c r="B173" s="29" t="s">
        <v>120</v>
      </c>
      <c r="C173" s="25" t="s">
        <v>114</v>
      </c>
      <c r="D173" s="29">
        <v>0</v>
      </c>
    </row>
    <row r="174" spans="1:4" ht="15.75" thickBot="1" x14ac:dyDescent="0.3">
      <c r="A174" s="51">
        <v>50</v>
      </c>
      <c r="B174" s="52" t="s">
        <v>121</v>
      </c>
      <c r="C174" s="53" t="s">
        <v>13</v>
      </c>
      <c r="D174" s="56">
        <v>0</v>
      </c>
    </row>
  </sheetData>
  <mergeCells count="2">
    <mergeCell ref="A5:D5"/>
    <mergeCell ref="A6:D6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0"/>
  <sheetViews>
    <sheetView topLeftCell="A127" workbookViewId="0">
      <selection activeCell="D136" sqref="D136"/>
    </sheetView>
  </sheetViews>
  <sheetFormatPr defaultRowHeight="15" x14ac:dyDescent="0.25"/>
  <cols>
    <col min="2" max="2" width="68.85546875" customWidth="1"/>
    <col min="3" max="3" width="12.5703125" customWidth="1"/>
    <col min="4" max="4" width="61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233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234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0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1296447.26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1285847.26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0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874425.23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v>863575.23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10850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v>874425.23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433280.67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433280.67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204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3811037600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205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204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3811037600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134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68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133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3808170471</v>
      </c>
    </row>
    <row r="60" spans="1:4" ht="26.25" thickBot="1" x14ac:dyDescent="0.3">
      <c r="A60" s="24" t="s">
        <v>64</v>
      </c>
      <c r="B60" s="27" t="s">
        <v>46</v>
      </c>
      <c r="C60" s="27" t="s">
        <v>47</v>
      </c>
      <c r="D60" s="59" t="s">
        <v>206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133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3808170471</v>
      </c>
    </row>
    <row r="64" spans="1:4" ht="15.75" thickBot="1" x14ac:dyDescent="0.3">
      <c r="A64" s="24" t="s">
        <v>66</v>
      </c>
      <c r="B64" s="27" t="s">
        <v>46</v>
      </c>
      <c r="C64" s="27" t="s">
        <v>47</v>
      </c>
      <c r="D64" s="28" t="s">
        <v>192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207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57</v>
      </c>
    </row>
    <row r="67" spans="1:4" ht="15.75" thickBot="1" x14ac:dyDescent="0.3">
      <c r="A67" s="24"/>
      <c r="B67" s="25" t="s">
        <v>53</v>
      </c>
      <c r="C67" s="25" t="s">
        <v>47</v>
      </c>
      <c r="D67" s="30">
        <v>3808140910</v>
      </c>
    </row>
    <row r="68" spans="1:4" ht="15.75" thickBot="1" x14ac:dyDescent="0.3">
      <c r="A68" s="24" t="s">
        <v>67</v>
      </c>
      <c r="B68" s="27" t="s">
        <v>46</v>
      </c>
      <c r="C68" s="27" t="s">
        <v>47</v>
      </c>
      <c r="D68" s="28" t="s">
        <v>192</v>
      </c>
    </row>
    <row r="69" spans="1:4" ht="15.75" thickBot="1" x14ac:dyDescent="0.3">
      <c r="A69" s="24"/>
      <c r="B69" s="25" t="s">
        <v>49</v>
      </c>
      <c r="C69" s="25" t="s">
        <v>47</v>
      </c>
      <c r="D69" s="29" t="s">
        <v>208</v>
      </c>
    </row>
    <row r="70" spans="1:4" ht="15.75" thickBot="1" x14ac:dyDescent="0.3">
      <c r="A70" s="24"/>
      <c r="B70" s="25" t="s">
        <v>51</v>
      </c>
      <c r="C70" s="25" t="s">
        <v>47</v>
      </c>
      <c r="D70" s="29" t="s">
        <v>57</v>
      </c>
    </row>
    <row r="71" spans="1:4" ht="15.75" thickBot="1" x14ac:dyDescent="0.3">
      <c r="A71" s="24"/>
      <c r="B71" s="25" t="s">
        <v>53</v>
      </c>
      <c r="C71" s="25" t="s">
        <v>47</v>
      </c>
      <c r="D71" s="30">
        <v>3812080615</v>
      </c>
    </row>
    <row r="72" spans="1:4" ht="15.75" thickBot="1" x14ac:dyDescent="0.3">
      <c r="A72" s="24" t="s">
        <v>69</v>
      </c>
      <c r="B72" s="27" t="s">
        <v>46</v>
      </c>
      <c r="C72" s="27" t="s">
        <v>47</v>
      </c>
      <c r="D72" s="28" t="s">
        <v>209</v>
      </c>
    </row>
    <row r="73" spans="1:4" ht="15.75" thickBot="1" x14ac:dyDescent="0.3">
      <c r="A73" s="24"/>
      <c r="B73" s="25" t="s">
        <v>49</v>
      </c>
      <c r="C73" s="25" t="s">
        <v>47</v>
      </c>
      <c r="D73" s="29" t="s">
        <v>210</v>
      </c>
    </row>
    <row r="74" spans="1:4" ht="15.75" thickBot="1" x14ac:dyDescent="0.3">
      <c r="A74" s="24"/>
      <c r="B74" s="25" t="s">
        <v>51</v>
      </c>
      <c r="C74" s="25" t="s">
        <v>47</v>
      </c>
      <c r="D74" s="29" t="s">
        <v>190</v>
      </c>
    </row>
    <row r="75" spans="1:4" ht="15.75" thickBot="1" x14ac:dyDescent="0.3">
      <c r="A75" s="24"/>
      <c r="B75" s="25" t="s">
        <v>53</v>
      </c>
      <c r="C75" s="25" t="s">
        <v>47</v>
      </c>
      <c r="D75" s="30">
        <v>5405485497</v>
      </c>
    </row>
    <row r="76" spans="1:4" ht="15.75" thickBot="1" x14ac:dyDescent="0.3">
      <c r="A76" s="24" t="s">
        <v>154</v>
      </c>
      <c r="B76" s="27" t="s">
        <v>46</v>
      </c>
      <c r="C76" s="27" t="s">
        <v>47</v>
      </c>
      <c r="D76" s="28" t="s">
        <v>211</v>
      </c>
    </row>
    <row r="77" spans="1:4" ht="15.75" thickBot="1" x14ac:dyDescent="0.3">
      <c r="A77" s="24"/>
      <c r="B77" s="25" t="s">
        <v>49</v>
      </c>
      <c r="C77" s="25" t="s">
        <v>47</v>
      </c>
      <c r="D77" s="29" t="s">
        <v>212</v>
      </c>
    </row>
    <row r="78" spans="1:4" ht="15.75" thickBot="1" x14ac:dyDescent="0.3">
      <c r="A78" s="24"/>
      <c r="B78" s="25" t="s">
        <v>51</v>
      </c>
      <c r="C78" s="25" t="s">
        <v>47</v>
      </c>
      <c r="D78" s="29" t="s">
        <v>190</v>
      </c>
    </row>
    <row r="79" spans="1:4" ht="15.75" thickBot="1" x14ac:dyDescent="0.3">
      <c r="A79" s="24"/>
      <c r="B79" s="25" t="s">
        <v>53</v>
      </c>
      <c r="C79" s="25" t="s">
        <v>47</v>
      </c>
      <c r="D79" s="30">
        <v>7705042179</v>
      </c>
    </row>
    <row r="80" spans="1:4" ht="15.75" thickBot="1" x14ac:dyDescent="0.3">
      <c r="A80" s="24" t="s">
        <v>226</v>
      </c>
      <c r="B80" s="27" t="s">
        <v>46</v>
      </c>
      <c r="C80" s="27" t="s">
        <v>47</v>
      </c>
      <c r="D80" s="28" t="s">
        <v>213</v>
      </c>
    </row>
    <row r="81" spans="1:4" ht="15.75" thickBot="1" x14ac:dyDescent="0.3">
      <c r="A81" s="24"/>
      <c r="B81" s="25" t="s">
        <v>49</v>
      </c>
      <c r="C81" s="25" t="s">
        <v>47</v>
      </c>
      <c r="D81" s="29" t="s">
        <v>189</v>
      </c>
    </row>
    <row r="82" spans="1:4" ht="15.75" thickBot="1" x14ac:dyDescent="0.3">
      <c r="A82" s="24"/>
      <c r="B82" s="25" t="s">
        <v>51</v>
      </c>
      <c r="C82" s="25" t="s">
        <v>47</v>
      </c>
      <c r="D82" s="29" t="s">
        <v>190</v>
      </c>
    </row>
    <row r="83" spans="1:4" ht="15.75" thickBot="1" x14ac:dyDescent="0.3">
      <c r="A83" s="24"/>
      <c r="B83" s="25" t="s">
        <v>53</v>
      </c>
      <c r="C83" s="25" t="s">
        <v>47</v>
      </c>
      <c r="D83" s="30">
        <v>7706196090</v>
      </c>
    </row>
    <row r="84" spans="1:4" ht="15.75" thickBot="1" x14ac:dyDescent="0.3">
      <c r="A84" s="24" t="s">
        <v>227</v>
      </c>
      <c r="B84" s="27" t="s">
        <v>46</v>
      </c>
      <c r="C84" s="27" t="s">
        <v>47</v>
      </c>
      <c r="D84" s="28" t="s">
        <v>214</v>
      </c>
    </row>
    <row r="85" spans="1:4" ht="15.75" thickBot="1" x14ac:dyDescent="0.3">
      <c r="A85" s="24"/>
      <c r="B85" s="25" t="s">
        <v>49</v>
      </c>
      <c r="C85" s="25" t="s">
        <v>47</v>
      </c>
      <c r="D85" s="29" t="s">
        <v>215</v>
      </c>
    </row>
    <row r="86" spans="1:4" ht="15.75" thickBot="1" x14ac:dyDescent="0.3">
      <c r="A86" s="24"/>
      <c r="B86" s="25" t="s">
        <v>51</v>
      </c>
      <c r="C86" s="25" t="s">
        <v>47</v>
      </c>
      <c r="D86" s="29" t="s">
        <v>57</v>
      </c>
    </row>
    <row r="87" spans="1:4" ht="15.75" thickBot="1" x14ac:dyDescent="0.3">
      <c r="A87" s="24"/>
      <c r="B87" s="25" t="s">
        <v>53</v>
      </c>
      <c r="C87" s="25" t="s">
        <v>47</v>
      </c>
      <c r="D87" s="31" t="s">
        <v>181</v>
      </c>
    </row>
    <row r="88" spans="1:4" ht="15.75" thickBot="1" x14ac:dyDescent="0.3">
      <c r="A88" s="24" t="s">
        <v>228</v>
      </c>
      <c r="B88" s="27" t="s">
        <v>46</v>
      </c>
      <c r="C88" s="27" t="s">
        <v>47</v>
      </c>
      <c r="D88" s="28" t="s">
        <v>216</v>
      </c>
    </row>
    <row r="89" spans="1:4" ht="15.75" thickBot="1" x14ac:dyDescent="0.3">
      <c r="A89" s="24"/>
      <c r="B89" s="25" t="s">
        <v>49</v>
      </c>
      <c r="C89" s="25" t="s">
        <v>47</v>
      </c>
      <c r="D89" s="29" t="s">
        <v>217</v>
      </c>
    </row>
    <row r="90" spans="1:4" ht="15.75" thickBot="1" x14ac:dyDescent="0.3">
      <c r="A90" s="24"/>
      <c r="B90" s="25" t="s">
        <v>51</v>
      </c>
      <c r="C90" s="25" t="s">
        <v>47</v>
      </c>
      <c r="D90" s="29" t="s">
        <v>218</v>
      </c>
    </row>
    <row r="91" spans="1:4" ht="15.75" thickBot="1" x14ac:dyDescent="0.3">
      <c r="A91" s="24"/>
      <c r="B91" s="25" t="s">
        <v>53</v>
      </c>
      <c r="C91" s="25" t="s">
        <v>47</v>
      </c>
      <c r="D91" s="31" t="s">
        <v>219</v>
      </c>
    </row>
    <row r="92" spans="1:4" ht="15.75" thickBot="1" x14ac:dyDescent="0.3">
      <c r="A92" s="24" t="s">
        <v>229</v>
      </c>
      <c r="B92" s="27" t="s">
        <v>46</v>
      </c>
      <c r="C92" s="27" t="s">
        <v>47</v>
      </c>
      <c r="D92" s="28" t="s">
        <v>220</v>
      </c>
    </row>
    <row r="93" spans="1:4" ht="15.75" thickBot="1" x14ac:dyDescent="0.3">
      <c r="A93" s="24"/>
      <c r="B93" s="25" t="s">
        <v>49</v>
      </c>
      <c r="C93" s="25" t="s">
        <v>47</v>
      </c>
      <c r="D93" s="29" t="s">
        <v>221</v>
      </c>
    </row>
    <row r="94" spans="1:4" ht="15.75" thickBot="1" x14ac:dyDescent="0.3">
      <c r="A94" s="24"/>
      <c r="B94" s="25" t="s">
        <v>51</v>
      </c>
      <c r="C94" s="25" t="s">
        <v>47</v>
      </c>
      <c r="D94" s="29" t="s">
        <v>218</v>
      </c>
    </row>
    <row r="95" spans="1:4" ht="15.75" thickBot="1" x14ac:dyDescent="0.3">
      <c r="A95" s="24"/>
      <c r="B95" s="25" t="s">
        <v>53</v>
      </c>
      <c r="C95" s="25" t="s">
        <v>47</v>
      </c>
      <c r="D95" s="31" t="s">
        <v>222</v>
      </c>
    </row>
    <row r="96" spans="1:4" ht="26.25" thickBot="1" x14ac:dyDescent="0.3">
      <c r="A96" s="24" t="s">
        <v>230</v>
      </c>
      <c r="B96" s="27" t="s">
        <v>46</v>
      </c>
      <c r="C96" s="27" t="s">
        <v>47</v>
      </c>
      <c r="D96" s="59" t="s">
        <v>223</v>
      </c>
    </row>
    <row r="97" spans="1:4" ht="15.75" thickBot="1" x14ac:dyDescent="0.3">
      <c r="A97" s="24"/>
      <c r="B97" s="25" t="s">
        <v>49</v>
      </c>
      <c r="C97" s="25" t="s">
        <v>47</v>
      </c>
      <c r="D97" s="29" t="s">
        <v>224</v>
      </c>
    </row>
    <row r="98" spans="1:4" ht="15.75" thickBot="1" x14ac:dyDescent="0.3">
      <c r="A98" s="24"/>
      <c r="B98" s="25" t="s">
        <v>51</v>
      </c>
      <c r="C98" s="25" t="s">
        <v>47</v>
      </c>
      <c r="D98" s="29" t="s">
        <v>218</v>
      </c>
    </row>
    <row r="99" spans="1:4" ht="15.75" thickBot="1" x14ac:dyDescent="0.3">
      <c r="A99" s="24"/>
      <c r="B99" s="25" t="s">
        <v>53</v>
      </c>
      <c r="C99" s="25" t="s">
        <v>47</v>
      </c>
      <c r="D99" s="31" t="s">
        <v>225</v>
      </c>
    </row>
    <row r="100" spans="1:4" ht="15.75" thickBot="1" x14ac:dyDescent="0.3">
      <c r="A100" s="24" t="s">
        <v>231</v>
      </c>
      <c r="B100" s="27" t="s">
        <v>46</v>
      </c>
      <c r="C100" s="27" t="s">
        <v>47</v>
      </c>
      <c r="D100" s="28" t="s">
        <v>126</v>
      </c>
    </row>
    <row r="101" spans="1:4" ht="15.75" thickBot="1" x14ac:dyDescent="0.3">
      <c r="A101" s="24"/>
      <c r="B101" s="25" t="s">
        <v>49</v>
      </c>
      <c r="C101" s="25" t="s">
        <v>47</v>
      </c>
      <c r="D101" s="29" t="s">
        <v>70</v>
      </c>
    </row>
    <row r="102" spans="1:4" ht="15.75" thickBot="1" x14ac:dyDescent="0.3">
      <c r="A102" s="24"/>
      <c r="B102" s="25" t="s">
        <v>51</v>
      </c>
      <c r="C102" s="25" t="s">
        <v>47</v>
      </c>
      <c r="D102" s="29" t="s">
        <v>57</v>
      </c>
    </row>
    <row r="103" spans="1:4" ht="15.75" thickBot="1" x14ac:dyDescent="0.3">
      <c r="A103" s="24"/>
      <c r="B103" s="25" t="s">
        <v>53</v>
      </c>
      <c r="C103" s="25" t="s">
        <v>47</v>
      </c>
      <c r="D103" s="30">
        <v>3811171757</v>
      </c>
    </row>
    <row r="104" spans="1:4" ht="15.75" thickBot="1" x14ac:dyDescent="0.3">
      <c r="A104" s="24" t="s">
        <v>232</v>
      </c>
      <c r="B104" s="27" t="s">
        <v>46</v>
      </c>
      <c r="C104" s="27" t="s">
        <v>47</v>
      </c>
      <c r="D104" s="28" t="s">
        <v>178</v>
      </c>
    </row>
    <row r="105" spans="1:4" ht="15.75" thickBot="1" x14ac:dyDescent="0.3">
      <c r="A105" s="24"/>
      <c r="B105" s="25" t="s">
        <v>49</v>
      </c>
      <c r="C105" s="25" t="s">
        <v>47</v>
      </c>
      <c r="D105" s="29" t="s">
        <v>70</v>
      </c>
    </row>
    <row r="106" spans="1:4" ht="15.75" thickBot="1" x14ac:dyDescent="0.3">
      <c r="A106" s="24"/>
      <c r="B106" s="25" t="s">
        <v>51</v>
      </c>
      <c r="C106" s="25" t="s">
        <v>47</v>
      </c>
      <c r="D106" s="29" t="s">
        <v>57</v>
      </c>
    </row>
    <row r="107" spans="1:4" ht="15.75" thickBot="1" x14ac:dyDescent="0.3">
      <c r="A107" s="24"/>
      <c r="B107" s="25" t="s">
        <v>53</v>
      </c>
      <c r="C107" s="25" t="s">
        <v>47</v>
      </c>
      <c r="D107" s="30">
        <v>3811171757</v>
      </c>
    </row>
    <row r="108" spans="1:4" ht="15.75" thickBot="1" x14ac:dyDescent="0.3">
      <c r="A108" s="24" t="s">
        <v>236</v>
      </c>
      <c r="B108" s="27" t="s">
        <v>46</v>
      </c>
      <c r="C108" s="27" t="s">
        <v>47</v>
      </c>
      <c r="D108" s="28" t="s">
        <v>235</v>
      </c>
    </row>
    <row r="109" spans="1:4" ht="15.75" thickBot="1" x14ac:dyDescent="0.3">
      <c r="A109" s="24"/>
      <c r="B109" s="25" t="s">
        <v>49</v>
      </c>
      <c r="C109" s="25" t="s">
        <v>47</v>
      </c>
      <c r="D109" s="29" t="s">
        <v>129</v>
      </c>
    </row>
    <row r="110" spans="1:4" ht="15.75" thickBot="1" x14ac:dyDescent="0.3">
      <c r="A110" s="24"/>
      <c r="B110" s="25" t="s">
        <v>51</v>
      </c>
      <c r="C110" s="25" t="s">
        <v>47</v>
      </c>
      <c r="D110" s="29" t="s">
        <v>218</v>
      </c>
    </row>
    <row r="111" spans="1:4" ht="15.75" thickBot="1" x14ac:dyDescent="0.3">
      <c r="A111" s="24"/>
      <c r="B111" s="25" t="s">
        <v>53</v>
      </c>
      <c r="C111" s="25" t="s">
        <v>47</v>
      </c>
      <c r="D111" s="30">
        <v>3810333490</v>
      </c>
    </row>
    <row r="112" spans="1:4" ht="15.75" thickBot="1" x14ac:dyDescent="0.3">
      <c r="A112" s="24" t="s">
        <v>238</v>
      </c>
      <c r="B112" s="27" t="s">
        <v>46</v>
      </c>
      <c r="C112" s="27" t="s">
        <v>47</v>
      </c>
      <c r="D112" s="28" t="s">
        <v>237</v>
      </c>
    </row>
    <row r="113" spans="1:4" ht="15.75" thickBot="1" x14ac:dyDescent="0.3">
      <c r="A113" s="24"/>
      <c r="B113" s="25" t="s">
        <v>49</v>
      </c>
      <c r="C113" s="25" t="s">
        <v>47</v>
      </c>
      <c r="D113" s="29" t="s">
        <v>151</v>
      </c>
    </row>
    <row r="114" spans="1:4" ht="15.75" thickBot="1" x14ac:dyDescent="0.3">
      <c r="A114" s="24"/>
      <c r="B114" s="25" t="s">
        <v>51</v>
      </c>
      <c r="C114" s="25" t="s">
        <v>47</v>
      </c>
      <c r="D114" s="29" t="s">
        <v>218</v>
      </c>
    </row>
    <row r="115" spans="1:4" ht="15.75" thickBot="1" x14ac:dyDescent="0.3">
      <c r="A115" s="24"/>
      <c r="B115" s="25" t="s">
        <v>53</v>
      </c>
      <c r="C115" s="25" t="s">
        <v>47</v>
      </c>
      <c r="D115" s="30">
        <v>3827043895</v>
      </c>
    </row>
    <row r="116" spans="1:4" ht="15.75" thickBot="1" x14ac:dyDescent="0.3">
      <c r="A116" s="24" t="s">
        <v>240</v>
      </c>
      <c r="B116" s="27" t="s">
        <v>46</v>
      </c>
      <c r="C116" s="27" t="s">
        <v>47</v>
      </c>
      <c r="D116" s="28" t="s">
        <v>239</v>
      </c>
    </row>
    <row r="117" spans="1:4" ht="15.75" thickBot="1" x14ac:dyDescent="0.3">
      <c r="A117" s="24"/>
      <c r="B117" s="25" t="s">
        <v>49</v>
      </c>
      <c r="C117" s="25" t="s">
        <v>47</v>
      </c>
      <c r="D117" s="29" t="s">
        <v>151</v>
      </c>
    </row>
    <row r="118" spans="1:4" ht="15.75" thickBot="1" x14ac:dyDescent="0.3">
      <c r="A118" s="24"/>
      <c r="B118" s="25" t="s">
        <v>51</v>
      </c>
      <c r="C118" s="25" t="s">
        <v>47</v>
      </c>
      <c r="D118" s="29" t="s">
        <v>218</v>
      </c>
    </row>
    <row r="119" spans="1:4" ht="15.75" thickBot="1" x14ac:dyDescent="0.3">
      <c r="A119" s="24"/>
      <c r="B119" s="25" t="s">
        <v>53</v>
      </c>
      <c r="C119" s="25" t="s">
        <v>47</v>
      </c>
      <c r="D119" s="30">
        <v>3827043895</v>
      </c>
    </row>
    <row r="120" spans="1:4" ht="15.75" thickBot="1" x14ac:dyDescent="0.3">
      <c r="A120" s="24" t="s">
        <v>241</v>
      </c>
      <c r="B120" s="27" t="s">
        <v>46</v>
      </c>
      <c r="C120" s="27" t="s">
        <v>47</v>
      </c>
      <c r="D120" s="28" t="s">
        <v>242</v>
      </c>
    </row>
    <row r="121" spans="1:4" ht="15.75" thickBot="1" x14ac:dyDescent="0.3">
      <c r="A121" s="24"/>
      <c r="B121" s="25" t="s">
        <v>49</v>
      </c>
      <c r="C121" s="25" t="s">
        <v>47</v>
      </c>
      <c r="D121" s="29" t="s">
        <v>151</v>
      </c>
    </row>
    <row r="122" spans="1:4" ht="15.75" thickBot="1" x14ac:dyDescent="0.3">
      <c r="A122" s="24"/>
      <c r="B122" s="25" t="s">
        <v>51</v>
      </c>
      <c r="C122" s="25" t="s">
        <v>47</v>
      </c>
      <c r="D122" s="29" t="s">
        <v>218</v>
      </c>
    </row>
    <row r="123" spans="1:4" ht="15.75" thickBot="1" x14ac:dyDescent="0.3">
      <c r="A123" s="24"/>
      <c r="B123" s="25" t="s">
        <v>53</v>
      </c>
      <c r="C123" s="25" t="s">
        <v>47</v>
      </c>
      <c r="D123" s="30">
        <v>3827043895</v>
      </c>
    </row>
    <row r="124" spans="1:4" x14ac:dyDescent="0.25">
      <c r="A124" s="2"/>
      <c r="B124" s="2"/>
      <c r="C124" s="2"/>
      <c r="D124" s="2"/>
    </row>
    <row r="125" spans="1:4" ht="15.75" thickBot="1" x14ac:dyDescent="0.3">
      <c r="A125" s="8" t="s">
        <v>71</v>
      </c>
      <c r="B125" s="2"/>
      <c r="C125" s="2"/>
      <c r="D125" s="2"/>
    </row>
    <row r="126" spans="1:4" ht="15.75" thickBot="1" x14ac:dyDescent="0.3">
      <c r="A126" s="22" t="s">
        <v>72</v>
      </c>
      <c r="B126" s="32" t="s">
        <v>73</v>
      </c>
      <c r="C126" s="32" t="s">
        <v>47</v>
      </c>
      <c r="D126" s="33">
        <v>0</v>
      </c>
    </row>
    <row r="127" spans="1:4" ht="15.75" thickBot="1" x14ac:dyDescent="0.3">
      <c r="A127" s="24" t="s">
        <v>74</v>
      </c>
      <c r="B127" s="25" t="s">
        <v>75</v>
      </c>
      <c r="C127" s="25" t="s">
        <v>47</v>
      </c>
      <c r="D127" s="29">
        <v>0</v>
      </c>
    </row>
    <row r="128" spans="1:4" ht="15.75" thickBot="1" x14ac:dyDescent="0.3">
      <c r="A128" s="24" t="s">
        <v>76</v>
      </c>
      <c r="B128" s="25" t="s">
        <v>77</v>
      </c>
      <c r="C128" s="25" t="s">
        <v>47</v>
      </c>
      <c r="D128" s="29">
        <v>0</v>
      </c>
    </row>
    <row r="129" spans="1:4" ht="15.75" thickBot="1" x14ac:dyDescent="0.3">
      <c r="A129" s="22" t="s">
        <v>78</v>
      </c>
      <c r="B129" s="34" t="s">
        <v>79</v>
      </c>
      <c r="C129" s="34" t="s">
        <v>13</v>
      </c>
      <c r="D129" s="35">
        <v>0</v>
      </c>
    </row>
    <row r="130" spans="1:4" x14ac:dyDescent="0.25">
      <c r="A130" s="2"/>
      <c r="B130" s="2"/>
      <c r="C130" s="2"/>
      <c r="D130" s="2"/>
    </row>
    <row r="131" spans="1:4" ht="15.75" thickBot="1" x14ac:dyDescent="0.3">
      <c r="A131" s="8" t="s">
        <v>80</v>
      </c>
      <c r="B131" s="2"/>
      <c r="C131" s="2"/>
      <c r="D131" s="2"/>
    </row>
    <row r="132" spans="1:4" ht="15.75" thickBot="1" x14ac:dyDescent="0.3">
      <c r="A132" s="36" t="s">
        <v>81</v>
      </c>
      <c r="B132" s="33" t="s">
        <v>82</v>
      </c>
      <c r="C132" s="32" t="s">
        <v>13</v>
      </c>
      <c r="D132" s="37">
        <v>0</v>
      </c>
    </row>
    <row r="133" spans="1:4" ht="15.75" thickBot="1" x14ac:dyDescent="0.3">
      <c r="A133" s="38" t="s">
        <v>83</v>
      </c>
      <c r="B133" s="25" t="s">
        <v>84</v>
      </c>
      <c r="C133" s="25" t="s">
        <v>13</v>
      </c>
      <c r="D133" s="39">
        <v>0</v>
      </c>
    </row>
    <row r="134" spans="1:4" ht="15.75" thickBot="1" x14ac:dyDescent="0.3">
      <c r="A134" s="38" t="s">
        <v>85</v>
      </c>
      <c r="B134" s="25" t="s">
        <v>86</v>
      </c>
      <c r="C134" s="25" t="s">
        <v>13</v>
      </c>
      <c r="D134" s="39">
        <v>0</v>
      </c>
    </row>
    <row r="135" spans="1:4" ht="15.75" thickBot="1" x14ac:dyDescent="0.3">
      <c r="A135" s="38" t="s">
        <v>87</v>
      </c>
      <c r="B135" s="29" t="s">
        <v>88</v>
      </c>
      <c r="C135" s="25" t="s">
        <v>13</v>
      </c>
      <c r="D135" s="39">
        <f>D137+D136</f>
        <v>359163.89999999991</v>
      </c>
    </row>
    <row r="136" spans="1:4" ht="15.75" thickBot="1" x14ac:dyDescent="0.3">
      <c r="A136" s="38" t="s">
        <v>89</v>
      </c>
      <c r="B136" s="25" t="s">
        <v>84</v>
      </c>
      <c r="C136" s="25" t="s">
        <v>13</v>
      </c>
      <c r="D136" s="39">
        <f>-(0.08+715.79+993.22+1259.19+570.28+1298.5+637.14)</f>
        <v>-5474.2000000000007</v>
      </c>
    </row>
    <row r="137" spans="1:4" ht="15.75" thickBot="1" x14ac:dyDescent="0.3">
      <c r="A137" s="38" t="s">
        <v>90</v>
      </c>
      <c r="B137" s="25" t="s">
        <v>86</v>
      </c>
      <c r="C137" s="25" t="s">
        <v>13</v>
      </c>
      <c r="D137" s="39">
        <f>311082.16+5921.97+3536.23+21498.1+10495.65+1615.5+10488.49</f>
        <v>364638.09999999992</v>
      </c>
    </row>
    <row r="138" spans="1:4" x14ac:dyDescent="0.25">
      <c r="A138" s="2"/>
      <c r="B138" s="2"/>
      <c r="C138" s="2"/>
      <c r="D138" s="2"/>
    </row>
    <row r="139" spans="1:4" ht="15.75" thickBot="1" x14ac:dyDescent="0.3">
      <c r="A139" s="8" t="s">
        <v>91</v>
      </c>
      <c r="B139" s="2"/>
      <c r="C139" s="2"/>
      <c r="D139" s="2"/>
    </row>
    <row r="140" spans="1:4" ht="15.75" thickBot="1" x14ac:dyDescent="0.3">
      <c r="A140" s="40" t="s">
        <v>92</v>
      </c>
      <c r="B140" s="41" t="s">
        <v>93</v>
      </c>
      <c r="C140" s="42" t="s">
        <v>47</v>
      </c>
      <c r="D140" s="41" t="s">
        <v>94</v>
      </c>
    </row>
    <row r="141" spans="1:4" ht="15.75" thickBot="1" x14ac:dyDescent="0.3">
      <c r="A141" s="24"/>
      <c r="B141" s="29" t="s">
        <v>95</v>
      </c>
      <c r="C141" s="25" t="s">
        <v>47</v>
      </c>
      <c r="D141" s="29" t="s">
        <v>96</v>
      </c>
    </row>
    <row r="142" spans="1:4" ht="15.75" thickBot="1" x14ac:dyDescent="0.3">
      <c r="A142" s="24"/>
      <c r="B142" s="29" t="s">
        <v>97</v>
      </c>
      <c r="C142" s="25" t="s">
        <v>96</v>
      </c>
      <c r="D142" s="39">
        <v>969.27919999999995</v>
      </c>
    </row>
    <row r="143" spans="1:4" ht="15.75" thickBot="1" x14ac:dyDescent="0.3">
      <c r="A143" s="24"/>
      <c r="B143" s="29" t="s">
        <v>98</v>
      </c>
      <c r="C143" s="25" t="s">
        <v>13</v>
      </c>
      <c r="D143" s="39">
        <f>984516.48-15810</f>
        <v>968706.48</v>
      </c>
    </row>
    <row r="144" spans="1:4" ht="15.75" thickBot="1" x14ac:dyDescent="0.3">
      <c r="A144" s="24"/>
      <c r="B144" s="25" t="s">
        <v>99</v>
      </c>
      <c r="C144" s="25" t="s">
        <v>13</v>
      </c>
      <c r="D144" s="43">
        <v>657624.4</v>
      </c>
    </row>
    <row r="145" spans="1:4" ht="15.75" thickBot="1" x14ac:dyDescent="0.3">
      <c r="A145" s="24"/>
      <c r="B145" s="25" t="s">
        <v>100</v>
      </c>
      <c r="C145" s="25" t="s">
        <v>13</v>
      </c>
      <c r="D145" s="43">
        <f>D143-D144</f>
        <v>311082.07999999996</v>
      </c>
    </row>
    <row r="146" spans="1:4" ht="15.75" thickBot="1" x14ac:dyDescent="0.3">
      <c r="A146" s="24"/>
      <c r="B146" s="25" t="s">
        <v>101</v>
      </c>
      <c r="C146" s="25" t="s">
        <v>13</v>
      </c>
      <c r="D146" s="43">
        <v>543748.39</v>
      </c>
    </row>
    <row r="147" spans="1:4" ht="15.75" thickBot="1" x14ac:dyDescent="0.3">
      <c r="A147" s="24"/>
      <c r="B147" s="25" t="s">
        <v>102</v>
      </c>
      <c r="C147" s="25" t="s">
        <v>13</v>
      </c>
      <c r="D147" s="43">
        <f>D144</f>
        <v>657624.4</v>
      </c>
    </row>
    <row r="148" spans="1:4" ht="15.75" thickBot="1" x14ac:dyDescent="0.3">
      <c r="A148" s="24"/>
      <c r="B148" s="25" t="s">
        <v>103</v>
      </c>
      <c r="C148" s="25" t="s">
        <v>13</v>
      </c>
      <c r="D148" s="43">
        <f>D145</f>
        <v>311082.07999999996</v>
      </c>
    </row>
    <row r="149" spans="1:4" ht="15.75" thickBot="1" x14ac:dyDescent="0.3">
      <c r="A149" s="24"/>
      <c r="B149" s="29" t="s">
        <v>104</v>
      </c>
      <c r="C149" s="25" t="s">
        <v>13</v>
      </c>
      <c r="D149" s="39">
        <v>0</v>
      </c>
    </row>
    <row r="150" spans="1:4" ht="15.75" thickBot="1" x14ac:dyDescent="0.3">
      <c r="A150" s="40" t="s">
        <v>105</v>
      </c>
      <c r="B150" s="41" t="s">
        <v>93</v>
      </c>
      <c r="C150" s="42" t="s">
        <v>47</v>
      </c>
      <c r="D150" s="41" t="s">
        <v>106</v>
      </c>
    </row>
    <row r="151" spans="1:4" ht="15.75" thickBot="1" x14ac:dyDescent="0.3">
      <c r="A151" s="24"/>
      <c r="B151" s="29" t="s">
        <v>95</v>
      </c>
      <c r="C151" s="25" t="s">
        <v>47</v>
      </c>
      <c r="D151" s="29" t="s">
        <v>107</v>
      </c>
    </row>
    <row r="152" spans="1:4" ht="15.75" thickBot="1" x14ac:dyDescent="0.3">
      <c r="A152" s="24"/>
      <c r="B152" s="29" t="s">
        <v>97</v>
      </c>
      <c r="C152" s="25" t="s">
        <v>107</v>
      </c>
      <c r="D152" s="44">
        <f>1603.8855+1081.9863</f>
        <v>2685.8717999999999</v>
      </c>
    </row>
    <row r="153" spans="1:4" ht="15.75" thickBot="1" x14ac:dyDescent="0.3">
      <c r="A153" s="24"/>
      <c r="B153" s="29" t="s">
        <v>98</v>
      </c>
      <c r="C153" s="25" t="s">
        <v>13</v>
      </c>
      <c r="D153" s="44">
        <f>5245.72-99.24+16919.73-63.42+11392.78-40.06</f>
        <v>33355.51</v>
      </c>
    </row>
    <row r="154" spans="1:4" ht="15.75" thickBot="1" x14ac:dyDescent="0.3">
      <c r="A154" s="24"/>
      <c r="B154" s="25" t="s">
        <v>99</v>
      </c>
      <c r="C154" s="25" t="s">
        <v>13</v>
      </c>
      <c r="D154" s="45">
        <f>4829.48+11719+8849.62</f>
        <v>25398.1</v>
      </c>
    </row>
    <row r="155" spans="1:4" ht="15.75" thickBot="1" x14ac:dyDescent="0.3">
      <c r="A155" s="24"/>
      <c r="B155" s="25" t="s">
        <v>100</v>
      </c>
      <c r="C155" s="25" t="s">
        <v>13</v>
      </c>
      <c r="D155" s="45">
        <f>D153-D154</f>
        <v>7957.4100000000035</v>
      </c>
    </row>
    <row r="156" spans="1:4" ht="15.75" thickBot="1" x14ac:dyDescent="0.3">
      <c r="A156" s="24"/>
      <c r="B156" s="25" t="s">
        <v>101</v>
      </c>
      <c r="C156" s="25" t="s">
        <v>13</v>
      </c>
      <c r="D156" s="45">
        <f>28635.5425</f>
        <v>28635.5425</v>
      </c>
    </row>
    <row r="157" spans="1:4" ht="15.75" thickBot="1" x14ac:dyDescent="0.3">
      <c r="A157" s="24"/>
      <c r="B157" s="25" t="s">
        <v>102</v>
      </c>
      <c r="C157" s="25" t="s">
        <v>13</v>
      </c>
      <c r="D157" s="45">
        <f>D154</f>
        <v>25398.1</v>
      </c>
    </row>
    <row r="158" spans="1:4" ht="15.75" thickBot="1" x14ac:dyDescent="0.3">
      <c r="A158" s="24"/>
      <c r="B158" s="25" t="s">
        <v>103</v>
      </c>
      <c r="C158" s="25" t="s">
        <v>13</v>
      </c>
      <c r="D158" s="45">
        <f>D155</f>
        <v>7957.4100000000035</v>
      </c>
    </row>
    <row r="159" spans="1:4" ht="15.75" thickBot="1" x14ac:dyDescent="0.3">
      <c r="A159" s="24"/>
      <c r="B159" s="29" t="s">
        <v>104</v>
      </c>
      <c r="C159" s="25" t="s">
        <v>13</v>
      </c>
      <c r="D159" s="44">
        <v>0</v>
      </c>
    </row>
    <row r="160" spans="1:4" ht="15.75" thickBot="1" x14ac:dyDescent="0.3">
      <c r="A160" s="40" t="s">
        <v>108</v>
      </c>
      <c r="B160" s="41" t="s">
        <v>93</v>
      </c>
      <c r="C160" s="42" t="s">
        <v>47</v>
      </c>
      <c r="D160" s="41" t="s">
        <v>109</v>
      </c>
    </row>
    <row r="161" spans="1:4" ht="15.75" thickBot="1" x14ac:dyDescent="0.3">
      <c r="A161" s="24"/>
      <c r="B161" s="29" t="s">
        <v>95</v>
      </c>
      <c r="C161" s="25" t="s">
        <v>47</v>
      </c>
      <c r="D161" s="29" t="s">
        <v>107</v>
      </c>
    </row>
    <row r="162" spans="1:4" ht="15.75" thickBot="1" x14ac:dyDescent="0.3">
      <c r="A162" s="24"/>
      <c r="B162" s="29" t="s">
        <v>97</v>
      </c>
      <c r="C162" s="25" t="s">
        <v>107</v>
      </c>
      <c r="D162" s="44">
        <v>59.509599999999999</v>
      </c>
    </row>
    <row r="163" spans="1:4" ht="15.75" thickBot="1" x14ac:dyDescent="0.3">
      <c r="A163" s="24"/>
      <c r="B163" s="29" t="s">
        <v>98</v>
      </c>
      <c r="C163" s="25" t="s">
        <v>13</v>
      </c>
      <c r="D163" s="44">
        <f>61806.9-217.05+33794.7-647.39</f>
        <v>94737.159999999989</v>
      </c>
    </row>
    <row r="164" spans="1:4" ht="15.75" thickBot="1" x14ac:dyDescent="0.3">
      <c r="A164" s="24"/>
      <c r="B164" s="25" t="s">
        <v>99</v>
      </c>
      <c r="C164" s="25" t="s">
        <v>13</v>
      </c>
      <c r="D164" s="45">
        <f>41553.43+23295.96</f>
        <v>64849.39</v>
      </c>
    </row>
    <row r="165" spans="1:4" ht="15.75" thickBot="1" x14ac:dyDescent="0.3">
      <c r="A165" s="24"/>
      <c r="B165" s="25" t="s">
        <v>100</v>
      </c>
      <c r="C165" s="25" t="s">
        <v>13</v>
      </c>
      <c r="D165" s="45">
        <f>D163-D164</f>
        <v>29887.76999999999</v>
      </c>
    </row>
    <row r="166" spans="1:4" ht="15.75" thickBot="1" x14ac:dyDescent="0.3">
      <c r="A166" s="24"/>
      <c r="B166" s="25" t="s">
        <v>101</v>
      </c>
      <c r="C166" s="25" t="s">
        <v>13</v>
      </c>
      <c r="D166" s="45">
        <v>0</v>
      </c>
    </row>
    <row r="167" spans="1:4" ht="15.75" thickBot="1" x14ac:dyDescent="0.3">
      <c r="A167" s="24"/>
      <c r="B167" s="25" t="s">
        <v>102</v>
      </c>
      <c r="C167" s="25" t="s">
        <v>13</v>
      </c>
      <c r="D167" s="45">
        <f>D164</f>
        <v>64849.39</v>
      </c>
    </row>
    <row r="168" spans="1:4" ht="15.75" thickBot="1" x14ac:dyDescent="0.3">
      <c r="A168" s="24"/>
      <c r="B168" s="25" t="s">
        <v>103</v>
      </c>
      <c r="C168" s="25" t="s">
        <v>13</v>
      </c>
      <c r="D168" s="45">
        <f>D165</f>
        <v>29887.76999999999</v>
      </c>
    </row>
    <row r="169" spans="1:4" ht="15.75" thickBot="1" x14ac:dyDescent="0.3">
      <c r="A169" s="24"/>
      <c r="B169" s="29" t="s">
        <v>104</v>
      </c>
      <c r="C169" s="25" t="s">
        <v>13</v>
      </c>
      <c r="D169" s="44">
        <v>0</v>
      </c>
    </row>
    <row r="170" spans="1:4" ht="15.75" thickBot="1" x14ac:dyDescent="0.3">
      <c r="A170" s="40" t="s">
        <v>110</v>
      </c>
      <c r="B170" s="41" t="s">
        <v>93</v>
      </c>
      <c r="C170" s="42" t="s">
        <v>47</v>
      </c>
      <c r="D170" s="41" t="s">
        <v>111</v>
      </c>
    </row>
    <row r="171" spans="1:4" ht="15.75" thickBot="1" x14ac:dyDescent="0.3">
      <c r="A171" s="24"/>
      <c r="B171" s="29" t="s">
        <v>95</v>
      </c>
      <c r="C171" s="25" t="s">
        <v>47</v>
      </c>
      <c r="D171" s="29" t="s">
        <v>107</v>
      </c>
    </row>
    <row r="172" spans="1:4" ht="15.75" thickBot="1" x14ac:dyDescent="0.3">
      <c r="A172" s="24"/>
      <c r="B172" s="29" t="s">
        <v>97</v>
      </c>
      <c r="C172" s="25" t="s">
        <v>107</v>
      </c>
      <c r="D172" s="39">
        <v>2685.8715999999999</v>
      </c>
    </row>
    <row r="173" spans="1:4" ht="15.75" thickBot="1" x14ac:dyDescent="0.3">
      <c r="A173" s="24"/>
      <c r="B173" s="29" t="s">
        <v>98</v>
      </c>
      <c r="C173" s="25" t="s">
        <v>13</v>
      </c>
      <c r="D173" s="39">
        <f>30266.7-110.82</f>
        <v>30155.88</v>
      </c>
    </row>
    <row r="174" spans="1:4" ht="15.75" thickBot="1" x14ac:dyDescent="0.3">
      <c r="A174" s="24"/>
      <c r="B174" s="25" t="s">
        <v>99</v>
      </c>
      <c r="C174" s="25" t="s">
        <v>13</v>
      </c>
      <c r="D174" s="43">
        <v>20339.509999999998</v>
      </c>
    </row>
    <row r="175" spans="1:4" ht="15.75" thickBot="1" x14ac:dyDescent="0.3">
      <c r="A175" s="24"/>
      <c r="B175" s="25" t="s">
        <v>100</v>
      </c>
      <c r="C175" s="25" t="s">
        <v>13</v>
      </c>
      <c r="D175" s="43">
        <f>D173-D174</f>
        <v>9816.3700000000026</v>
      </c>
    </row>
    <row r="176" spans="1:4" ht="15.75" thickBot="1" x14ac:dyDescent="0.3">
      <c r="A176" s="24"/>
      <c r="B176" s="25" t="s">
        <v>101</v>
      </c>
      <c r="C176" s="25" t="s">
        <v>13</v>
      </c>
      <c r="D176" s="43">
        <f>40067.32719</f>
        <v>40067.327190000004</v>
      </c>
    </row>
    <row r="177" spans="1:4" ht="15.75" thickBot="1" x14ac:dyDescent="0.3">
      <c r="A177" s="24"/>
      <c r="B177" s="25" t="s">
        <v>102</v>
      </c>
      <c r="C177" s="25" t="s">
        <v>13</v>
      </c>
      <c r="D177" s="43">
        <f>D174</f>
        <v>20339.509999999998</v>
      </c>
    </row>
    <row r="178" spans="1:4" ht="15.75" thickBot="1" x14ac:dyDescent="0.3">
      <c r="A178" s="24"/>
      <c r="B178" s="25" t="s">
        <v>103</v>
      </c>
      <c r="C178" s="25" t="s">
        <v>13</v>
      </c>
      <c r="D178" s="43">
        <f>D175</f>
        <v>9816.3700000000026</v>
      </c>
    </row>
    <row r="179" spans="1:4" ht="15.75" thickBot="1" x14ac:dyDescent="0.3">
      <c r="A179" s="24"/>
      <c r="B179" s="29" t="s">
        <v>104</v>
      </c>
      <c r="C179" s="25" t="s">
        <v>13</v>
      </c>
      <c r="D179" s="39">
        <v>0</v>
      </c>
    </row>
    <row r="180" spans="1:4" x14ac:dyDescent="0.25">
      <c r="A180" s="46"/>
      <c r="B180" s="47"/>
      <c r="C180" s="48"/>
      <c r="D180" s="49"/>
    </row>
    <row r="181" spans="1:4" ht="15.75" thickBot="1" x14ac:dyDescent="0.3">
      <c r="A181" s="8" t="s">
        <v>112</v>
      </c>
      <c r="B181" s="2"/>
      <c r="C181" s="2"/>
      <c r="D181" s="2"/>
    </row>
    <row r="182" spans="1:4" ht="15.75" thickBot="1" x14ac:dyDescent="0.3">
      <c r="A182" s="22" t="s">
        <v>113</v>
      </c>
      <c r="B182" s="33" t="s">
        <v>73</v>
      </c>
      <c r="C182" s="32" t="s">
        <v>114</v>
      </c>
      <c r="D182" s="33">
        <v>0</v>
      </c>
    </row>
    <row r="183" spans="1:4" ht="15.75" thickBot="1" x14ac:dyDescent="0.3">
      <c r="A183" s="24" t="s">
        <v>115</v>
      </c>
      <c r="B183" s="29" t="s">
        <v>75</v>
      </c>
      <c r="C183" s="25" t="s">
        <v>114</v>
      </c>
      <c r="D183" s="29">
        <v>0</v>
      </c>
    </row>
    <row r="184" spans="1:4" ht="15.75" thickBot="1" x14ac:dyDescent="0.3">
      <c r="A184" s="24" t="s">
        <v>116</v>
      </c>
      <c r="B184" s="29" t="s">
        <v>77</v>
      </c>
      <c r="C184" s="25" t="s">
        <v>114</v>
      </c>
      <c r="D184" s="29">
        <v>0</v>
      </c>
    </row>
    <row r="185" spans="1:4" ht="15.75" thickBot="1" x14ac:dyDescent="0.3">
      <c r="A185" s="24" t="s">
        <v>117</v>
      </c>
      <c r="B185" s="29" t="s">
        <v>79</v>
      </c>
      <c r="C185" s="25" t="s">
        <v>13</v>
      </c>
      <c r="D185" s="39">
        <v>0</v>
      </c>
    </row>
    <row r="186" spans="1:4" x14ac:dyDescent="0.25">
      <c r="A186" s="2"/>
      <c r="B186" s="2"/>
      <c r="C186" s="2"/>
      <c r="D186" s="2"/>
    </row>
    <row r="187" spans="1:4" ht="15.75" thickBot="1" x14ac:dyDescent="0.3">
      <c r="A187" s="8" t="s">
        <v>118</v>
      </c>
      <c r="B187" s="2"/>
      <c r="C187" s="2"/>
      <c r="D187" s="2"/>
    </row>
    <row r="188" spans="1:4" ht="15.75" thickBot="1" x14ac:dyDescent="0.3">
      <c r="A188" s="34">
        <v>48</v>
      </c>
      <c r="B188" s="33" t="s">
        <v>119</v>
      </c>
      <c r="C188" s="32" t="s">
        <v>114</v>
      </c>
      <c r="D188" s="33">
        <v>0</v>
      </c>
    </row>
    <row r="189" spans="1:4" ht="15.75" thickBot="1" x14ac:dyDescent="0.3">
      <c r="A189" s="50">
        <v>49</v>
      </c>
      <c r="B189" s="29" t="s">
        <v>120</v>
      </c>
      <c r="C189" s="25" t="s">
        <v>114</v>
      </c>
      <c r="D189" s="29">
        <v>0</v>
      </c>
    </row>
    <row r="190" spans="1:4" ht="15.75" thickBot="1" x14ac:dyDescent="0.3">
      <c r="A190" s="51">
        <v>50</v>
      </c>
      <c r="B190" s="52" t="s">
        <v>121</v>
      </c>
      <c r="C190" s="53" t="s">
        <v>13</v>
      </c>
      <c r="D190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4"/>
  <sheetViews>
    <sheetView topLeftCell="A163" workbookViewId="0">
      <selection activeCell="D120" sqref="D120"/>
    </sheetView>
  </sheetViews>
  <sheetFormatPr defaultRowHeight="15" x14ac:dyDescent="0.25"/>
  <cols>
    <col min="2" max="2" width="71.85546875" customWidth="1"/>
    <col min="3" max="3" width="12.42578125" customWidth="1"/>
    <col min="4" max="4" width="55.71093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243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244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0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634714.03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627614.03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0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475329.25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v>468329.25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7000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v>475329.25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166665.04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166665.04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204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3811037600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205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204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3811037600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134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68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133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3808170471</v>
      </c>
    </row>
    <row r="60" spans="1:4" ht="26.25" thickBot="1" x14ac:dyDescent="0.3">
      <c r="A60" s="24" t="s">
        <v>64</v>
      </c>
      <c r="B60" s="27" t="s">
        <v>46</v>
      </c>
      <c r="C60" s="27" t="s">
        <v>47</v>
      </c>
      <c r="D60" s="59" t="s">
        <v>206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133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3808170471</v>
      </c>
    </row>
    <row r="64" spans="1:4" ht="15.75" thickBot="1" x14ac:dyDescent="0.3">
      <c r="A64" s="24" t="s">
        <v>66</v>
      </c>
      <c r="B64" s="27" t="s">
        <v>46</v>
      </c>
      <c r="C64" s="27" t="s">
        <v>47</v>
      </c>
      <c r="D64" s="28" t="s">
        <v>192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207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57</v>
      </c>
    </row>
    <row r="67" spans="1:4" ht="15.75" thickBot="1" x14ac:dyDescent="0.3">
      <c r="A67" s="24"/>
      <c r="B67" s="25" t="s">
        <v>53</v>
      </c>
      <c r="C67" s="25" t="s">
        <v>47</v>
      </c>
      <c r="D67" s="30">
        <v>3808140910</v>
      </c>
    </row>
    <row r="68" spans="1:4" ht="15.75" thickBot="1" x14ac:dyDescent="0.3">
      <c r="A68" s="24" t="s">
        <v>67</v>
      </c>
      <c r="B68" s="27" t="s">
        <v>46</v>
      </c>
      <c r="C68" s="27" t="s">
        <v>47</v>
      </c>
      <c r="D68" s="28" t="s">
        <v>192</v>
      </c>
    </row>
    <row r="69" spans="1:4" ht="15.75" thickBot="1" x14ac:dyDescent="0.3">
      <c r="A69" s="24"/>
      <c r="B69" s="25" t="s">
        <v>49</v>
      </c>
      <c r="C69" s="25" t="s">
        <v>47</v>
      </c>
      <c r="D69" s="29" t="s">
        <v>208</v>
      </c>
    </row>
    <row r="70" spans="1:4" ht="15.75" thickBot="1" x14ac:dyDescent="0.3">
      <c r="A70" s="24"/>
      <c r="B70" s="25" t="s">
        <v>51</v>
      </c>
      <c r="C70" s="25" t="s">
        <v>47</v>
      </c>
      <c r="D70" s="29" t="s">
        <v>57</v>
      </c>
    </row>
    <row r="71" spans="1:4" ht="15.75" thickBot="1" x14ac:dyDescent="0.3">
      <c r="A71" s="24"/>
      <c r="B71" s="25" t="s">
        <v>53</v>
      </c>
      <c r="C71" s="25" t="s">
        <v>47</v>
      </c>
      <c r="D71" s="30">
        <v>3812080615</v>
      </c>
    </row>
    <row r="72" spans="1:4" ht="15.75" thickBot="1" x14ac:dyDescent="0.3">
      <c r="A72" s="24" t="s">
        <v>69</v>
      </c>
      <c r="B72" s="27" t="s">
        <v>46</v>
      </c>
      <c r="C72" s="27" t="s">
        <v>47</v>
      </c>
      <c r="D72" s="28" t="s">
        <v>209</v>
      </c>
    </row>
    <row r="73" spans="1:4" ht="15.75" thickBot="1" x14ac:dyDescent="0.3">
      <c r="A73" s="24"/>
      <c r="B73" s="25" t="s">
        <v>49</v>
      </c>
      <c r="C73" s="25" t="s">
        <v>47</v>
      </c>
      <c r="D73" s="29" t="s">
        <v>210</v>
      </c>
    </row>
    <row r="74" spans="1:4" ht="15.75" thickBot="1" x14ac:dyDescent="0.3">
      <c r="A74" s="24"/>
      <c r="B74" s="25" t="s">
        <v>51</v>
      </c>
      <c r="C74" s="25" t="s">
        <v>47</v>
      </c>
      <c r="D74" s="29" t="s">
        <v>190</v>
      </c>
    </row>
    <row r="75" spans="1:4" ht="15.75" thickBot="1" x14ac:dyDescent="0.3">
      <c r="A75" s="24"/>
      <c r="B75" s="25" t="s">
        <v>53</v>
      </c>
      <c r="C75" s="25" t="s">
        <v>47</v>
      </c>
      <c r="D75" s="30">
        <v>5405485497</v>
      </c>
    </row>
    <row r="76" spans="1:4" ht="15.75" thickBot="1" x14ac:dyDescent="0.3">
      <c r="A76" s="24" t="s">
        <v>154</v>
      </c>
      <c r="B76" s="27" t="s">
        <v>46</v>
      </c>
      <c r="C76" s="27" t="s">
        <v>47</v>
      </c>
      <c r="D76" s="28" t="s">
        <v>211</v>
      </c>
    </row>
    <row r="77" spans="1:4" ht="15.75" thickBot="1" x14ac:dyDescent="0.3">
      <c r="A77" s="24"/>
      <c r="B77" s="25" t="s">
        <v>49</v>
      </c>
      <c r="C77" s="25" t="s">
        <v>47</v>
      </c>
      <c r="D77" s="29" t="s">
        <v>212</v>
      </c>
    </row>
    <row r="78" spans="1:4" ht="15.75" thickBot="1" x14ac:dyDescent="0.3">
      <c r="A78" s="24"/>
      <c r="B78" s="25" t="s">
        <v>51</v>
      </c>
      <c r="C78" s="25" t="s">
        <v>47</v>
      </c>
      <c r="D78" s="29" t="s">
        <v>190</v>
      </c>
    </row>
    <row r="79" spans="1:4" ht="15.75" thickBot="1" x14ac:dyDescent="0.3">
      <c r="A79" s="24"/>
      <c r="B79" s="25" t="s">
        <v>53</v>
      </c>
      <c r="C79" s="25" t="s">
        <v>47</v>
      </c>
      <c r="D79" s="30">
        <v>7705042179</v>
      </c>
    </row>
    <row r="80" spans="1:4" ht="15.75" thickBot="1" x14ac:dyDescent="0.3">
      <c r="A80" s="24" t="s">
        <v>226</v>
      </c>
      <c r="B80" s="27" t="s">
        <v>46</v>
      </c>
      <c r="C80" s="27" t="s">
        <v>47</v>
      </c>
      <c r="D80" s="28" t="s">
        <v>213</v>
      </c>
    </row>
    <row r="81" spans="1:4" ht="15.75" thickBot="1" x14ac:dyDescent="0.3">
      <c r="A81" s="24"/>
      <c r="B81" s="25" t="s">
        <v>49</v>
      </c>
      <c r="C81" s="25" t="s">
        <v>47</v>
      </c>
      <c r="D81" s="29" t="s">
        <v>189</v>
      </c>
    </row>
    <row r="82" spans="1:4" ht="15.75" thickBot="1" x14ac:dyDescent="0.3">
      <c r="A82" s="24"/>
      <c r="B82" s="25" t="s">
        <v>51</v>
      </c>
      <c r="C82" s="25" t="s">
        <v>47</v>
      </c>
      <c r="D82" s="29" t="s">
        <v>190</v>
      </c>
    </row>
    <row r="83" spans="1:4" ht="15.75" thickBot="1" x14ac:dyDescent="0.3">
      <c r="A83" s="24"/>
      <c r="B83" s="25" t="s">
        <v>53</v>
      </c>
      <c r="C83" s="25" t="s">
        <v>47</v>
      </c>
      <c r="D83" s="30">
        <v>7706196090</v>
      </c>
    </row>
    <row r="84" spans="1:4" ht="15.75" thickBot="1" x14ac:dyDescent="0.3">
      <c r="A84" s="24" t="s">
        <v>227</v>
      </c>
      <c r="B84" s="27" t="s">
        <v>46</v>
      </c>
      <c r="C84" s="27" t="s">
        <v>47</v>
      </c>
      <c r="D84" s="28" t="s">
        <v>214</v>
      </c>
    </row>
    <row r="85" spans="1:4" ht="15.75" thickBot="1" x14ac:dyDescent="0.3">
      <c r="A85" s="24"/>
      <c r="B85" s="25" t="s">
        <v>49</v>
      </c>
      <c r="C85" s="25" t="s">
        <v>47</v>
      </c>
      <c r="D85" s="29" t="s">
        <v>215</v>
      </c>
    </row>
    <row r="86" spans="1:4" ht="15.75" thickBot="1" x14ac:dyDescent="0.3">
      <c r="A86" s="24"/>
      <c r="B86" s="25" t="s">
        <v>51</v>
      </c>
      <c r="C86" s="25" t="s">
        <v>47</v>
      </c>
      <c r="D86" s="29" t="s">
        <v>57</v>
      </c>
    </row>
    <row r="87" spans="1:4" ht="15.75" thickBot="1" x14ac:dyDescent="0.3">
      <c r="A87" s="24"/>
      <c r="B87" s="25" t="s">
        <v>53</v>
      </c>
      <c r="C87" s="25" t="s">
        <v>47</v>
      </c>
      <c r="D87" s="31" t="s">
        <v>181</v>
      </c>
    </row>
    <row r="88" spans="1:4" ht="15.75" thickBot="1" x14ac:dyDescent="0.3">
      <c r="A88" s="24" t="s">
        <v>228</v>
      </c>
      <c r="B88" s="27" t="s">
        <v>46</v>
      </c>
      <c r="C88" s="27" t="s">
        <v>47</v>
      </c>
      <c r="D88" s="28" t="s">
        <v>216</v>
      </c>
    </row>
    <row r="89" spans="1:4" ht="15.75" thickBot="1" x14ac:dyDescent="0.3">
      <c r="A89" s="24"/>
      <c r="B89" s="25" t="s">
        <v>49</v>
      </c>
      <c r="C89" s="25" t="s">
        <v>47</v>
      </c>
      <c r="D89" s="29" t="s">
        <v>217</v>
      </c>
    </row>
    <row r="90" spans="1:4" ht="15.75" thickBot="1" x14ac:dyDescent="0.3">
      <c r="A90" s="24"/>
      <c r="B90" s="25" t="s">
        <v>51</v>
      </c>
      <c r="C90" s="25" t="s">
        <v>47</v>
      </c>
      <c r="D90" s="29" t="s">
        <v>218</v>
      </c>
    </row>
    <row r="91" spans="1:4" ht="15.75" thickBot="1" x14ac:dyDescent="0.3">
      <c r="A91" s="24"/>
      <c r="B91" s="25" t="s">
        <v>53</v>
      </c>
      <c r="C91" s="25" t="s">
        <v>47</v>
      </c>
      <c r="D91" s="31" t="s">
        <v>219</v>
      </c>
    </row>
    <row r="92" spans="1:4" ht="15.75" thickBot="1" x14ac:dyDescent="0.3">
      <c r="A92" s="24" t="s">
        <v>229</v>
      </c>
      <c r="B92" s="27" t="s">
        <v>46</v>
      </c>
      <c r="C92" s="27" t="s">
        <v>47</v>
      </c>
      <c r="D92" s="28" t="s">
        <v>220</v>
      </c>
    </row>
    <row r="93" spans="1:4" ht="15.75" thickBot="1" x14ac:dyDescent="0.3">
      <c r="A93" s="24"/>
      <c r="B93" s="25" t="s">
        <v>49</v>
      </c>
      <c r="C93" s="25" t="s">
        <v>47</v>
      </c>
      <c r="D93" s="29" t="s">
        <v>221</v>
      </c>
    </row>
    <row r="94" spans="1:4" ht="15.75" thickBot="1" x14ac:dyDescent="0.3">
      <c r="A94" s="24"/>
      <c r="B94" s="25" t="s">
        <v>51</v>
      </c>
      <c r="C94" s="25" t="s">
        <v>47</v>
      </c>
      <c r="D94" s="29" t="s">
        <v>218</v>
      </c>
    </row>
    <row r="95" spans="1:4" ht="15.75" thickBot="1" x14ac:dyDescent="0.3">
      <c r="A95" s="24"/>
      <c r="B95" s="25" t="s">
        <v>53</v>
      </c>
      <c r="C95" s="25" t="s">
        <v>47</v>
      </c>
      <c r="D95" s="31" t="s">
        <v>222</v>
      </c>
    </row>
    <row r="96" spans="1:4" ht="26.25" thickBot="1" x14ac:dyDescent="0.3">
      <c r="A96" s="24" t="s">
        <v>230</v>
      </c>
      <c r="B96" s="27" t="s">
        <v>46</v>
      </c>
      <c r="C96" s="27" t="s">
        <v>47</v>
      </c>
      <c r="D96" s="59" t="s">
        <v>223</v>
      </c>
    </row>
    <row r="97" spans="1:4" ht="15.75" thickBot="1" x14ac:dyDescent="0.3">
      <c r="A97" s="24"/>
      <c r="B97" s="25" t="s">
        <v>49</v>
      </c>
      <c r="C97" s="25" t="s">
        <v>47</v>
      </c>
      <c r="D97" s="29" t="s">
        <v>224</v>
      </c>
    </row>
    <row r="98" spans="1:4" ht="15.75" thickBot="1" x14ac:dyDescent="0.3">
      <c r="A98" s="24"/>
      <c r="B98" s="25" t="s">
        <v>51</v>
      </c>
      <c r="C98" s="25" t="s">
        <v>47</v>
      </c>
      <c r="D98" s="29" t="s">
        <v>218</v>
      </c>
    </row>
    <row r="99" spans="1:4" ht="15.75" thickBot="1" x14ac:dyDescent="0.3">
      <c r="A99" s="24"/>
      <c r="B99" s="25" t="s">
        <v>53</v>
      </c>
      <c r="C99" s="25" t="s">
        <v>47</v>
      </c>
      <c r="D99" s="31" t="s">
        <v>225</v>
      </c>
    </row>
    <row r="100" spans="1:4" ht="15.75" thickBot="1" x14ac:dyDescent="0.3">
      <c r="A100" s="24" t="s">
        <v>231</v>
      </c>
      <c r="B100" s="27" t="s">
        <v>46</v>
      </c>
      <c r="C100" s="27" t="s">
        <v>47</v>
      </c>
      <c r="D100" s="28" t="s">
        <v>126</v>
      </c>
    </row>
    <row r="101" spans="1:4" ht="15.75" thickBot="1" x14ac:dyDescent="0.3">
      <c r="A101" s="24"/>
      <c r="B101" s="25" t="s">
        <v>49</v>
      </c>
      <c r="C101" s="25" t="s">
        <v>47</v>
      </c>
      <c r="D101" s="29" t="s">
        <v>70</v>
      </c>
    </row>
    <row r="102" spans="1:4" ht="15.75" thickBot="1" x14ac:dyDescent="0.3">
      <c r="A102" s="24"/>
      <c r="B102" s="25" t="s">
        <v>51</v>
      </c>
      <c r="C102" s="25" t="s">
        <v>47</v>
      </c>
      <c r="D102" s="29" t="s">
        <v>57</v>
      </c>
    </row>
    <row r="103" spans="1:4" ht="15.75" thickBot="1" x14ac:dyDescent="0.3">
      <c r="A103" s="24"/>
      <c r="B103" s="25" t="s">
        <v>53</v>
      </c>
      <c r="C103" s="25" t="s">
        <v>47</v>
      </c>
      <c r="D103" s="30">
        <v>3811171757</v>
      </c>
    </row>
    <row r="104" spans="1:4" ht="15.75" thickBot="1" x14ac:dyDescent="0.3">
      <c r="A104" s="24" t="s">
        <v>232</v>
      </c>
      <c r="B104" s="27" t="s">
        <v>46</v>
      </c>
      <c r="C104" s="27" t="s">
        <v>47</v>
      </c>
      <c r="D104" s="28" t="s">
        <v>178</v>
      </c>
    </row>
    <row r="105" spans="1:4" ht="15.75" thickBot="1" x14ac:dyDescent="0.3">
      <c r="A105" s="24"/>
      <c r="B105" s="25" t="s">
        <v>49</v>
      </c>
      <c r="C105" s="25" t="s">
        <v>47</v>
      </c>
      <c r="D105" s="29" t="s">
        <v>70</v>
      </c>
    </row>
    <row r="106" spans="1:4" ht="15.75" thickBot="1" x14ac:dyDescent="0.3">
      <c r="A106" s="24"/>
      <c r="B106" s="25" t="s">
        <v>51</v>
      </c>
      <c r="C106" s="25" t="s">
        <v>47</v>
      </c>
      <c r="D106" s="29" t="s">
        <v>57</v>
      </c>
    </row>
    <row r="107" spans="1:4" ht="15.75" thickBot="1" x14ac:dyDescent="0.3">
      <c r="A107" s="24"/>
      <c r="B107" s="25" t="s">
        <v>53</v>
      </c>
      <c r="C107" s="25" t="s">
        <v>47</v>
      </c>
      <c r="D107" s="30">
        <v>3811171757</v>
      </c>
    </row>
    <row r="108" spans="1:4" x14ac:dyDescent="0.25">
      <c r="A108" s="2"/>
      <c r="B108" s="2"/>
      <c r="C108" s="2"/>
      <c r="D108" s="2"/>
    </row>
    <row r="109" spans="1:4" ht="15.75" thickBot="1" x14ac:dyDescent="0.3">
      <c r="A109" s="8" t="s">
        <v>71</v>
      </c>
      <c r="B109" s="2"/>
      <c r="C109" s="2"/>
      <c r="D109" s="2"/>
    </row>
    <row r="110" spans="1:4" ht="15.75" thickBot="1" x14ac:dyDescent="0.3">
      <c r="A110" s="22" t="s">
        <v>72</v>
      </c>
      <c r="B110" s="32" t="s">
        <v>73</v>
      </c>
      <c r="C110" s="32" t="s">
        <v>47</v>
      </c>
      <c r="D110" s="33">
        <v>0</v>
      </c>
    </row>
    <row r="111" spans="1:4" ht="15.75" thickBot="1" x14ac:dyDescent="0.3">
      <c r="A111" s="24" t="s">
        <v>74</v>
      </c>
      <c r="B111" s="25" t="s">
        <v>75</v>
      </c>
      <c r="C111" s="25" t="s">
        <v>47</v>
      </c>
      <c r="D111" s="29">
        <v>0</v>
      </c>
    </row>
    <row r="112" spans="1:4" ht="15.75" thickBot="1" x14ac:dyDescent="0.3">
      <c r="A112" s="24" t="s">
        <v>76</v>
      </c>
      <c r="B112" s="25" t="s">
        <v>77</v>
      </c>
      <c r="C112" s="25" t="s">
        <v>47</v>
      </c>
      <c r="D112" s="29">
        <v>0</v>
      </c>
    </row>
    <row r="113" spans="1:4" ht="15.75" thickBot="1" x14ac:dyDescent="0.3">
      <c r="A113" s="22" t="s">
        <v>78</v>
      </c>
      <c r="B113" s="34" t="s">
        <v>79</v>
      </c>
      <c r="C113" s="34" t="s">
        <v>13</v>
      </c>
      <c r="D113" s="35">
        <v>0</v>
      </c>
    </row>
    <row r="114" spans="1:4" x14ac:dyDescent="0.25">
      <c r="A114" s="2"/>
      <c r="B114" s="2"/>
      <c r="C114" s="2"/>
      <c r="D114" s="2"/>
    </row>
    <row r="115" spans="1:4" ht="15.75" thickBot="1" x14ac:dyDescent="0.3">
      <c r="A115" s="8" t="s">
        <v>80</v>
      </c>
      <c r="B115" s="2"/>
      <c r="C115" s="2"/>
      <c r="D115" s="2"/>
    </row>
    <row r="116" spans="1:4" ht="15.75" thickBot="1" x14ac:dyDescent="0.3">
      <c r="A116" s="36" t="s">
        <v>81</v>
      </c>
      <c r="B116" s="33" t="s">
        <v>82</v>
      </c>
      <c r="C116" s="32" t="s">
        <v>13</v>
      </c>
      <c r="D116" s="37">
        <v>0</v>
      </c>
    </row>
    <row r="117" spans="1:4" ht="15.75" thickBot="1" x14ac:dyDescent="0.3">
      <c r="A117" s="38" t="s">
        <v>83</v>
      </c>
      <c r="B117" s="25" t="s">
        <v>84</v>
      </c>
      <c r="C117" s="25" t="s">
        <v>13</v>
      </c>
      <c r="D117" s="39">
        <v>0</v>
      </c>
    </row>
    <row r="118" spans="1:4" ht="15.75" thickBot="1" x14ac:dyDescent="0.3">
      <c r="A118" s="38" t="s">
        <v>85</v>
      </c>
      <c r="B118" s="25" t="s">
        <v>86</v>
      </c>
      <c r="C118" s="25" t="s">
        <v>13</v>
      </c>
      <c r="D118" s="39">
        <v>0</v>
      </c>
    </row>
    <row r="119" spans="1:4" ht="15.75" thickBot="1" x14ac:dyDescent="0.3">
      <c r="A119" s="38" t="s">
        <v>87</v>
      </c>
      <c r="B119" s="29" t="s">
        <v>88</v>
      </c>
      <c r="C119" s="25" t="s">
        <v>13</v>
      </c>
      <c r="D119" s="39">
        <f>D121+D120</f>
        <v>178137.91</v>
      </c>
    </row>
    <row r="120" spans="1:4" ht="15.75" thickBot="1" x14ac:dyDescent="0.3">
      <c r="A120" s="38" t="s">
        <v>89</v>
      </c>
      <c r="B120" s="25" t="s">
        <v>84</v>
      </c>
      <c r="C120" s="25" t="s">
        <v>13</v>
      </c>
      <c r="D120" s="39">
        <f>-(2168.83+355.27+469.98+464.29+429.56+505.43+276.15)</f>
        <v>-4669.5099999999993</v>
      </c>
    </row>
    <row r="121" spans="1:4" ht="15.75" thickBot="1" x14ac:dyDescent="0.3">
      <c r="A121" s="38" t="s">
        <v>90</v>
      </c>
      <c r="B121" s="25" t="s">
        <v>86</v>
      </c>
      <c r="C121" s="25" t="s">
        <v>13</v>
      </c>
      <c r="D121" s="39">
        <f>149048.32+4492.7+2403.65+13687.63+7500.7+755.06+4919.36</f>
        <v>182807.42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91</v>
      </c>
      <c r="B123" s="2"/>
      <c r="C123" s="2"/>
      <c r="D123" s="2"/>
    </row>
    <row r="124" spans="1:4" ht="15.75" thickBot="1" x14ac:dyDescent="0.3">
      <c r="A124" s="40" t="s">
        <v>92</v>
      </c>
      <c r="B124" s="41" t="s">
        <v>93</v>
      </c>
      <c r="C124" s="42" t="s">
        <v>47</v>
      </c>
      <c r="D124" s="41" t="s">
        <v>94</v>
      </c>
    </row>
    <row r="125" spans="1:4" ht="15.75" thickBot="1" x14ac:dyDescent="0.3">
      <c r="A125" s="24"/>
      <c r="B125" s="29" t="s">
        <v>95</v>
      </c>
      <c r="C125" s="25" t="s">
        <v>47</v>
      </c>
      <c r="D125" s="29" t="s">
        <v>96</v>
      </c>
    </row>
    <row r="126" spans="1:4" ht="15.75" thickBot="1" x14ac:dyDescent="0.3">
      <c r="A126" s="24"/>
      <c r="B126" s="29" t="s">
        <v>97</v>
      </c>
      <c r="C126" s="25" t="s">
        <v>96</v>
      </c>
      <c r="D126" s="39">
        <v>455.733</v>
      </c>
    </row>
    <row r="127" spans="1:4" ht="15.75" thickBot="1" x14ac:dyDescent="0.3">
      <c r="A127" s="24"/>
      <c r="B127" s="29" t="s">
        <v>98</v>
      </c>
      <c r="C127" s="25" t="s">
        <v>13</v>
      </c>
      <c r="D127" s="39">
        <f>463024.04+3474.03</f>
        <v>466498.07</v>
      </c>
    </row>
    <row r="128" spans="1:4" ht="15.75" thickBot="1" x14ac:dyDescent="0.3">
      <c r="A128" s="24"/>
      <c r="B128" s="25" t="s">
        <v>99</v>
      </c>
      <c r="C128" s="25" t="s">
        <v>13</v>
      </c>
      <c r="D128" s="43">
        <v>319618.58</v>
      </c>
    </row>
    <row r="129" spans="1:4" ht="15.75" thickBot="1" x14ac:dyDescent="0.3">
      <c r="A129" s="24"/>
      <c r="B129" s="25" t="s">
        <v>100</v>
      </c>
      <c r="C129" s="25" t="s">
        <v>13</v>
      </c>
      <c r="D129" s="43">
        <f>D127-D128</f>
        <v>146879.49</v>
      </c>
    </row>
    <row r="130" spans="1:4" ht="15.75" thickBot="1" x14ac:dyDescent="0.3">
      <c r="A130" s="24"/>
      <c r="B130" s="25" t="s">
        <v>101</v>
      </c>
      <c r="C130" s="25" t="s">
        <v>13</v>
      </c>
      <c r="D130" s="43">
        <v>257225.58296</v>
      </c>
    </row>
    <row r="131" spans="1:4" ht="15.75" thickBot="1" x14ac:dyDescent="0.3">
      <c r="A131" s="24"/>
      <c r="B131" s="25" t="s">
        <v>102</v>
      </c>
      <c r="C131" s="25" t="s">
        <v>13</v>
      </c>
      <c r="D131" s="43">
        <f>D128</f>
        <v>319618.58</v>
      </c>
    </row>
    <row r="132" spans="1:4" ht="15.75" thickBot="1" x14ac:dyDescent="0.3">
      <c r="A132" s="24"/>
      <c r="B132" s="25" t="s">
        <v>103</v>
      </c>
      <c r="C132" s="25" t="s">
        <v>13</v>
      </c>
      <c r="D132" s="43">
        <f>D129</f>
        <v>146879.49</v>
      </c>
    </row>
    <row r="133" spans="1:4" ht="15.75" thickBot="1" x14ac:dyDescent="0.3">
      <c r="A133" s="24"/>
      <c r="B133" s="29" t="s">
        <v>104</v>
      </c>
      <c r="C133" s="25" t="s">
        <v>13</v>
      </c>
      <c r="D133" s="39">
        <v>0</v>
      </c>
    </row>
    <row r="134" spans="1:4" ht="15.75" thickBot="1" x14ac:dyDescent="0.3">
      <c r="A134" s="40" t="s">
        <v>105</v>
      </c>
      <c r="B134" s="41" t="s">
        <v>93</v>
      </c>
      <c r="C134" s="42" t="s">
        <v>47</v>
      </c>
      <c r="D134" s="41" t="s">
        <v>106</v>
      </c>
    </row>
    <row r="135" spans="1:4" ht="15.75" thickBot="1" x14ac:dyDescent="0.3">
      <c r="A135" s="24"/>
      <c r="B135" s="29" t="s">
        <v>95</v>
      </c>
      <c r="C135" s="25" t="s">
        <v>47</v>
      </c>
      <c r="D135" s="29" t="s">
        <v>107</v>
      </c>
    </row>
    <row r="136" spans="1:4" ht="15.75" thickBot="1" x14ac:dyDescent="0.3">
      <c r="A136" s="24"/>
      <c r="B136" s="29" t="s">
        <v>97</v>
      </c>
      <c r="C136" s="25" t="s">
        <v>107</v>
      </c>
      <c r="D136" s="44">
        <f>1157.4759+631.032</f>
        <v>1788.5079000000001</v>
      </c>
    </row>
    <row r="137" spans="1:4" ht="15.75" thickBot="1" x14ac:dyDescent="0.3">
      <c r="A137" s="24"/>
      <c r="B137" s="29" t="s">
        <v>98</v>
      </c>
      <c r="C137" s="25" t="s">
        <v>13</v>
      </c>
      <c r="D137" s="44">
        <f>2371.13+12182+6605.37-338.24</f>
        <v>20820.259999999998</v>
      </c>
    </row>
    <row r="138" spans="1:4" ht="15.75" thickBot="1" x14ac:dyDescent="0.3">
      <c r="A138" s="24"/>
      <c r="B138" s="25" t="s">
        <v>99</v>
      </c>
      <c r="C138" s="25" t="s">
        <v>13</v>
      </c>
      <c r="D138" s="45">
        <f>2121.5+8049.48+4335.42</f>
        <v>14506.4</v>
      </c>
    </row>
    <row r="139" spans="1:4" ht="15.75" thickBot="1" x14ac:dyDescent="0.3">
      <c r="A139" s="24"/>
      <c r="B139" s="25" t="s">
        <v>100</v>
      </c>
      <c r="C139" s="25" t="s">
        <v>13</v>
      </c>
      <c r="D139" s="45">
        <f>D137-D138</f>
        <v>6313.8599999999988</v>
      </c>
    </row>
    <row r="140" spans="1:4" ht="15.75" thickBot="1" x14ac:dyDescent="0.3">
      <c r="A140" s="24"/>
      <c r="B140" s="25" t="s">
        <v>101</v>
      </c>
      <c r="C140" s="25" t="s">
        <v>13</v>
      </c>
      <c r="D140" s="45">
        <v>13546.328</v>
      </c>
    </row>
    <row r="141" spans="1:4" ht="15.75" thickBot="1" x14ac:dyDescent="0.3">
      <c r="A141" s="24"/>
      <c r="B141" s="25" t="s">
        <v>102</v>
      </c>
      <c r="C141" s="25" t="s">
        <v>13</v>
      </c>
      <c r="D141" s="45">
        <f>D138</f>
        <v>14506.4</v>
      </c>
    </row>
    <row r="142" spans="1:4" ht="15.75" thickBot="1" x14ac:dyDescent="0.3">
      <c r="A142" s="24"/>
      <c r="B142" s="25" t="s">
        <v>103</v>
      </c>
      <c r="C142" s="25" t="s">
        <v>13</v>
      </c>
      <c r="D142" s="45">
        <f>D139</f>
        <v>6313.8599999999988</v>
      </c>
    </row>
    <row r="143" spans="1:4" ht="15.75" thickBot="1" x14ac:dyDescent="0.3">
      <c r="A143" s="24"/>
      <c r="B143" s="29" t="s">
        <v>104</v>
      </c>
      <c r="C143" s="25" t="s">
        <v>13</v>
      </c>
      <c r="D143" s="44">
        <v>0</v>
      </c>
    </row>
    <row r="144" spans="1:4" ht="15.75" thickBot="1" x14ac:dyDescent="0.3">
      <c r="A144" s="40" t="s">
        <v>108</v>
      </c>
      <c r="B144" s="41" t="s">
        <v>93</v>
      </c>
      <c r="C144" s="42" t="s">
        <v>47</v>
      </c>
      <c r="D144" s="41" t="s">
        <v>109</v>
      </c>
    </row>
    <row r="145" spans="1:4" ht="15.75" thickBot="1" x14ac:dyDescent="0.3">
      <c r="A145" s="24"/>
      <c r="B145" s="29" t="s">
        <v>95</v>
      </c>
      <c r="C145" s="25" t="s">
        <v>47</v>
      </c>
      <c r="D145" s="29" t="s">
        <v>107</v>
      </c>
    </row>
    <row r="146" spans="1:4" ht="15.75" thickBot="1" x14ac:dyDescent="0.3">
      <c r="A146" s="24"/>
      <c r="B146" s="29" t="s">
        <v>97</v>
      </c>
      <c r="C146" s="25" t="s">
        <v>107</v>
      </c>
      <c r="D146" s="44">
        <v>34.707599999999999</v>
      </c>
    </row>
    <row r="147" spans="1:4" ht="15.75" thickBot="1" x14ac:dyDescent="0.3">
      <c r="A147" s="24"/>
      <c r="B147" s="29" t="s">
        <v>98</v>
      </c>
      <c r="C147" s="25" t="s">
        <v>13</v>
      </c>
      <c r="D147" s="44">
        <f>36045.07-1832.58+15269.41</f>
        <v>49481.899999999994</v>
      </c>
    </row>
    <row r="148" spans="1:4" ht="15.75" thickBot="1" x14ac:dyDescent="0.3">
      <c r="A148" s="24"/>
      <c r="B148" s="25" t="s">
        <v>99</v>
      </c>
      <c r="C148" s="25" t="s">
        <v>13</v>
      </c>
      <c r="D148" s="45">
        <f>20999.13+10626.2</f>
        <v>31625.33</v>
      </c>
    </row>
    <row r="149" spans="1:4" ht="15.75" thickBot="1" x14ac:dyDescent="0.3">
      <c r="A149" s="24"/>
      <c r="B149" s="25" t="s">
        <v>100</v>
      </c>
      <c r="C149" s="25" t="s">
        <v>13</v>
      </c>
      <c r="D149" s="45">
        <f>D147-D148</f>
        <v>17856.569999999992</v>
      </c>
    </row>
    <row r="150" spans="1:4" ht="15.75" thickBot="1" x14ac:dyDescent="0.3">
      <c r="A150" s="24"/>
      <c r="B150" s="25" t="s">
        <v>101</v>
      </c>
      <c r="C150" s="25" t="s">
        <v>13</v>
      </c>
      <c r="D150" s="45">
        <f>0</f>
        <v>0</v>
      </c>
    </row>
    <row r="151" spans="1:4" ht="15.75" thickBot="1" x14ac:dyDescent="0.3">
      <c r="A151" s="24"/>
      <c r="B151" s="25" t="s">
        <v>102</v>
      </c>
      <c r="C151" s="25" t="s">
        <v>13</v>
      </c>
      <c r="D151" s="45">
        <f>D148</f>
        <v>31625.33</v>
      </c>
    </row>
    <row r="152" spans="1:4" ht="15.75" thickBot="1" x14ac:dyDescent="0.3">
      <c r="A152" s="24"/>
      <c r="B152" s="25" t="s">
        <v>103</v>
      </c>
      <c r="C152" s="25" t="s">
        <v>13</v>
      </c>
      <c r="D152" s="45">
        <f>D149</f>
        <v>17856.569999999992</v>
      </c>
    </row>
    <row r="153" spans="1:4" ht="15.75" thickBot="1" x14ac:dyDescent="0.3">
      <c r="A153" s="24"/>
      <c r="B153" s="29" t="s">
        <v>104</v>
      </c>
      <c r="C153" s="25" t="s">
        <v>13</v>
      </c>
      <c r="D153" s="44">
        <v>0</v>
      </c>
    </row>
    <row r="154" spans="1:4" ht="15.75" thickBot="1" x14ac:dyDescent="0.3">
      <c r="A154" s="40" t="s">
        <v>110</v>
      </c>
      <c r="B154" s="41" t="s">
        <v>93</v>
      </c>
      <c r="C154" s="42" t="s">
        <v>47</v>
      </c>
      <c r="D154" s="41" t="s">
        <v>111</v>
      </c>
    </row>
    <row r="155" spans="1:4" ht="15.75" thickBot="1" x14ac:dyDescent="0.3">
      <c r="A155" s="24"/>
      <c r="B155" s="29" t="s">
        <v>95</v>
      </c>
      <c r="C155" s="25" t="s">
        <v>47</v>
      </c>
      <c r="D155" s="29" t="s">
        <v>107</v>
      </c>
    </row>
    <row r="156" spans="1:4" ht="15.75" thickBot="1" x14ac:dyDescent="0.3">
      <c r="A156" s="24"/>
      <c r="B156" s="29" t="s">
        <v>97</v>
      </c>
      <c r="C156" s="25" t="s">
        <v>107</v>
      </c>
      <c r="D156" s="39">
        <v>1788.5079000000001</v>
      </c>
    </row>
    <row r="157" spans="1:4" ht="15.75" thickBot="1" x14ac:dyDescent="0.3">
      <c r="A157" s="24"/>
      <c r="B157" s="29" t="s">
        <v>98</v>
      </c>
      <c r="C157" s="25" t="s">
        <v>13</v>
      </c>
      <c r="D157" s="39">
        <f>20096.41-362.24</f>
        <v>19734.169999999998</v>
      </c>
    </row>
    <row r="158" spans="1:4" ht="15.75" thickBot="1" x14ac:dyDescent="0.3">
      <c r="A158" s="24"/>
      <c r="B158" s="25" t="s">
        <v>99</v>
      </c>
      <c r="C158" s="25" t="s">
        <v>13</v>
      </c>
      <c r="D158" s="43">
        <v>12669.94</v>
      </c>
    </row>
    <row r="159" spans="1:4" ht="15.75" thickBot="1" x14ac:dyDescent="0.3">
      <c r="A159" s="24"/>
      <c r="B159" s="25" t="s">
        <v>100</v>
      </c>
      <c r="C159" s="25" t="s">
        <v>13</v>
      </c>
      <c r="D159" s="43">
        <f>D157-D158</f>
        <v>7064.2299999999977</v>
      </c>
    </row>
    <row r="160" spans="1:4" ht="15.75" thickBot="1" x14ac:dyDescent="0.3">
      <c r="A160" s="24"/>
      <c r="B160" s="25" t="s">
        <v>101</v>
      </c>
      <c r="C160" s="25" t="s">
        <v>13</v>
      </c>
      <c r="D160" s="43">
        <v>18954.247500000001</v>
      </c>
    </row>
    <row r="161" spans="1:4" ht="15.75" thickBot="1" x14ac:dyDescent="0.3">
      <c r="A161" s="24"/>
      <c r="B161" s="25" t="s">
        <v>102</v>
      </c>
      <c r="C161" s="25" t="s">
        <v>13</v>
      </c>
      <c r="D161" s="43">
        <f>D158</f>
        <v>12669.94</v>
      </c>
    </row>
    <row r="162" spans="1:4" ht="15.75" thickBot="1" x14ac:dyDescent="0.3">
      <c r="A162" s="24"/>
      <c r="B162" s="25" t="s">
        <v>103</v>
      </c>
      <c r="C162" s="25" t="s">
        <v>13</v>
      </c>
      <c r="D162" s="43">
        <f>D159</f>
        <v>7064.2299999999977</v>
      </c>
    </row>
    <row r="163" spans="1:4" ht="15.75" thickBot="1" x14ac:dyDescent="0.3">
      <c r="A163" s="24"/>
      <c r="B163" s="29" t="s">
        <v>104</v>
      </c>
      <c r="C163" s="25" t="s">
        <v>13</v>
      </c>
      <c r="D163" s="39">
        <v>0</v>
      </c>
    </row>
    <row r="164" spans="1:4" x14ac:dyDescent="0.25">
      <c r="A164" s="46"/>
      <c r="B164" s="47"/>
      <c r="C164" s="48"/>
      <c r="D164" s="49"/>
    </row>
    <row r="165" spans="1:4" ht="15.75" thickBot="1" x14ac:dyDescent="0.3">
      <c r="A165" s="8" t="s">
        <v>112</v>
      </c>
      <c r="B165" s="2"/>
      <c r="C165" s="2"/>
      <c r="D165" s="2"/>
    </row>
    <row r="166" spans="1:4" ht="15.75" thickBot="1" x14ac:dyDescent="0.3">
      <c r="A166" s="22" t="s">
        <v>113</v>
      </c>
      <c r="B166" s="33" t="s">
        <v>73</v>
      </c>
      <c r="C166" s="32" t="s">
        <v>114</v>
      </c>
      <c r="D166" s="33">
        <v>0</v>
      </c>
    </row>
    <row r="167" spans="1:4" ht="15.75" thickBot="1" x14ac:dyDescent="0.3">
      <c r="A167" s="24" t="s">
        <v>115</v>
      </c>
      <c r="B167" s="29" t="s">
        <v>75</v>
      </c>
      <c r="C167" s="25" t="s">
        <v>114</v>
      </c>
      <c r="D167" s="29">
        <v>0</v>
      </c>
    </row>
    <row r="168" spans="1:4" ht="15.75" thickBot="1" x14ac:dyDescent="0.3">
      <c r="A168" s="24" t="s">
        <v>116</v>
      </c>
      <c r="B168" s="29" t="s">
        <v>77</v>
      </c>
      <c r="C168" s="25" t="s">
        <v>114</v>
      </c>
      <c r="D168" s="29">
        <v>0</v>
      </c>
    </row>
    <row r="169" spans="1:4" ht="15.75" thickBot="1" x14ac:dyDescent="0.3">
      <c r="A169" s="24" t="s">
        <v>117</v>
      </c>
      <c r="B169" s="29" t="s">
        <v>79</v>
      </c>
      <c r="C169" s="25" t="s">
        <v>13</v>
      </c>
      <c r="D169" s="39">
        <v>0</v>
      </c>
    </row>
    <row r="170" spans="1:4" x14ac:dyDescent="0.25">
      <c r="A170" s="2"/>
      <c r="B170" s="2"/>
      <c r="C170" s="2"/>
      <c r="D170" s="2"/>
    </row>
    <row r="171" spans="1:4" ht="15.75" thickBot="1" x14ac:dyDescent="0.3">
      <c r="A171" s="8" t="s">
        <v>118</v>
      </c>
      <c r="B171" s="2"/>
      <c r="C171" s="2"/>
      <c r="D171" s="2"/>
    </row>
    <row r="172" spans="1:4" ht="15.75" thickBot="1" x14ac:dyDescent="0.3">
      <c r="A172" s="34">
        <v>48</v>
      </c>
      <c r="B172" s="33" t="s">
        <v>119</v>
      </c>
      <c r="C172" s="32" t="s">
        <v>114</v>
      </c>
      <c r="D172" s="33">
        <v>0</v>
      </c>
    </row>
    <row r="173" spans="1:4" ht="15.75" thickBot="1" x14ac:dyDescent="0.3">
      <c r="A173" s="50">
        <v>49</v>
      </c>
      <c r="B173" s="29" t="s">
        <v>120</v>
      </c>
      <c r="C173" s="25" t="s">
        <v>114</v>
      </c>
      <c r="D173" s="29">
        <v>0</v>
      </c>
    </row>
    <row r="174" spans="1:4" ht="15.75" thickBot="1" x14ac:dyDescent="0.3">
      <c r="A174" s="51">
        <v>50</v>
      </c>
      <c r="B174" s="52" t="s">
        <v>121</v>
      </c>
      <c r="C174" s="53" t="s">
        <v>13</v>
      </c>
      <c r="D174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workbookViewId="0">
      <selection activeCell="D64" sqref="D64"/>
    </sheetView>
  </sheetViews>
  <sheetFormatPr defaultRowHeight="15" x14ac:dyDescent="0.25"/>
  <cols>
    <col min="2" max="2" width="73.28515625" customWidth="1"/>
    <col min="3" max="3" width="10" customWidth="1"/>
    <col min="4" max="4" width="55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139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140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254782.63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254782.63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338575.71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228584.16+13403.39</f>
        <v>241987.55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87398.16+8190</f>
        <v>95588.160000000003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293932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213276.73+80655.27</f>
        <v>293932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293932-254782.63</f>
        <v>39149.369999999995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143586.67000000001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143586.67000000001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x14ac:dyDescent="0.25">
      <c r="A52" s="2"/>
      <c r="B52" s="2"/>
      <c r="C52" s="2"/>
      <c r="D52" s="2"/>
    </row>
    <row r="53" spans="1:4" ht="15.75" thickBot="1" x14ac:dyDescent="0.3">
      <c r="A53" s="8" t="s">
        <v>71</v>
      </c>
      <c r="B53" s="2"/>
      <c r="C53" s="2"/>
      <c r="D53" s="2"/>
    </row>
    <row r="54" spans="1:4" ht="15.75" thickBot="1" x14ac:dyDescent="0.3">
      <c r="A54" s="22" t="s">
        <v>72</v>
      </c>
      <c r="B54" s="32" t="s">
        <v>73</v>
      </c>
      <c r="C54" s="32" t="s">
        <v>47</v>
      </c>
      <c r="D54" s="33">
        <v>0</v>
      </c>
    </row>
    <row r="55" spans="1:4" ht="15.75" thickBot="1" x14ac:dyDescent="0.3">
      <c r="A55" s="24" t="s">
        <v>74</v>
      </c>
      <c r="B55" s="25" t="s">
        <v>75</v>
      </c>
      <c r="C55" s="25" t="s">
        <v>47</v>
      </c>
      <c r="D55" s="29">
        <v>0</v>
      </c>
    </row>
    <row r="56" spans="1:4" ht="15.75" thickBot="1" x14ac:dyDescent="0.3">
      <c r="A56" s="24" t="s">
        <v>76</v>
      </c>
      <c r="B56" s="25" t="s">
        <v>77</v>
      </c>
      <c r="C56" s="25" t="s">
        <v>47</v>
      </c>
      <c r="D56" s="29">
        <v>0</v>
      </c>
    </row>
    <row r="57" spans="1:4" ht="15.75" thickBot="1" x14ac:dyDescent="0.3">
      <c r="A57" s="22" t="s">
        <v>78</v>
      </c>
      <c r="B57" s="34" t="s">
        <v>79</v>
      </c>
      <c r="C57" s="34" t="s">
        <v>13</v>
      </c>
      <c r="D57" s="35">
        <v>0</v>
      </c>
    </row>
    <row r="58" spans="1:4" x14ac:dyDescent="0.25">
      <c r="A58" s="2"/>
      <c r="B58" s="2"/>
      <c r="C58" s="2"/>
      <c r="D58" s="2"/>
    </row>
    <row r="59" spans="1:4" ht="15.75" thickBot="1" x14ac:dyDescent="0.3">
      <c r="A59" s="8" t="s">
        <v>80</v>
      </c>
      <c r="B59" s="2"/>
      <c r="C59" s="2"/>
      <c r="D59" s="2"/>
    </row>
    <row r="60" spans="1:4" ht="15.75" thickBot="1" x14ac:dyDescent="0.3">
      <c r="A60" s="36" t="s">
        <v>81</v>
      </c>
      <c r="B60" s="33" t="s">
        <v>82</v>
      </c>
      <c r="C60" s="32" t="s">
        <v>13</v>
      </c>
      <c r="D60" s="60">
        <f>D62+D61</f>
        <v>311481.65000000002</v>
      </c>
    </row>
    <row r="61" spans="1:4" ht="15.75" thickBot="1" x14ac:dyDescent="0.3">
      <c r="A61" s="38" t="s">
        <v>83</v>
      </c>
      <c r="B61" s="25" t="s">
        <v>84</v>
      </c>
      <c r="C61" s="25" t="s">
        <v>13</v>
      </c>
      <c r="D61" s="37">
        <f>-(7352.73+3346.86+1375.87+3573.98+6.64+56.69)</f>
        <v>-15712.769999999999</v>
      </c>
    </row>
    <row r="62" spans="1:4" ht="15.75" thickBot="1" x14ac:dyDescent="0.3">
      <c r="A62" s="38" t="s">
        <v>85</v>
      </c>
      <c r="B62" s="25" t="s">
        <v>86</v>
      </c>
      <c r="C62" s="25" t="s">
        <v>13</v>
      </c>
      <c r="D62" s="39">
        <f>177305.78+17548.86+96469.41+35386.73+50.34+433.3</f>
        <v>327194.42000000004</v>
      </c>
    </row>
    <row r="63" spans="1:4" ht="15.75" thickBot="1" x14ac:dyDescent="0.3">
      <c r="A63" s="38" t="s">
        <v>87</v>
      </c>
      <c r="B63" s="29" t="s">
        <v>88</v>
      </c>
      <c r="C63" s="25" t="s">
        <v>13</v>
      </c>
      <c r="D63" s="39">
        <f>D65+D64</f>
        <v>421207.58999999997</v>
      </c>
    </row>
    <row r="64" spans="1:4" ht="15.75" thickBot="1" x14ac:dyDescent="0.3">
      <c r="A64" s="38" t="s">
        <v>89</v>
      </c>
      <c r="B64" s="25" t="s">
        <v>84</v>
      </c>
      <c r="C64" s="25" t="s">
        <v>13</v>
      </c>
      <c r="D64" s="39">
        <f>-(112.6+1752.89+1302.12+1455.43+632.85+443.9)</f>
        <v>-5699.79</v>
      </c>
    </row>
    <row r="65" spans="1:4" ht="15.75" thickBot="1" x14ac:dyDescent="0.3">
      <c r="A65" s="38" t="s">
        <v>90</v>
      </c>
      <c r="B65" s="25" t="s">
        <v>86</v>
      </c>
      <c r="C65" s="25" t="s">
        <v>13</v>
      </c>
      <c r="D65" s="39">
        <f>235360.93+24951.94+120206.98+45586.4+86.47+714.66</f>
        <v>426907.37999999995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91</v>
      </c>
      <c r="B67" s="2"/>
      <c r="C67" s="2"/>
      <c r="D67" s="2"/>
    </row>
    <row r="68" spans="1:4" ht="15.75" thickBot="1" x14ac:dyDescent="0.3">
      <c r="A68" s="40" t="s">
        <v>92</v>
      </c>
      <c r="B68" s="41" t="s">
        <v>93</v>
      </c>
      <c r="C68" s="42" t="s">
        <v>47</v>
      </c>
      <c r="D68" s="41" t="s">
        <v>94</v>
      </c>
    </row>
    <row r="69" spans="1:4" ht="15.75" thickBot="1" x14ac:dyDescent="0.3">
      <c r="A69" s="24"/>
      <c r="B69" s="29" t="s">
        <v>95</v>
      </c>
      <c r="C69" s="25" t="s">
        <v>47</v>
      </c>
      <c r="D69" s="29" t="s">
        <v>96</v>
      </c>
    </row>
    <row r="70" spans="1:4" ht="15.75" thickBot="1" x14ac:dyDescent="0.3">
      <c r="A70" s="24"/>
      <c r="B70" s="29" t="s">
        <v>97</v>
      </c>
      <c r="C70" s="25" t="s">
        <v>96</v>
      </c>
      <c r="D70" s="39">
        <v>422.334</v>
      </c>
    </row>
    <row r="71" spans="1:4" ht="15.75" thickBot="1" x14ac:dyDescent="0.3">
      <c r="A71" s="24"/>
      <c r="B71" s="29" t="s">
        <v>98</v>
      </c>
      <c r="C71" s="25" t="s">
        <v>13</v>
      </c>
      <c r="D71" s="39">
        <f>421810.14-1866.38</f>
        <v>419943.76</v>
      </c>
    </row>
    <row r="72" spans="1:4" ht="15.75" thickBot="1" x14ac:dyDescent="0.3">
      <c r="A72" s="24"/>
      <c r="B72" s="25" t="s">
        <v>99</v>
      </c>
      <c r="C72" s="25" t="s">
        <v>13</v>
      </c>
      <c r="D72" s="43">
        <v>354648.48</v>
      </c>
    </row>
    <row r="73" spans="1:4" ht="15.75" thickBot="1" x14ac:dyDescent="0.3">
      <c r="A73" s="24"/>
      <c r="B73" s="25" t="s">
        <v>100</v>
      </c>
      <c r="C73" s="25" t="s">
        <v>13</v>
      </c>
      <c r="D73" s="43">
        <f>D71-D72</f>
        <v>65295.280000000028</v>
      </c>
    </row>
    <row r="74" spans="1:4" ht="15.75" thickBot="1" x14ac:dyDescent="0.3">
      <c r="A74" s="24"/>
      <c r="B74" s="25" t="s">
        <v>101</v>
      </c>
      <c r="C74" s="25" t="s">
        <v>13</v>
      </c>
      <c r="D74" s="43">
        <v>304245.18</v>
      </c>
    </row>
    <row r="75" spans="1:4" ht="15.75" thickBot="1" x14ac:dyDescent="0.3">
      <c r="A75" s="24"/>
      <c r="B75" s="25" t="s">
        <v>102</v>
      </c>
      <c r="C75" s="25" t="s">
        <v>13</v>
      </c>
      <c r="D75" s="43">
        <f>D72</f>
        <v>354648.48</v>
      </c>
    </row>
    <row r="76" spans="1:4" ht="15.75" thickBot="1" x14ac:dyDescent="0.3">
      <c r="A76" s="24"/>
      <c r="B76" s="25" t="s">
        <v>103</v>
      </c>
      <c r="C76" s="25" t="s">
        <v>13</v>
      </c>
      <c r="D76" s="43">
        <f>D73</f>
        <v>65295.280000000028</v>
      </c>
    </row>
    <row r="77" spans="1:4" ht="15.75" thickBot="1" x14ac:dyDescent="0.3">
      <c r="A77" s="24"/>
      <c r="B77" s="29" t="s">
        <v>104</v>
      </c>
      <c r="C77" s="25" t="s">
        <v>13</v>
      </c>
      <c r="D77" s="39">
        <v>0</v>
      </c>
    </row>
    <row r="78" spans="1:4" ht="15.75" thickBot="1" x14ac:dyDescent="0.3">
      <c r="A78" s="40" t="s">
        <v>105</v>
      </c>
      <c r="B78" s="41" t="s">
        <v>93</v>
      </c>
      <c r="C78" s="42" t="s">
        <v>47</v>
      </c>
      <c r="D78" s="41" t="s">
        <v>106</v>
      </c>
    </row>
    <row r="79" spans="1:4" ht="15.75" thickBot="1" x14ac:dyDescent="0.3">
      <c r="A79" s="24"/>
      <c r="B79" s="29" t="s">
        <v>95</v>
      </c>
      <c r="C79" s="25" t="s">
        <v>47</v>
      </c>
      <c r="D79" s="29" t="s">
        <v>107</v>
      </c>
    </row>
    <row r="80" spans="1:4" ht="15.75" thickBot="1" x14ac:dyDescent="0.3">
      <c r="A80" s="24"/>
      <c r="B80" s="29" t="s">
        <v>97</v>
      </c>
      <c r="C80" s="25" t="s">
        <v>107</v>
      </c>
      <c r="D80" s="44">
        <v>4131.5312999999996</v>
      </c>
    </row>
    <row r="81" spans="1:4" ht="15.75" thickBot="1" x14ac:dyDescent="0.3">
      <c r="A81" s="24"/>
      <c r="B81" s="29" t="s">
        <v>98</v>
      </c>
      <c r="C81" s="25" t="s">
        <v>13</v>
      </c>
      <c r="D81" s="44">
        <f>301.02+2299.98+42084.74-1587.68</f>
        <v>43098.06</v>
      </c>
    </row>
    <row r="82" spans="1:4" ht="15.75" thickBot="1" x14ac:dyDescent="0.3">
      <c r="A82" s="24"/>
      <c r="B82" s="25" t="s">
        <v>99</v>
      </c>
      <c r="C82" s="25" t="s">
        <v>13</v>
      </c>
      <c r="D82" s="45">
        <f>3191.08+31500.01</f>
        <v>34691.089999999997</v>
      </c>
    </row>
    <row r="83" spans="1:4" ht="15.75" thickBot="1" x14ac:dyDescent="0.3">
      <c r="A83" s="24"/>
      <c r="B83" s="25" t="s">
        <v>100</v>
      </c>
      <c r="C83" s="25" t="s">
        <v>13</v>
      </c>
      <c r="D83" s="45">
        <f>D81-D82</f>
        <v>8406.9700000000012</v>
      </c>
    </row>
    <row r="84" spans="1:4" ht="15.75" thickBot="1" x14ac:dyDescent="0.3">
      <c r="A84" s="24"/>
      <c r="B84" s="25" t="s">
        <v>101</v>
      </c>
      <c r="C84" s="25" t="s">
        <v>13</v>
      </c>
      <c r="D84" s="45">
        <v>31740.240000000002</v>
      </c>
    </row>
    <row r="85" spans="1:4" ht="15.75" thickBot="1" x14ac:dyDescent="0.3">
      <c r="A85" s="24"/>
      <c r="B85" s="25" t="s">
        <v>102</v>
      </c>
      <c r="C85" s="25" t="s">
        <v>13</v>
      </c>
      <c r="D85" s="45">
        <f>D82</f>
        <v>34691.089999999997</v>
      </c>
    </row>
    <row r="86" spans="1:4" ht="15.75" thickBot="1" x14ac:dyDescent="0.3">
      <c r="A86" s="24"/>
      <c r="B86" s="25" t="s">
        <v>103</v>
      </c>
      <c r="C86" s="25" t="s">
        <v>13</v>
      </c>
      <c r="D86" s="45">
        <f>D83</f>
        <v>8406.9700000000012</v>
      </c>
    </row>
    <row r="87" spans="1:4" ht="15.75" thickBot="1" x14ac:dyDescent="0.3">
      <c r="A87" s="24"/>
      <c r="B87" s="29" t="s">
        <v>104</v>
      </c>
      <c r="C87" s="25" t="s">
        <v>13</v>
      </c>
      <c r="D87" s="44">
        <v>0</v>
      </c>
    </row>
    <row r="88" spans="1:4" ht="15.75" thickBot="1" x14ac:dyDescent="0.3">
      <c r="A88" s="40" t="s">
        <v>108</v>
      </c>
      <c r="B88" s="41" t="s">
        <v>93</v>
      </c>
      <c r="C88" s="42" t="s">
        <v>47</v>
      </c>
      <c r="D88" s="41" t="s">
        <v>109</v>
      </c>
    </row>
    <row r="89" spans="1:4" ht="15.75" thickBot="1" x14ac:dyDescent="0.3">
      <c r="A89" s="24"/>
      <c r="B89" s="29" t="s">
        <v>95</v>
      </c>
      <c r="C89" s="25" t="s">
        <v>47</v>
      </c>
      <c r="D89" s="29" t="s">
        <v>107</v>
      </c>
    </row>
    <row r="90" spans="1:4" ht="15.75" thickBot="1" x14ac:dyDescent="0.3">
      <c r="A90" s="24"/>
      <c r="B90" s="29" t="s">
        <v>97</v>
      </c>
      <c r="C90" s="25" t="s">
        <v>107</v>
      </c>
      <c r="D90" s="44">
        <v>2719.3305</v>
      </c>
    </row>
    <row r="91" spans="1:4" ht="15.75" thickBot="1" x14ac:dyDescent="0.3">
      <c r="A91" s="24"/>
      <c r="B91" s="29" t="s">
        <v>98</v>
      </c>
      <c r="C91" s="25" t="s">
        <v>13</v>
      </c>
      <c r="D91" s="44">
        <f>190633.98-2126.8+2465.36+168</f>
        <v>191140.54</v>
      </c>
    </row>
    <row r="92" spans="1:4" ht="15.75" thickBot="1" x14ac:dyDescent="0.3">
      <c r="A92" s="24"/>
      <c r="B92" s="25" t="s">
        <v>99</v>
      </c>
      <c r="C92" s="25" t="s">
        <v>13</v>
      </c>
      <c r="D92" s="45">
        <f>164695.86+2739.21</f>
        <v>167435.06999999998</v>
      </c>
    </row>
    <row r="93" spans="1:4" ht="15.75" thickBot="1" x14ac:dyDescent="0.3">
      <c r="A93" s="24"/>
      <c r="B93" s="25" t="s">
        <v>100</v>
      </c>
      <c r="C93" s="25" t="s">
        <v>13</v>
      </c>
      <c r="D93" s="45">
        <f>D91-D92</f>
        <v>23705.47000000003</v>
      </c>
    </row>
    <row r="94" spans="1:4" ht="15.75" thickBot="1" x14ac:dyDescent="0.3">
      <c r="A94" s="24"/>
      <c r="B94" s="25" t="s">
        <v>101</v>
      </c>
      <c r="C94" s="25" t="s">
        <v>13</v>
      </c>
      <c r="D94" s="45">
        <v>148444.01999999999</v>
      </c>
    </row>
    <row r="95" spans="1:4" ht="15.75" thickBot="1" x14ac:dyDescent="0.3">
      <c r="A95" s="24"/>
      <c r="B95" s="25" t="s">
        <v>102</v>
      </c>
      <c r="C95" s="25" t="s">
        <v>13</v>
      </c>
      <c r="D95" s="45">
        <f>D92</f>
        <v>167435.06999999998</v>
      </c>
    </row>
    <row r="96" spans="1:4" ht="15.75" thickBot="1" x14ac:dyDescent="0.3">
      <c r="A96" s="24"/>
      <c r="B96" s="25" t="s">
        <v>103</v>
      </c>
      <c r="C96" s="25" t="s">
        <v>13</v>
      </c>
      <c r="D96" s="45">
        <f>D93</f>
        <v>23705.47000000003</v>
      </c>
    </row>
    <row r="97" spans="1:4" ht="15.75" thickBot="1" x14ac:dyDescent="0.3">
      <c r="A97" s="24"/>
      <c r="B97" s="29" t="s">
        <v>104</v>
      </c>
      <c r="C97" s="25" t="s">
        <v>13</v>
      </c>
      <c r="D97" s="44">
        <v>0</v>
      </c>
    </row>
    <row r="98" spans="1:4" ht="15.75" thickBot="1" x14ac:dyDescent="0.3">
      <c r="A98" s="40" t="s">
        <v>110</v>
      </c>
      <c r="B98" s="41" t="s">
        <v>93</v>
      </c>
      <c r="C98" s="42" t="s">
        <v>47</v>
      </c>
      <c r="D98" s="41" t="s">
        <v>111</v>
      </c>
    </row>
    <row r="99" spans="1:4" ht="15.75" thickBot="1" x14ac:dyDescent="0.3">
      <c r="A99" s="24"/>
      <c r="B99" s="29" t="s">
        <v>95</v>
      </c>
      <c r="C99" s="25" t="s">
        <v>47</v>
      </c>
      <c r="D99" s="29" t="s">
        <v>107</v>
      </c>
    </row>
    <row r="100" spans="1:4" ht="15.75" thickBot="1" x14ac:dyDescent="0.3">
      <c r="A100" s="24"/>
      <c r="B100" s="29" t="s">
        <v>97</v>
      </c>
      <c r="C100" s="25" t="s">
        <v>107</v>
      </c>
      <c r="D100" s="39">
        <v>6880.0563000000002</v>
      </c>
    </row>
    <row r="101" spans="1:4" ht="15.75" thickBot="1" x14ac:dyDescent="0.3">
      <c r="A101" s="24"/>
      <c r="B101" s="29" t="s">
        <v>98</v>
      </c>
      <c r="C101" s="25" t="s">
        <v>13</v>
      </c>
      <c r="D101" s="39">
        <f>72676.45-2204.35</f>
        <v>70472.099999999991</v>
      </c>
    </row>
    <row r="102" spans="1:4" ht="15.75" thickBot="1" x14ac:dyDescent="0.3">
      <c r="A102" s="24"/>
      <c r="B102" s="25" t="s">
        <v>99</v>
      </c>
      <c r="C102" s="25" t="s">
        <v>13</v>
      </c>
      <c r="D102" s="43">
        <v>58153.88</v>
      </c>
    </row>
    <row r="103" spans="1:4" ht="15.75" thickBot="1" x14ac:dyDescent="0.3">
      <c r="A103" s="24"/>
      <c r="B103" s="25" t="s">
        <v>100</v>
      </c>
      <c r="C103" s="25" t="s">
        <v>13</v>
      </c>
      <c r="D103" s="43">
        <f>D101-D102</f>
        <v>12318.219999999994</v>
      </c>
    </row>
    <row r="104" spans="1:4" ht="15.75" thickBot="1" x14ac:dyDescent="0.3">
      <c r="A104" s="24"/>
      <c r="B104" s="25" t="s">
        <v>101</v>
      </c>
      <c r="C104" s="25" t="s">
        <v>13</v>
      </c>
      <c r="D104" s="43">
        <v>58749.81</v>
      </c>
    </row>
    <row r="105" spans="1:4" ht="15.75" thickBot="1" x14ac:dyDescent="0.3">
      <c r="A105" s="24"/>
      <c r="B105" s="25" t="s">
        <v>102</v>
      </c>
      <c r="C105" s="25" t="s">
        <v>13</v>
      </c>
      <c r="D105" s="43">
        <f>D102</f>
        <v>58153.88</v>
      </c>
    </row>
    <row r="106" spans="1:4" ht="15.75" thickBot="1" x14ac:dyDescent="0.3">
      <c r="A106" s="24"/>
      <c r="B106" s="25" t="s">
        <v>103</v>
      </c>
      <c r="C106" s="25" t="s">
        <v>13</v>
      </c>
      <c r="D106" s="43">
        <f>D103</f>
        <v>12318.219999999994</v>
      </c>
    </row>
    <row r="107" spans="1:4" ht="15.75" thickBot="1" x14ac:dyDescent="0.3">
      <c r="A107" s="24"/>
      <c r="B107" s="29" t="s">
        <v>104</v>
      </c>
      <c r="C107" s="25" t="s">
        <v>13</v>
      </c>
      <c r="D107" s="39">
        <v>0</v>
      </c>
    </row>
    <row r="108" spans="1:4" x14ac:dyDescent="0.25">
      <c r="A108" s="46"/>
      <c r="B108" s="47"/>
      <c r="C108" s="48"/>
      <c r="D108" s="49"/>
    </row>
    <row r="109" spans="1:4" ht="15.75" thickBot="1" x14ac:dyDescent="0.3">
      <c r="A109" s="8" t="s">
        <v>112</v>
      </c>
      <c r="B109" s="2"/>
      <c r="C109" s="2"/>
      <c r="D109" s="2"/>
    </row>
    <row r="110" spans="1:4" ht="15.75" thickBot="1" x14ac:dyDescent="0.3">
      <c r="A110" s="22" t="s">
        <v>113</v>
      </c>
      <c r="B110" s="33" t="s">
        <v>73</v>
      </c>
      <c r="C110" s="32" t="s">
        <v>114</v>
      </c>
      <c r="D110" s="33">
        <v>0</v>
      </c>
    </row>
    <row r="111" spans="1:4" ht="15.75" thickBot="1" x14ac:dyDescent="0.3">
      <c r="A111" s="24" t="s">
        <v>115</v>
      </c>
      <c r="B111" s="29" t="s">
        <v>75</v>
      </c>
      <c r="C111" s="25" t="s">
        <v>114</v>
      </c>
      <c r="D111" s="29">
        <v>0</v>
      </c>
    </row>
    <row r="112" spans="1:4" ht="15.75" thickBot="1" x14ac:dyDescent="0.3">
      <c r="A112" s="24" t="s">
        <v>116</v>
      </c>
      <c r="B112" s="29" t="s">
        <v>77</v>
      </c>
      <c r="C112" s="25" t="s">
        <v>114</v>
      </c>
      <c r="D112" s="29">
        <v>0</v>
      </c>
    </row>
    <row r="113" spans="1:4" ht="15.75" thickBot="1" x14ac:dyDescent="0.3">
      <c r="A113" s="24" t="s">
        <v>117</v>
      </c>
      <c r="B113" s="29" t="s">
        <v>79</v>
      </c>
      <c r="C113" s="25" t="s">
        <v>13</v>
      </c>
      <c r="D113" s="39">
        <v>0</v>
      </c>
    </row>
    <row r="114" spans="1:4" x14ac:dyDescent="0.25">
      <c r="A114" s="2"/>
      <c r="B114" s="2"/>
      <c r="C114" s="2"/>
      <c r="D114" s="2"/>
    </row>
    <row r="115" spans="1:4" ht="15.75" thickBot="1" x14ac:dyDescent="0.3">
      <c r="A115" s="8" t="s">
        <v>118</v>
      </c>
      <c r="B115" s="2"/>
      <c r="C115" s="2"/>
      <c r="D115" s="2"/>
    </row>
    <row r="116" spans="1:4" ht="15.75" thickBot="1" x14ac:dyDescent="0.3">
      <c r="A116" s="34">
        <v>48</v>
      </c>
      <c r="B116" s="33" t="s">
        <v>119</v>
      </c>
      <c r="C116" s="32" t="s">
        <v>114</v>
      </c>
      <c r="D116" s="33">
        <v>1</v>
      </c>
    </row>
    <row r="117" spans="1:4" ht="15.75" thickBot="1" x14ac:dyDescent="0.3">
      <c r="A117" s="50">
        <v>49</v>
      </c>
      <c r="B117" s="29" t="s">
        <v>120</v>
      </c>
      <c r="C117" s="25" t="s">
        <v>114</v>
      </c>
      <c r="D117" s="29">
        <v>0</v>
      </c>
    </row>
    <row r="118" spans="1:4" ht="15.75" thickBot="1" x14ac:dyDescent="0.3">
      <c r="A118" s="51">
        <v>50</v>
      </c>
      <c r="B118" s="52" t="s">
        <v>121</v>
      </c>
      <c r="C118" s="53" t="s">
        <v>13</v>
      </c>
      <c r="D118" s="56">
        <v>0</v>
      </c>
    </row>
  </sheetData>
  <mergeCells count="2">
    <mergeCell ref="A5:D5"/>
    <mergeCell ref="A6:D6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4"/>
  <sheetViews>
    <sheetView topLeftCell="A115" workbookViewId="0">
      <selection activeCell="D120" sqref="D120"/>
    </sheetView>
  </sheetViews>
  <sheetFormatPr defaultRowHeight="15" x14ac:dyDescent="0.25"/>
  <cols>
    <col min="2" max="2" width="82" customWidth="1"/>
    <col min="3" max="3" width="14.42578125" customWidth="1"/>
    <col min="4" max="4" width="63.42578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245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246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0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628326.84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559249.29+6931.05+41184.97</f>
        <v>607365.31000000006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0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482363.47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408964.13+70249.34</f>
        <v>479213.47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3150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v>482363.47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152479.95000000001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152479.95000000001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204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3811037600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205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204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3811037600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134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68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133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3808170471</v>
      </c>
    </row>
    <row r="60" spans="1:4" ht="26.25" thickBot="1" x14ac:dyDescent="0.3">
      <c r="A60" s="24" t="s">
        <v>64</v>
      </c>
      <c r="B60" s="27" t="s">
        <v>46</v>
      </c>
      <c r="C60" s="27" t="s">
        <v>47</v>
      </c>
      <c r="D60" s="59" t="s">
        <v>206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133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3808170471</v>
      </c>
    </row>
    <row r="64" spans="1:4" ht="15.75" thickBot="1" x14ac:dyDescent="0.3">
      <c r="A64" s="24" t="s">
        <v>66</v>
      </c>
      <c r="B64" s="27" t="s">
        <v>46</v>
      </c>
      <c r="C64" s="27" t="s">
        <v>47</v>
      </c>
      <c r="D64" s="28" t="s">
        <v>192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207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57</v>
      </c>
    </row>
    <row r="67" spans="1:4" ht="15.75" thickBot="1" x14ac:dyDescent="0.3">
      <c r="A67" s="24"/>
      <c r="B67" s="25" t="s">
        <v>53</v>
      </c>
      <c r="C67" s="25" t="s">
        <v>47</v>
      </c>
      <c r="D67" s="30">
        <v>3808140910</v>
      </c>
    </row>
    <row r="68" spans="1:4" ht="15.75" thickBot="1" x14ac:dyDescent="0.3">
      <c r="A68" s="24" t="s">
        <v>67</v>
      </c>
      <c r="B68" s="27" t="s">
        <v>46</v>
      </c>
      <c r="C68" s="27" t="s">
        <v>47</v>
      </c>
      <c r="D68" s="28" t="s">
        <v>192</v>
      </c>
    </row>
    <row r="69" spans="1:4" ht="15.75" thickBot="1" x14ac:dyDescent="0.3">
      <c r="A69" s="24"/>
      <c r="B69" s="25" t="s">
        <v>49</v>
      </c>
      <c r="C69" s="25" t="s">
        <v>47</v>
      </c>
      <c r="D69" s="29" t="s">
        <v>208</v>
      </c>
    </row>
    <row r="70" spans="1:4" ht="15.75" thickBot="1" x14ac:dyDescent="0.3">
      <c r="A70" s="24"/>
      <c r="B70" s="25" t="s">
        <v>51</v>
      </c>
      <c r="C70" s="25" t="s">
        <v>47</v>
      </c>
      <c r="D70" s="29" t="s">
        <v>57</v>
      </c>
    </row>
    <row r="71" spans="1:4" ht="15.75" thickBot="1" x14ac:dyDescent="0.3">
      <c r="A71" s="24"/>
      <c r="B71" s="25" t="s">
        <v>53</v>
      </c>
      <c r="C71" s="25" t="s">
        <v>47</v>
      </c>
      <c r="D71" s="30">
        <v>3812080615</v>
      </c>
    </row>
    <row r="72" spans="1:4" ht="15.75" thickBot="1" x14ac:dyDescent="0.3">
      <c r="A72" s="24" t="s">
        <v>69</v>
      </c>
      <c r="B72" s="27" t="s">
        <v>46</v>
      </c>
      <c r="C72" s="27" t="s">
        <v>47</v>
      </c>
      <c r="D72" s="28" t="s">
        <v>209</v>
      </c>
    </row>
    <row r="73" spans="1:4" ht="15.75" thickBot="1" x14ac:dyDescent="0.3">
      <c r="A73" s="24"/>
      <c r="B73" s="25" t="s">
        <v>49</v>
      </c>
      <c r="C73" s="25" t="s">
        <v>47</v>
      </c>
      <c r="D73" s="29" t="s">
        <v>210</v>
      </c>
    </row>
    <row r="74" spans="1:4" ht="15.75" thickBot="1" x14ac:dyDescent="0.3">
      <c r="A74" s="24"/>
      <c r="B74" s="25" t="s">
        <v>51</v>
      </c>
      <c r="C74" s="25" t="s">
        <v>47</v>
      </c>
      <c r="D74" s="29" t="s">
        <v>190</v>
      </c>
    </row>
    <row r="75" spans="1:4" ht="15.75" thickBot="1" x14ac:dyDescent="0.3">
      <c r="A75" s="24"/>
      <c r="B75" s="25" t="s">
        <v>53</v>
      </c>
      <c r="C75" s="25" t="s">
        <v>47</v>
      </c>
      <c r="D75" s="30">
        <v>5405485497</v>
      </c>
    </row>
    <row r="76" spans="1:4" ht="15.75" thickBot="1" x14ac:dyDescent="0.3">
      <c r="A76" s="24" t="s">
        <v>154</v>
      </c>
      <c r="B76" s="27" t="s">
        <v>46</v>
      </c>
      <c r="C76" s="27" t="s">
        <v>47</v>
      </c>
      <c r="D76" s="28" t="s">
        <v>211</v>
      </c>
    </row>
    <row r="77" spans="1:4" ht="15.75" thickBot="1" x14ac:dyDescent="0.3">
      <c r="A77" s="24"/>
      <c r="B77" s="25" t="s">
        <v>49</v>
      </c>
      <c r="C77" s="25" t="s">
        <v>47</v>
      </c>
      <c r="D77" s="29" t="s">
        <v>212</v>
      </c>
    </row>
    <row r="78" spans="1:4" ht="15.75" thickBot="1" x14ac:dyDescent="0.3">
      <c r="A78" s="24"/>
      <c r="B78" s="25" t="s">
        <v>51</v>
      </c>
      <c r="C78" s="25" t="s">
        <v>47</v>
      </c>
      <c r="D78" s="29" t="s">
        <v>190</v>
      </c>
    </row>
    <row r="79" spans="1:4" ht="15.75" thickBot="1" x14ac:dyDescent="0.3">
      <c r="A79" s="24"/>
      <c r="B79" s="25" t="s">
        <v>53</v>
      </c>
      <c r="C79" s="25" t="s">
        <v>47</v>
      </c>
      <c r="D79" s="30">
        <v>7705042179</v>
      </c>
    </row>
    <row r="80" spans="1:4" ht="15.75" thickBot="1" x14ac:dyDescent="0.3">
      <c r="A80" s="24" t="s">
        <v>226</v>
      </c>
      <c r="B80" s="27" t="s">
        <v>46</v>
      </c>
      <c r="C80" s="27" t="s">
        <v>47</v>
      </c>
      <c r="D80" s="28" t="s">
        <v>213</v>
      </c>
    </row>
    <row r="81" spans="1:4" ht="15.75" thickBot="1" x14ac:dyDescent="0.3">
      <c r="A81" s="24"/>
      <c r="B81" s="25" t="s">
        <v>49</v>
      </c>
      <c r="C81" s="25" t="s">
        <v>47</v>
      </c>
      <c r="D81" s="29" t="s">
        <v>189</v>
      </c>
    </row>
    <row r="82" spans="1:4" ht="15.75" thickBot="1" x14ac:dyDescent="0.3">
      <c r="A82" s="24"/>
      <c r="B82" s="25" t="s">
        <v>51</v>
      </c>
      <c r="C82" s="25" t="s">
        <v>47</v>
      </c>
      <c r="D82" s="29" t="s">
        <v>190</v>
      </c>
    </row>
    <row r="83" spans="1:4" ht="15.75" thickBot="1" x14ac:dyDescent="0.3">
      <c r="A83" s="24"/>
      <c r="B83" s="25" t="s">
        <v>53</v>
      </c>
      <c r="C83" s="25" t="s">
        <v>47</v>
      </c>
      <c r="D83" s="30">
        <v>7706196090</v>
      </c>
    </row>
    <row r="84" spans="1:4" ht="15.75" thickBot="1" x14ac:dyDescent="0.3">
      <c r="A84" s="24" t="s">
        <v>227</v>
      </c>
      <c r="B84" s="27" t="s">
        <v>46</v>
      </c>
      <c r="C84" s="27" t="s">
        <v>47</v>
      </c>
      <c r="D84" s="28" t="s">
        <v>214</v>
      </c>
    </row>
    <row r="85" spans="1:4" ht="15.75" thickBot="1" x14ac:dyDescent="0.3">
      <c r="A85" s="24"/>
      <c r="B85" s="25" t="s">
        <v>49</v>
      </c>
      <c r="C85" s="25" t="s">
        <v>47</v>
      </c>
      <c r="D85" s="29" t="s">
        <v>215</v>
      </c>
    </row>
    <row r="86" spans="1:4" ht="15.75" thickBot="1" x14ac:dyDescent="0.3">
      <c r="A86" s="24"/>
      <c r="B86" s="25" t="s">
        <v>51</v>
      </c>
      <c r="C86" s="25" t="s">
        <v>47</v>
      </c>
      <c r="D86" s="29" t="s">
        <v>57</v>
      </c>
    </row>
    <row r="87" spans="1:4" ht="15.75" thickBot="1" x14ac:dyDescent="0.3">
      <c r="A87" s="24"/>
      <c r="B87" s="25" t="s">
        <v>53</v>
      </c>
      <c r="C87" s="25" t="s">
        <v>47</v>
      </c>
      <c r="D87" s="31" t="s">
        <v>181</v>
      </c>
    </row>
    <row r="88" spans="1:4" ht="15.75" thickBot="1" x14ac:dyDescent="0.3">
      <c r="A88" s="24" t="s">
        <v>228</v>
      </c>
      <c r="B88" s="27" t="s">
        <v>46</v>
      </c>
      <c r="C88" s="27" t="s">
        <v>47</v>
      </c>
      <c r="D88" s="28" t="s">
        <v>216</v>
      </c>
    </row>
    <row r="89" spans="1:4" ht="15.75" thickBot="1" x14ac:dyDescent="0.3">
      <c r="A89" s="24"/>
      <c r="B89" s="25" t="s">
        <v>49</v>
      </c>
      <c r="C89" s="25" t="s">
        <v>47</v>
      </c>
      <c r="D89" s="29" t="s">
        <v>217</v>
      </c>
    </row>
    <row r="90" spans="1:4" ht="15.75" thickBot="1" x14ac:dyDescent="0.3">
      <c r="A90" s="24"/>
      <c r="B90" s="25" t="s">
        <v>51</v>
      </c>
      <c r="C90" s="25" t="s">
        <v>47</v>
      </c>
      <c r="D90" s="29" t="s">
        <v>218</v>
      </c>
    </row>
    <row r="91" spans="1:4" ht="15.75" thickBot="1" x14ac:dyDescent="0.3">
      <c r="A91" s="24"/>
      <c r="B91" s="25" t="s">
        <v>53</v>
      </c>
      <c r="C91" s="25" t="s">
        <v>47</v>
      </c>
      <c r="D91" s="31" t="s">
        <v>219</v>
      </c>
    </row>
    <row r="92" spans="1:4" ht="15.75" thickBot="1" x14ac:dyDescent="0.3">
      <c r="A92" s="24" t="s">
        <v>229</v>
      </c>
      <c r="B92" s="27" t="s">
        <v>46</v>
      </c>
      <c r="C92" s="27" t="s">
        <v>47</v>
      </c>
      <c r="D92" s="28" t="s">
        <v>220</v>
      </c>
    </row>
    <row r="93" spans="1:4" ht="15.75" thickBot="1" x14ac:dyDescent="0.3">
      <c r="A93" s="24"/>
      <c r="B93" s="25" t="s">
        <v>49</v>
      </c>
      <c r="C93" s="25" t="s">
        <v>47</v>
      </c>
      <c r="D93" s="29" t="s">
        <v>221</v>
      </c>
    </row>
    <row r="94" spans="1:4" ht="15.75" thickBot="1" x14ac:dyDescent="0.3">
      <c r="A94" s="24"/>
      <c r="B94" s="25" t="s">
        <v>51</v>
      </c>
      <c r="C94" s="25" t="s">
        <v>47</v>
      </c>
      <c r="D94" s="29" t="s">
        <v>218</v>
      </c>
    </row>
    <row r="95" spans="1:4" ht="15.75" thickBot="1" x14ac:dyDescent="0.3">
      <c r="A95" s="24"/>
      <c r="B95" s="25" t="s">
        <v>53</v>
      </c>
      <c r="C95" s="25" t="s">
        <v>47</v>
      </c>
      <c r="D95" s="31" t="s">
        <v>222</v>
      </c>
    </row>
    <row r="96" spans="1:4" ht="26.25" thickBot="1" x14ac:dyDescent="0.3">
      <c r="A96" s="24" t="s">
        <v>230</v>
      </c>
      <c r="B96" s="27" t="s">
        <v>46</v>
      </c>
      <c r="C96" s="27" t="s">
        <v>47</v>
      </c>
      <c r="D96" s="59" t="s">
        <v>223</v>
      </c>
    </row>
    <row r="97" spans="1:4" ht="15.75" thickBot="1" x14ac:dyDescent="0.3">
      <c r="A97" s="24"/>
      <c r="B97" s="25" t="s">
        <v>49</v>
      </c>
      <c r="C97" s="25" t="s">
        <v>47</v>
      </c>
      <c r="D97" s="29" t="s">
        <v>224</v>
      </c>
    </row>
    <row r="98" spans="1:4" ht="15.75" thickBot="1" x14ac:dyDescent="0.3">
      <c r="A98" s="24"/>
      <c r="B98" s="25" t="s">
        <v>51</v>
      </c>
      <c r="C98" s="25" t="s">
        <v>47</v>
      </c>
      <c r="D98" s="29" t="s">
        <v>218</v>
      </c>
    </row>
    <row r="99" spans="1:4" ht="15.75" thickBot="1" x14ac:dyDescent="0.3">
      <c r="A99" s="24"/>
      <c r="B99" s="25" t="s">
        <v>53</v>
      </c>
      <c r="C99" s="25" t="s">
        <v>47</v>
      </c>
      <c r="D99" s="31" t="s">
        <v>225</v>
      </c>
    </row>
    <row r="100" spans="1:4" ht="15.75" thickBot="1" x14ac:dyDescent="0.3">
      <c r="A100" s="24" t="s">
        <v>231</v>
      </c>
      <c r="B100" s="27" t="s">
        <v>46</v>
      </c>
      <c r="C100" s="27" t="s">
        <v>47</v>
      </c>
      <c r="D100" s="28" t="s">
        <v>126</v>
      </c>
    </row>
    <row r="101" spans="1:4" ht="15.75" thickBot="1" x14ac:dyDescent="0.3">
      <c r="A101" s="24"/>
      <c r="B101" s="25" t="s">
        <v>49</v>
      </c>
      <c r="C101" s="25" t="s">
        <v>47</v>
      </c>
      <c r="D101" s="29" t="s">
        <v>70</v>
      </c>
    </row>
    <row r="102" spans="1:4" ht="15.75" thickBot="1" x14ac:dyDescent="0.3">
      <c r="A102" s="24"/>
      <c r="B102" s="25" t="s">
        <v>51</v>
      </c>
      <c r="C102" s="25" t="s">
        <v>47</v>
      </c>
      <c r="D102" s="29" t="s">
        <v>57</v>
      </c>
    </row>
    <row r="103" spans="1:4" ht="15.75" thickBot="1" x14ac:dyDescent="0.3">
      <c r="A103" s="24"/>
      <c r="B103" s="25" t="s">
        <v>53</v>
      </c>
      <c r="C103" s="25" t="s">
        <v>47</v>
      </c>
      <c r="D103" s="30">
        <v>3811171757</v>
      </c>
    </row>
    <row r="104" spans="1:4" ht="15.75" thickBot="1" x14ac:dyDescent="0.3">
      <c r="A104" s="24" t="s">
        <v>232</v>
      </c>
      <c r="B104" s="27" t="s">
        <v>46</v>
      </c>
      <c r="C104" s="27" t="s">
        <v>47</v>
      </c>
      <c r="D104" s="28" t="s">
        <v>178</v>
      </c>
    </row>
    <row r="105" spans="1:4" ht="15.75" thickBot="1" x14ac:dyDescent="0.3">
      <c r="A105" s="24"/>
      <c r="B105" s="25" t="s">
        <v>49</v>
      </c>
      <c r="C105" s="25" t="s">
        <v>47</v>
      </c>
      <c r="D105" s="29" t="s">
        <v>70</v>
      </c>
    </row>
    <row r="106" spans="1:4" ht="15.75" thickBot="1" x14ac:dyDescent="0.3">
      <c r="A106" s="24"/>
      <c r="B106" s="25" t="s">
        <v>51</v>
      </c>
      <c r="C106" s="25" t="s">
        <v>47</v>
      </c>
      <c r="D106" s="29" t="s">
        <v>57</v>
      </c>
    </row>
    <row r="107" spans="1:4" ht="15.75" thickBot="1" x14ac:dyDescent="0.3">
      <c r="A107" s="24"/>
      <c r="B107" s="25" t="s">
        <v>53</v>
      </c>
      <c r="C107" s="25" t="s">
        <v>47</v>
      </c>
      <c r="D107" s="30">
        <v>3811171757</v>
      </c>
    </row>
    <row r="108" spans="1:4" x14ac:dyDescent="0.25">
      <c r="A108" s="2"/>
      <c r="B108" s="2"/>
      <c r="C108" s="2"/>
      <c r="D108" s="2"/>
    </row>
    <row r="109" spans="1:4" ht="15.75" thickBot="1" x14ac:dyDescent="0.3">
      <c r="A109" s="8" t="s">
        <v>71</v>
      </c>
      <c r="B109" s="2"/>
      <c r="C109" s="2"/>
      <c r="D109" s="2"/>
    </row>
    <row r="110" spans="1:4" ht="15.75" thickBot="1" x14ac:dyDescent="0.3">
      <c r="A110" s="22" t="s">
        <v>72</v>
      </c>
      <c r="B110" s="32" t="s">
        <v>73</v>
      </c>
      <c r="C110" s="32" t="s">
        <v>47</v>
      </c>
      <c r="D110" s="33">
        <v>0</v>
      </c>
    </row>
    <row r="111" spans="1:4" ht="15.75" thickBot="1" x14ac:dyDescent="0.3">
      <c r="A111" s="24" t="s">
        <v>74</v>
      </c>
      <c r="B111" s="25" t="s">
        <v>75</v>
      </c>
      <c r="C111" s="25" t="s">
        <v>47</v>
      </c>
      <c r="D111" s="29">
        <v>0</v>
      </c>
    </row>
    <row r="112" spans="1:4" ht="15.75" thickBot="1" x14ac:dyDescent="0.3">
      <c r="A112" s="24" t="s">
        <v>76</v>
      </c>
      <c r="B112" s="25" t="s">
        <v>77</v>
      </c>
      <c r="C112" s="25" t="s">
        <v>47</v>
      </c>
      <c r="D112" s="29">
        <v>0</v>
      </c>
    </row>
    <row r="113" spans="1:4" ht="15.75" thickBot="1" x14ac:dyDescent="0.3">
      <c r="A113" s="22" t="s">
        <v>78</v>
      </c>
      <c r="B113" s="34" t="s">
        <v>79</v>
      </c>
      <c r="C113" s="34" t="s">
        <v>13</v>
      </c>
      <c r="D113" s="35">
        <v>0</v>
      </c>
    </row>
    <row r="114" spans="1:4" x14ac:dyDescent="0.25">
      <c r="A114" s="2"/>
      <c r="B114" s="2"/>
      <c r="C114" s="2"/>
      <c r="D114" s="2"/>
    </row>
    <row r="115" spans="1:4" ht="15.75" thickBot="1" x14ac:dyDescent="0.3">
      <c r="A115" s="8" t="s">
        <v>80</v>
      </c>
      <c r="B115" s="2"/>
      <c r="C115" s="2"/>
      <c r="D115" s="2"/>
    </row>
    <row r="116" spans="1:4" ht="15.75" thickBot="1" x14ac:dyDescent="0.3">
      <c r="A116" s="36" t="s">
        <v>81</v>
      </c>
      <c r="B116" s="33" t="s">
        <v>82</v>
      </c>
      <c r="C116" s="32" t="s">
        <v>13</v>
      </c>
      <c r="D116" s="37">
        <v>0</v>
      </c>
    </row>
    <row r="117" spans="1:4" ht="15.75" thickBot="1" x14ac:dyDescent="0.3">
      <c r="A117" s="38" t="s">
        <v>83</v>
      </c>
      <c r="B117" s="25" t="s">
        <v>84</v>
      </c>
      <c r="C117" s="25" t="s">
        <v>13</v>
      </c>
      <c r="D117" s="39">
        <v>0</v>
      </c>
    </row>
    <row r="118" spans="1:4" ht="15.75" thickBot="1" x14ac:dyDescent="0.3">
      <c r="A118" s="38" t="s">
        <v>85</v>
      </c>
      <c r="B118" s="25" t="s">
        <v>86</v>
      </c>
      <c r="C118" s="25" t="s">
        <v>13</v>
      </c>
      <c r="D118" s="39">
        <v>0</v>
      </c>
    </row>
    <row r="119" spans="1:4" ht="15.75" thickBot="1" x14ac:dyDescent="0.3">
      <c r="A119" s="38" t="s">
        <v>87</v>
      </c>
      <c r="B119" s="29" t="s">
        <v>88</v>
      </c>
      <c r="C119" s="25" t="s">
        <v>13</v>
      </c>
      <c r="D119" s="39">
        <f>D121+D120</f>
        <v>160924.15</v>
      </c>
    </row>
    <row r="120" spans="1:4" ht="15.75" thickBot="1" x14ac:dyDescent="0.3">
      <c r="A120" s="38" t="s">
        <v>89</v>
      </c>
      <c r="B120" s="25" t="s">
        <v>84</v>
      </c>
      <c r="C120" s="25" t="s">
        <v>13</v>
      </c>
      <c r="D120" s="39">
        <f>-(115.39+201.72+50.07+39.44+4.86)</f>
        <v>-411.48</v>
      </c>
    </row>
    <row r="121" spans="1:4" ht="15.75" thickBot="1" x14ac:dyDescent="0.3">
      <c r="A121" s="38" t="s">
        <v>90</v>
      </c>
      <c r="B121" s="25" t="s">
        <v>86</v>
      </c>
      <c r="C121" s="25" t="s">
        <v>13</v>
      </c>
      <c r="D121" s="39">
        <f>116151.62+4350.76+4068.34+22062.72+8923.54+748.18+5030.47</f>
        <v>161335.63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91</v>
      </c>
      <c r="B123" s="2"/>
      <c r="C123" s="2"/>
      <c r="D123" s="2"/>
    </row>
    <row r="124" spans="1:4" ht="15.75" thickBot="1" x14ac:dyDescent="0.3">
      <c r="A124" s="40" t="s">
        <v>92</v>
      </c>
      <c r="B124" s="41" t="s">
        <v>93</v>
      </c>
      <c r="C124" s="42" t="s">
        <v>47</v>
      </c>
      <c r="D124" s="41" t="s">
        <v>94</v>
      </c>
    </row>
    <row r="125" spans="1:4" ht="15.75" thickBot="1" x14ac:dyDescent="0.3">
      <c r="A125" s="24"/>
      <c r="B125" s="29" t="s">
        <v>95</v>
      </c>
      <c r="C125" s="25" t="s">
        <v>47</v>
      </c>
      <c r="D125" s="29" t="s">
        <v>96</v>
      </c>
    </row>
    <row r="126" spans="1:4" ht="15.75" thickBot="1" x14ac:dyDescent="0.3">
      <c r="A126" s="24"/>
      <c r="B126" s="29" t="s">
        <v>97</v>
      </c>
      <c r="C126" s="25" t="s">
        <v>96</v>
      </c>
      <c r="D126" s="39">
        <v>409.637</v>
      </c>
    </row>
    <row r="127" spans="1:4" ht="15.75" thickBot="1" x14ac:dyDescent="0.3">
      <c r="A127" s="24"/>
      <c r="B127" s="29" t="s">
        <v>98</v>
      </c>
      <c r="C127" s="25" t="s">
        <v>13</v>
      </c>
      <c r="D127" s="39">
        <f>416073.64+2204.07</f>
        <v>418277.71</v>
      </c>
    </row>
    <row r="128" spans="1:4" ht="15.75" thickBot="1" x14ac:dyDescent="0.3">
      <c r="A128" s="24"/>
      <c r="B128" s="25" t="s">
        <v>99</v>
      </c>
      <c r="C128" s="25" t="s">
        <v>13</v>
      </c>
      <c r="D128" s="43">
        <v>302241.48</v>
      </c>
    </row>
    <row r="129" spans="1:4" ht="15.75" thickBot="1" x14ac:dyDescent="0.3">
      <c r="A129" s="24"/>
      <c r="B129" s="25" t="s">
        <v>100</v>
      </c>
      <c r="C129" s="25" t="s">
        <v>13</v>
      </c>
      <c r="D129" s="43">
        <f>D127-D128</f>
        <v>116036.23000000004</v>
      </c>
    </row>
    <row r="130" spans="1:4" ht="15.75" thickBot="1" x14ac:dyDescent="0.3">
      <c r="A130" s="24"/>
      <c r="B130" s="25" t="s">
        <v>101</v>
      </c>
      <c r="C130" s="25" t="s">
        <v>13</v>
      </c>
      <c r="D130" s="43">
        <v>281001.58100000001</v>
      </c>
    </row>
    <row r="131" spans="1:4" ht="15.75" thickBot="1" x14ac:dyDescent="0.3">
      <c r="A131" s="24"/>
      <c r="B131" s="25" t="s">
        <v>102</v>
      </c>
      <c r="C131" s="25" t="s">
        <v>13</v>
      </c>
      <c r="D131" s="43">
        <f>D128</f>
        <v>302241.48</v>
      </c>
    </row>
    <row r="132" spans="1:4" ht="15.75" thickBot="1" x14ac:dyDescent="0.3">
      <c r="A132" s="24"/>
      <c r="B132" s="25" t="s">
        <v>103</v>
      </c>
      <c r="C132" s="25" t="s">
        <v>13</v>
      </c>
      <c r="D132" s="43">
        <f>D129</f>
        <v>116036.23000000004</v>
      </c>
    </row>
    <row r="133" spans="1:4" ht="15.75" thickBot="1" x14ac:dyDescent="0.3">
      <c r="A133" s="24"/>
      <c r="B133" s="29" t="s">
        <v>104</v>
      </c>
      <c r="C133" s="25" t="s">
        <v>13</v>
      </c>
      <c r="D133" s="39">
        <v>0</v>
      </c>
    </row>
    <row r="134" spans="1:4" ht="15.75" thickBot="1" x14ac:dyDescent="0.3">
      <c r="A134" s="40" t="s">
        <v>105</v>
      </c>
      <c r="B134" s="41" t="s">
        <v>93</v>
      </c>
      <c r="C134" s="42" t="s">
        <v>47</v>
      </c>
      <c r="D134" s="41" t="s">
        <v>106</v>
      </c>
    </row>
    <row r="135" spans="1:4" ht="15.75" thickBot="1" x14ac:dyDescent="0.3">
      <c r="A135" s="24"/>
      <c r="B135" s="29" t="s">
        <v>95</v>
      </c>
      <c r="C135" s="25" t="s">
        <v>47</v>
      </c>
      <c r="D135" s="29" t="s">
        <v>107</v>
      </c>
    </row>
    <row r="136" spans="1:4" ht="15.75" thickBot="1" x14ac:dyDescent="0.3">
      <c r="A136" s="24"/>
      <c r="B136" s="29" t="s">
        <v>97</v>
      </c>
      <c r="C136" s="25" t="s">
        <v>107</v>
      </c>
      <c r="D136" s="44">
        <f>1100.2209+787.6395</f>
        <v>1887.8604</v>
      </c>
    </row>
    <row r="137" spans="1:4" ht="15.75" thickBot="1" x14ac:dyDescent="0.3">
      <c r="A137" s="24"/>
      <c r="B137" s="29" t="s">
        <v>98</v>
      </c>
      <c r="C137" s="25" t="s">
        <v>13</v>
      </c>
      <c r="D137" s="44">
        <f>2709.54+11618.49+8317.92</f>
        <v>22645.949999999997</v>
      </c>
    </row>
    <row r="138" spans="1:4" ht="15.75" thickBot="1" x14ac:dyDescent="0.3">
      <c r="A138" s="24"/>
      <c r="B138" s="25" t="s">
        <v>99</v>
      </c>
      <c r="C138" s="25" t="s">
        <v>13</v>
      </c>
      <c r="D138" s="45">
        <f>2000.8+7511.03+4289</f>
        <v>13800.83</v>
      </c>
    </row>
    <row r="139" spans="1:4" ht="15.75" thickBot="1" x14ac:dyDescent="0.3">
      <c r="A139" s="24"/>
      <c r="B139" s="25" t="s">
        <v>100</v>
      </c>
      <c r="C139" s="25" t="s">
        <v>13</v>
      </c>
      <c r="D139" s="45">
        <f>D137-D138</f>
        <v>8845.1199999999972</v>
      </c>
    </row>
    <row r="140" spans="1:4" ht="15.75" thickBot="1" x14ac:dyDescent="0.3">
      <c r="A140" s="24"/>
      <c r="B140" s="25" t="s">
        <v>101</v>
      </c>
      <c r="C140" s="25" t="s">
        <v>13</v>
      </c>
      <c r="D140" s="45">
        <v>11338.108899999999</v>
      </c>
    </row>
    <row r="141" spans="1:4" ht="15.75" thickBot="1" x14ac:dyDescent="0.3">
      <c r="A141" s="24"/>
      <c r="B141" s="25" t="s">
        <v>102</v>
      </c>
      <c r="C141" s="25" t="s">
        <v>13</v>
      </c>
      <c r="D141" s="45">
        <f>D138</f>
        <v>13800.83</v>
      </c>
    </row>
    <row r="142" spans="1:4" ht="15.75" thickBot="1" x14ac:dyDescent="0.3">
      <c r="A142" s="24"/>
      <c r="B142" s="25" t="s">
        <v>103</v>
      </c>
      <c r="C142" s="25" t="s">
        <v>13</v>
      </c>
      <c r="D142" s="45">
        <f>D139</f>
        <v>8845.1199999999972</v>
      </c>
    </row>
    <row r="143" spans="1:4" ht="15.75" thickBot="1" x14ac:dyDescent="0.3">
      <c r="A143" s="24"/>
      <c r="B143" s="29" t="s">
        <v>104</v>
      </c>
      <c r="C143" s="25" t="s">
        <v>13</v>
      </c>
      <c r="D143" s="44">
        <v>0</v>
      </c>
    </row>
    <row r="144" spans="1:4" ht="15.75" thickBot="1" x14ac:dyDescent="0.3">
      <c r="A144" s="40" t="s">
        <v>108</v>
      </c>
      <c r="B144" s="41" t="s">
        <v>93</v>
      </c>
      <c r="C144" s="42" t="s">
        <v>47</v>
      </c>
      <c r="D144" s="41" t="s">
        <v>109</v>
      </c>
    </row>
    <row r="145" spans="1:4" ht="15.75" thickBot="1" x14ac:dyDescent="0.3">
      <c r="A145" s="24"/>
      <c r="B145" s="29" t="s">
        <v>95</v>
      </c>
      <c r="C145" s="25" t="s">
        <v>47</v>
      </c>
      <c r="D145" s="29" t="s">
        <v>107</v>
      </c>
    </row>
    <row r="146" spans="1:4" ht="15.75" thickBot="1" x14ac:dyDescent="0.3">
      <c r="A146" s="24"/>
      <c r="B146" s="29" t="s">
        <v>97</v>
      </c>
      <c r="C146" s="25" t="s">
        <v>107</v>
      </c>
      <c r="D146" s="44">
        <v>43.320300000000003</v>
      </c>
    </row>
    <row r="147" spans="1:4" ht="15.75" thickBot="1" x14ac:dyDescent="0.3">
      <c r="A147" s="24"/>
      <c r="B147" s="29" t="s">
        <v>98</v>
      </c>
      <c r="C147" s="25" t="s">
        <v>13</v>
      </c>
      <c r="D147" s="44">
        <f>45076.09+17455.16</f>
        <v>62531.25</v>
      </c>
    </row>
    <row r="148" spans="1:4" ht="15.75" thickBot="1" x14ac:dyDescent="0.3">
      <c r="A148" s="24"/>
      <c r="B148" s="25" t="s">
        <v>99</v>
      </c>
      <c r="C148" s="25" t="s">
        <v>13</v>
      </c>
      <c r="D148" s="45">
        <f>23213.36+12429.55</f>
        <v>35642.910000000003</v>
      </c>
    </row>
    <row r="149" spans="1:4" ht="15.75" thickBot="1" x14ac:dyDescent="0.3">
      <c r="A149" s="24"/>
      <c r="B149" s="25" t="s">
        <v>100</v>
      </c>
      <c r="C149" s="25" t="s">
        <v>13</v>
      </c>
      <c r="D149" s="45">
        <f>D147-D148</f>
        <v>26888.339999999997</v>
      </c>
    </row>
    <row r="150" spans="1:4" ht="15.75" thickBot="1" x14ac:dyDescent="0.3">
      <c r="A150" s="24"/>
      <c r="B150" s="25" t="s">
        <v>101</v>
      </c>
      <c r="C150" s="25" t="s">
        <v>13</v>
      </c>
      <c r="D150" s="45">
        <v>0</v>
      </c>
    </row>
    <row r="151" spans="1:4" ht="15.75" thickBot="1" x14ac:dyDescent="0.3">
      <c r="A151" s="24"/>
      <c r="B151" s="25" t="s">
        <v>102</v>
      </c>
      <c r="C151" s="25" t="s">
        <v>13</v>
      </c>
      <c r="D151" s="45">
        <f>D148</f>
        <v>35642.910000000003</v>
      </c>
    </row>
    <row r="152" spans="1:4" ht="15.75" thickBot="1" x14ac:dyDescent="0.3">
      <c r="A152" s="24"/>
      <c r="B152" s="25" t="s">
        <v>103</v>
      </c>
      <c r="C152" s="25" t="s">
        <v>13</v>
      </c>
      <c r="D152" s="45">
        <f>D149</f>
        <v>26888.339999999997</v>
      </c>
    </row>
    <row r="153" spans="1:4" ht="15.75" thickBot="1" x14ac:dyDescent="0.3">
      <c r="A153" s="24"/>
      <c r="B153" s="29" t="s">
        <v>104</v>
      </c>
      <c r="C153" s="25" t="s">
        <v>13</v>
      </c>
      <c r="D153" s="44">
        <v>0</v>
      </c>
    </row>
    <row r="154" spans="1:4" ht="15.75" thickBot="1" x14ac:dyDescent="0.3">
      <c r="A154" s="40" t="s">
        <v>110</v>
      </c>
      <c r="B154" s="41" t="s">
        <v>93</v>
      </c>
      <c r="C154" s="42" t="s">
        <v>47</v>
      </c>
      <c r="D154" s="41" t="s">
        <v>111</v>
      </c>
    </row>
    <row r="155" spans="1:4" ht="15.75" thickBot="1" x14ac:dyDescent="0.3">
      <c r="A155" s="24"/>
      <c r="B155" s="29" t="s">
        <v>95</v>
      </c>
      <c r="C155" s="25" t="s">
        <v>47</v>
      </c>
      <c r="D155" s="29" t="s">
        <v>107</v>
      </c>
    </row>
    <row r="156" spans="1:4" ht="15.75" thickBot="1" x14ac:dyDescent="0.3">
      <c r="A156" s="24"/>
      <c r="B156" s="29" t="s">
        <v>97</v>
      </c>
      <c r="C156" s="25" t="s">
        <v>107</v>
      </c>
      <c r="D156" s="39">
        <v>1887.8604</v>
      </c>
    </row>
    <row r="157" spans="1:4" ht="15.75" thickBot="1" x14ac:dyDescent="0.3">
      <c r="A157" s="24"/>
      <c r="B157" s="29" t="s">
        <v>98</v>
      </c>
      <c r="C157" s="25" t="s">
        <v>13</v>
      </c>
      <c r="D157" s="39">
        <v>21334.21</v>
      </c>
    </row>
    <row r="158" spans="1:4" ht="15.75" thickBot="1" x14ac:dyDescent="0.3">
      <c r="A158" s="24"/>
      <c r="B158" s="25" t="s">
        <v>99</v>
      </c>
      <c r="C158" s="25" t="s">
        <v>13</v>
      </c>
      <c r="D158" s="43">
        <v>12541.91</v>
      </c>
    </row>
    <row r="159" spans="1:4" ht="15.75" thickBot="1" x14ac:dyDescent="0.3">
      <c r="A159" s="24"/>
      <c r="B159" s="25" t="s">
        <v>100</v>
      </c>
      <c r="C159" s="25" t="s">
        <v>13</v>
      </c>
      <c r="D159" s="43">
        <f>D157-D158</f>
        <v>8792.2999999999993</v>
      </c>
    </row>
    <row r="160" spans="1:4" ht="15.75" thickBot="1" x14ac:dyDescent="0.3">
      <c r="A160" s="24"/>
      <c r="B160" s="25" t="s">
        <v>101</v>
      </c>
      <c r="C160" s="25" t="s">
        <v>13</v>
      </c>
      <c r="D160" s="39">
        <v>14338.068300000001</v>
      </c>
    </row>
    <row r="161" spans="1:4" ht="15.75" thickBot="1" x14ac:dyDescent="0.3">
      <c r="A161" s="24"/>
      <c r="B161" s="25" t="s">
        <v>102</v>
      </c>
      <c r="C161" s="25" t="s">
        <v>13</v>
      </c>
      <c r="D161" s="43">
        <f>D158</f>
        <v>12541.91</v>
      </c>
    </row>
    <row r="162" spans="1:4" ht="15.75" thickBot="1" x14ac:dyDescent="0.3">
      <c r="A162" s="24"/>
      <c r="B162" s="25" t="s">
        <v>103</v>
      </c>
      <c r="C162" s="25" t="s">
        <v>13</v>
      </c>
      <c r="D162" s="43">
        <f>D159</f>
        <v>8792.2999999999993</v>
      </c>
    </row>
    <row r="163" spans="1:4" ht="15.75" thickBot="1" x14ac:dyDescent="0.3">
      <c r="A163" s="24"/>
      <c r="B163" s="29" t="s">
        <v>104</v>
      </c>
      <c r="C163" s="25" t="s">
        <v>13</v>
      </c>
      <c r="D163" s="39">
        <v>0</v>
      </c>
    </row>
    <row r="164" spans="1:4" x14ac:dyDescent="0.25">
      <c r="A164" s="46"/>
      <c r="B164" s="47"/>
      <c r="C164" s="48"/>
      <c r="D164" s="49"/>
    </row>
    <row r="165" spans="1:4" ht="15.75" thickBot="1" x14ac:dyDescent="0.3">
      <c r="A165" s="8" t="s">
        <v>112</v>
      </c>
      <c r="B165" s="2"/>
      <c r="C165" s="2"/>
      <c r="D165" s="2"/>
    </row>
    <row r="166" spans="1:4" ht="15.75" thickBot="1" x14ac:dyDescent="0.3">
      <c r="A166" s="22" t="s">
        <v>113</v>
      </c>
      <c r="B166" s="33" t="s">
        <v>73</v>
      </c>
      <c r="C166" s="32" t="s">
        <v>114</v>
      </c>
      <c r="D166" s="33">
        <v>0</v>
      </c>
    </row>
    <row r="167" spans="1:4" ht="15.75" thickBot="1" x14ac:dyDescent="0.3">
      <c r="A167" s="24" t="s">
        <v>115</v>
      </c>
      <c r="B167" s="29" t="s">
        <v>75</v>
      </c>
      <c r="C167" s="25" t="s">
        <v>114</v>
      </c>
      <c r="D167" s="29">
        <v>0</v>
      </c>
    </row>
    <row r="168" spans="1:4" ht="15.75" thickBot="1" x14ac:dyDescent="0.3">
      <c r="A168" s="24" t="s">
        <v>116</v>
      </c>
      <c r="B168" s="29" t="s">
        <v>77</v>
      </c>
      <c r="C168" s="25" t="s">
        <v>114</v>
      </c>
      <c r="D168" s="29">
        <v>0</v>
      </c>
    </row>
    <row r="169" spans="1:4" ht="15.75" thickBot="1" x14ac:dyDescent="0.3">
      <c r="A169" s="24" t="s">
        <v>117</v>
      </c>
      <c r="B169" s="29" t="s">
        <v>79</v>
      </c>
      <c r="C169" s="25" t="s">
        <v>13</v>
      </c>
      <c r="D169" s="39">
        <v>0</v>
      </c>
    </row>
    <row r="170" spans="1:4" x14ac:dyDescent="0.25">
      <c r="A170" s="2"/>
      <c r="B170" s="2"/>
      <c r="C170" s="2"/>
      <c r="D170" s="2"/>
    </row>
    <row r="171" spans="1:4" ht="15.75" thickBot="1" x14ac:dyDescent="0.3">
      <c r="A171" s="8" t="s">
        <v>118</v>
      </c>
      <c r="B171" s="2"/>
      <c r="C171" s="2"/>
      <c r="D171" s="2"/>
    </row>
    <row r="172" spans="1:4" ht="15.75" thickBot="1" x14ac:dyDescent="0.3">
      <c r="A172" s="34">
        <v>48</v>
      </c>
      <c r="B172" s="33" t="s">
        <v>119</v>
      </c>
      <c r="C172" s="32" t="s">
        <v>114</v>
      </c>
      <c r="D172" s="33">
        <v>0</v>
      </c>
    </row>
    <row r="173" spans="1:4" ht="15.75" thickBot="1" x14ac:dyDescent="0.3">
      <c r="A173" s="50">
        <v>49</v>
      </c>
      <c r="B173" s="29" t="s">
        <v>120</v>
      </c>
      <c r="C173" s="25" t="s">
        <v>114</v>
      </c>
      <c r="D173" s="29">
        <v>0</v>
      </c>
    </row>
    <row r="174" spans="1:4" ht="15.75" thickBot="1" x14ac:dyDescent="0.3">
      <c r="A174" s="51">
        <v>50</v>
      </c>
      <c r="B174" s="52" t="s">
        <v>121</v>
      </c>
      <c r="C174" s="53" t="s">
        <v>13</v>
      </c>
      <c r="D174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6"/>
  <sheetViews>
    <sheetView topLeftCell="A184" workbookViewId="0">
      <selection activeCell="D132" sqref="D132"/>
    </sheetView>
  </sheetViews>
  <sheetFormatPr defaultRowHeight="15" x14ac:dyDescent="0.25"/>
  <cols>
    <col min="2" max="2" width="73.7109375" customWidth="1"/>
    <col min="3" max="3" width="13.140625" customWidth="1"/>
    <col min="4" max="4" width="64.140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247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248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0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1365371.69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1320844.18+33927.51</f>
        <v>1354771.69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0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1028036.87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993402.78+23784.09</f>
        <v>1017186.87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10850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v>1028036.87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333455.81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333455.81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204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3811037600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205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204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3811037600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134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68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133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3808170471</v>
      </c>
    </row>
    <row r="60" spans="1:4" ht="26.25" thickBot="1" x14ac:dyDescent="0.3">
      <c r="A60" s="24" t="s">
        <v>64</v>
      </c>
      <c r="B60" s="27" t="s">
        <v>46</v>
      </c>
      <c r="C60" s="27" t="s">
        <v>47</v>
      </c>
      <c r="D60" s="59" t="s">
        <v>206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133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3808170471</v>
      </c>
    </row>
    <row r="64" spans="1:4" ht="15.75" thickBot="1" x14ac:dyDescent="0.3">
      <c r="A64" s="24" t="s">
        <v>66</v>
      </c>
      <c r="B64" s="27" t="s">
        <v>46</v>
      </c>
      <c r="C64" s="27" t="s">
        <v>47</v>
      </c>
      <c r="D64" s="28" t="s">
        <v>192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207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57</v>
      </c>
    </row>
    <row r="67" spans="1:4" ht="15.75" thickBot="1" x14ac:dyDescent="0.3">
      <c r="A67" s="24"/>
      <c r="B67" s="25" t="s">
        <v>53</v>
      </c>
      <c r="C67" s="25" t="s">
        <v>47</v>
      </c>
      <c r="D67" s="30">
        <v>3808140910</v>
      </c>
    </row>
    <row r="68" spans="1:4" ht="15.75" thickBot="1" x14ac:dyDescent="0.3">
      <c r="A68" s="24" t="s">
        <v>67</v>
      </c>
      <c r="B68" s="27" t="s">
        <v>46</v>
      </c>
      <c r="C68" s="27" t="s">
        <v>47</v>
      </c>
      <c r="D68" s="28" t="s">
        <v>192</v>
      </c>
    </row>
    <row r="69" spans="1:4" ht="15.75" thickBot="1" x14ac:dyDescent="0.3">
      <c r="A69" s="24"/>
      <c r="B69" s="25" t="s">
        <v>49</v>
      </c>
      <c r="C69" s="25" t="s">
        <v>47</v>
      </c>
      <c r="D69" s="29" t="s">
        <v>208</v>
      </c>
    </row>
    <row r="70" spans="1:4" ht="15.75" thickBot="1" x14ac:dyDescent="0.3">
      <c r="A70" s="24"/>
      <c r="B70" s="25" t="s">
        <v>51</v>
      </c>
      <c r="C70" s="25" t="s">
        <v>47</v>
      </c>
      <c r="D70" s="29" t="s">
        <v>57</v>
      </c>
    </row>
    <row r="71" spans="1:4" ht="15.75" thickBot="1" x14ac:dyDescent="0.3">
      <c r="A71" s="24"/>
      <c r="B71" s="25" t="s">
        <v>53</v>
      </c>
      <c r="C71" s="25" t="s">
        <v>47</v>
      </c>
      <c r="D71" s="30">
        <v>3812080615</v>
      </c>
    </row>
    <row r="72" spans="1:4" ht="15.75" thickBot="1" x14ac:dyDescent="0.3">
      <c r="A72" s="24" t="s">
        <v>69</v>
      </c>
      <c r="B72" s="27" t="s">
        <v>46</v>
      </c>
      <c r="C72" s="27" t="s">
        <v>47</v>
      </c>
      <c r="D72" s="28" t="s">
        <v>209</v>
      </c>
    </row>
    <row r="73" spans="1:4" ht="15.75" thickBot="1" x14ac:dyDescent="0.3">
      <c r="A73" s="24"/>
      <c r="B73" s="25" t="s">
        <v>49</v>
      </c>
      <c r="C73" s="25" t="s">
        <v>47</v>
      </c>
      <c r="D73" s="29" t="s">
        <v>210</v>
      </c>
    </row>
    <row r="74" spans="1:4" ht="15.75" thickBot="1" x14ac:dyDescent="0.3">
      <c r="A74" s="24"/>
      <c r="B74" s="25" t="s">
        <v>51</v>
      </c>
      <c r="C74" s="25" t="s">
        <v>47</v>
      </c>
      <c r="D74" s="29" t="s">
        <v>190</v>
      </c>
    </row>
    <row r="75" spans="1:4" ht="15.75" thickBot="1" x14ac:dyDescent="0.3">
      <c r="A75" s="24"/>
      <c r="B75" s="25" t="s">
        <v>53</v>
      </c>
      <c r="C75" s="25" t="s">
        <v>47</v>
      </c>
      <c r="D75" s="30">
        <v>5405485497</v>
      </c>
    </row>
    <row r="76" spans="1:4" ht="15.75" thickBot="1" x14ac:dyDescent="0.3">
      <c r="A76" s="24" t="s">
        <v>154</v>
      </c>
      <c r="B76" s="27" t="s">
        <v>46</v>
      </c>
      <c r="C76" s="27" t="s">
        <v>47</v>
      </c>
      <c r="D76" s="28" t="s">
        <v>211</v>
      </c>
    </row>
    <row r="77" spans="1:4" ht="15.75" thickBot="1" x14ac:dyDescent="0.3">
      <c r="A77" s="24"/>
      <c r="B77" s="25" t="s">
        <v>49</v>
      </c>
      <c r="C77" s="25" t="s">
        <v>47</v>
      </c>
      <c r="D77" s="29" t="s">
        <v>212</v>
      </c>
    </row>
    <row r="78" spans="1:4" ht="15.75" thickBot="1" x14ac:dyDescent="0.3">
      <c r="A78" s="24"/>
      <c r="B78" s="25" t="s">
        <v>51</v>
      </c>
      <c r="C78" s="25" t="s">
        <v>47</v>
      </c>
      <c r="D78" s="29" t="s">
        <v>190</v>
      </c>
    </row>
    <row r="79" spans="1:4" ht="15.75" thickBot="1" x14ac:dyDescent="0.3">
      <c r="A79" s="24"/>
      <c r="B79" s="25" t="s">
        <v>53</v>
      </c>
      <c r="C79" s="25" t="s">
        <v>47</v>
      </c>
      <c r="D79" s="30">
        <v>7705042179</v>
      </c>
    </row>
    <row r="80" spans="1:4" ht="15.75" thickBot="1" x14ac:dyDescent="0.3">
      <c r="A80" s="24" t="s">
        <v>226</v>
      </c>
      <c r="B80" s="27" t="s">
        <v>46</v>
      </c>
      <c r="C80" s="27" t="s">
        <v>47</v>
      </c>
      <c r="D80" s="28" t="s">
        <v>213</v>
      </c>
    </row>
    <row r="81" spans="1:4" ht="15.75" thickBot="1" x14ac:dyDescent="0.3">
      <c r="A81" s="24"/>
      <c r="B81" s="25" t="s">
        <v>49</v>
      </c>
      <c r="C81" s="25" t="s">
        <v>47</v>
      </c>
      <c r="D81" s="29" t="s">
        <v>189</v>
      </c>
    </row>
    <row r="82" spans="1:4" ht="15.75" thickBot="1" x14ac:dyDescent="0.3">
      <c r="A82" s="24"/>
      <c r="B82" s="25" t="s">
        <v>51</v>
      </c>
      <c r="C82" s="25" t="s">
        <v>47</v>
      </c>
      <c r="D82" s="29" t="s">
        <v>190</v>
      </c>
    </row>
    <row r="83" spans="1:4" ht="15.75" thickBot="1" x14ac:dyDescent="0.3">
      <c r="A83" s="24"/>
      <c r="B83" s="25" t="s">
        <v>53</v>
      </c>
      <c r="C83" s="25" t="s">
        <v>47</v>
      </c>
      <c r="D83" s="30">
        <v>7706196090</v>
      </c>
    </row>
    <row r="84" spans="1:4" ht="15.75" thickBot="1" x14ac:dyDescent="0.3">
      <c r="A84" s="24" t="s">
        <v>227</v>
      </c>
      <c r="B84" s="27" t="s">
        <v>46</v>
      </c>
      <c r="C84" s="27" t="s">
        <v>47</v>
      </c>
      <c r="D84" s="28" t="s">
        <v>214</v>
      </c>
    </row>
    <row r="85" spans="1:4" ht="15.75" thickBot="1" x14ac:dyDescent="0.3">
      <c r="A85" s="24"/>
      <c r="B85" s="25" t="s">
        <v>49</v>
      </c>
      <c r="C85" s="25" t="s">
        <v>47</v>
      </c>
      <c r="D85" s="29" t="s">
        <v>215</v>
      </c>
    </row>
    <row r="86" spans="1:4" ht="15.75" thickBot="1" x14ac:dyDescent="0.3">
      <c r="A86" s="24"/>
      <c r="B86" s="25" t="s">
        <v>51</v>
      </c>
      <c r="C86" s="25" t="s">
        <v>47</v>
      </c>
      <c r="D86" s="29" t="s">
        <v>57</v>
      </c>
    </row>
    <row r="87" spans="1:4" ht="15.75" thickBot="1" x14ac:dyDescent="0.3">
      <c r="A87" s="24"/>
      <c r="B87" s="25" t="s">
        <v>53</v>
      </c>
      <c r="C87" s="25" t="s">
        <v>47</v>
      </c>
      <c r="D87" s="31" t="s">
        <v>181</v>
      </c>
    </row>
    <row r="88" spans="1:4" ht="15.75" thickBot="1" x14ac:dyDescent="0.3">
      <c r="A88" s="24" t="s">
        <v>228</v>
      </c>
      <c r="B88" s="27" t="s">
        <v>46</v>
      </c>
      <c r="C88" s="27" t="s">
        <v>47</v>
      </c>
      <c r="D88" s="28" t="s">
        <v>216</v>
      </c>
    </row>
    <row r="89" spans="1:4" ht="15.75" thickBot="1" x14ac:dyDescent="0.3">
      <c r="A89" s="24"/>
      <c r="B89" s="25" t="s">
        <v>49</v>
      </c>
      <c r="C89" s="25" t="s">
        <v>47</v>
      </c>
      <c r="D89" s="29" t="s">
        <v>217</v>
      </c>
    </row>
    <row r="90" spans="1:4" ht="15.75" thickBot="1" x14ac:dyDescent="0.3">
      <c r="A90" s="24"/>
      <c r="B90" s="25" t="s">
        <v>51</v>
      </c>
      <c r="C90" s="25" t="s">
        <v>47</v>
      </c>
      <c r="D90" s="29" t="s">
        <v>218</v>
      </c>
    </row>
    <row r="91" spans="1:4" ht="15.75" thickBot="1" x14ac:dyDescent="0.3">
      <c r="A91" s="24"/>
      <c r="B91" s="25" t="s">
        <v>53</v>
      </c>
      <c r="C91" s="25" t="s">
        <v>47</v>
      </c>
      <c r="D91" s="31" t="s">
        <v>219</v>
      </c>
    </row>
    <row r="92" spans="1:4" ht="15.75" thickBot="1" x14ac:dyDescent="0.3">
      <c r="A92" s="24" t="s">
        <v>229</v>
      </c>
      <c r="B92" s="27" t="s">
        <v>46</v>
      </c>
      <c r="C92" s="27" t="s">
        <v>47</v>
      </c>
      <c r="D92" s="28" t="s">
        <v>220</v>
      </c>
    </row>
    <row r="93" spans="1:4" ht="15.75" thickBot="1" x14ac:dyDescent="0.3">
      <c r="A93" s="24"/>
      <c r="B93" s="25" t="s">
        <v>49</v>
      </c>
      <c r="C93" s="25" t="s">
        <v>47</v>
      </c>
      <c r="D93" s="29" t="s">
        <v>221</v>
      </c>
    </row>
    <row r="94" spans="1:4" ht="15.75" thickBot="1" x14ac:dyDescent="0.3">
      <c r="A94" s="24"/>
      <c r="B94" s="25" t="s">
        <v>51</v>
      </c>
      <c r="C94" s="25" t="s">
        <v>47</v>
      </c>
      <c r="D94" s="29" t="s">
        <v>218</v>
      </c>
    </row>
    <row r="95" spans="1:4" ht="15.75" thickBot="1" x14ac:dyDescent="0.3">
      <c r="A95" s="24"/>
      <c r="B95" s="25" t="s">
        <v>53</v>
      </c>
      <c r="C95" s="25" t="s">
        <v>47</v>
      </c>
      <c r="D95" s="31" t="s">
        <v>222</v>
      </c>
    </row>
    <row r="96" spans="1:4" ht="26.25" thickBot="1" x14ac:dyDescent="0.3">
      <c r="A96" s="24" t="s">
        <v>230</v>
      </c>
      <c r="B96" s="27" t="s">
        <v>46</v>
      </c>
      <c r="C96" s="27" t="s">
        <v>47</v>
      </c>
      <c r="D96" s="59" t="s">
        <v>223</v>
      </c>
    </row>
    <row r="97" spans="1:4" ht="15.75" thickBot="1" x14ac:dyDescent="0.3">
      <c r="A97" s="24"/>
      <c r="B97" s="25" t="s">
        <v>49</v>
      </c>
      <c r="C97" s="25" t="s">
        <v>47</v>
      </c>
      <c r="D97" s="29" t="s">
        <v>224</v>
      </c>
    </row>
    <row r="98" spans="1:4" ht="15.75" thickBot="1" x14ac:dyDescent="0.3">
      <c r="A98" s="24"/>
      <c r="B98" s="25" t="s">
        <v>51</v>
      </c>
      <c r="C98" s="25" t="s">
        <v>47</v>
      </c>
      <c r="D98" s="29" t="s">
        <v>218</v>
      </c>
    </row>
    <row r="99" spans="1:4" ht="15.75" thickBot="1" x14ac:dyDescent="0.3">
      <c r="A99" s="24"/>
      <c r="B99" s="25" t="s">
        <v>53</v>
      </c>
      <c r="C99" s="25" t="s">
        <v>47</v>
      </c>
      <c r="D99" s="31" t="s">
        <v>225</v>
      </c>
    </row>
    <row r="100" spans="1:4" ht="15.75" thickBot="1" x14ac:dyDescent="0.3">
      <c r="A100" s="24" t="s">
        <v>231</v>
      </c>
      <c r="B100" s="27" t="s">
        <v>46</v>
      </c>
      <c r="C100" s="27" t="s">
        <v>47</v>
      </c>
      <c r="D100" s="28" t="s">
        <v>126</v>
      </c>
    </row>
    <row r="101" spans="1:4" ht="15.75" thickBot="1" x14ac:dyDescent="0.3">
      <c r="A101" s="24"/>
      <c r="B101" s="25" t="s">
        <v>49</v>
      </c>
      <c r="C101" s="25" t="s">
        <v>47</v>
      </c>
      <c r="D101" s="29" t="s">
        <v>70</v>
      </c>
    </row>
    <row r="102" spans="1:4" ht="15.75" thickBot="1" x14ac:dyDescent="0.3">
      <c r="A102" s="24"/>
      <c r="B102" s="25" t="s">
        <v>51</v>
      </c>
      <c r="C102" s="25" t="s">
        <v>47</v>
      </c>
      <c r="D102" s="29" t="s">
        <v>57</v>
      </c>
    </row>
    <row r="103" spans="1:4" ht="15.75" thickBot="1" x14ac:dyDescent="0.3">
      <c r="A103" s="24"/>
      <c r="B103" s="25" t="s">
        <v>53</v>
      </c>
      <c r="C103" s="25" t="s">
        <v>47</v>
      </c>
      <c r="D103" s="30">
        <v>3811171757</v>
      </c>
    </row>
    <row r="104" spans="1:4" ht="15.75" thickBot="1" x14ac:dyDescent="0.3">
      <c r="A104" s="24" t="s">
        <v>232</v>
      </c>
      <c r="B104" s="27" t="s">
        <v>46</v>
      </c>
      <c r="C104" s="27" t="s">
        <v>47</v>
      </c>
      <c r="D104" s="28" t="s">
        <v>178</v>
      </c>
    </row>
    <row r="105" spans="1:4" ht="15.75" thickBot="1" x14ac:dyDescent="0.3">
      <c r="A105" s="24"/>
      <c r="B105" s="25" t="s">
        <v>49</v>
      </c>
      <c r="C105" s="25" t="s">
        <v>47</v>
      </c>
      <c r="D105" s="29" t="s">
        <v>70</v>
      </c>
    </row>
    <row r="106" spans="1:4" ht="15.75" thickBot="1" x14ac:dyDescent="0.3">
      <c r="A106" s="24"/>
      <c r="B106" s="25" t="s">
        <v>51</v>
      </c>
      <c r="C106" s="25" t="s">
        <v>47</v>
      </c>
      <c r="D106" s="29" t="s">
        <v>57</v>
      </c>
    </row>
    <row r="107" spans="1:4" ht="15.75" thickBot="1" x14ac:dyDescent="0.3">
      <c r="A107" s="24"/>
      <c r="B107" s="25" t="s">
        <v>53</v>
      </c>
      <c r="C107" s="25" t="s">
        <v>47</v>
      </c>
      <c r="D107" s="30">
        <v>3811171757</v>
      </c>
    </row>
    <row r="108" spans="1:4" ht="26.25" thickBot="1" x14ac:dyDescent="0.3">
      <c r="A108" s="24" t="s">
        <v>236</v>
      </c>
      <c r="B108" s="27" t="s">
        <v>46</v>
      </c>
      <c r="C108" s="27" t="s">
        <v>47</v>
      </c>
      <c r="D108" s="59" t="s">
        <v>249</v>
      </c>
    </row>
    <row r="109" spans="1:4" ht="15.75" thickBot="1" x14ac:dyDescent="0.3">
      <c r="A109" s="24"/>
      <c r="B109" s="25" t="s">
        <v>49</v>
      </c>
      <c r="C109" s="25" t="s">
        <v>47</v>
      </c>
      <c r="D109" s="29" t="s">
        <v>250</v>
      </c>
    </row>
    <row r="110" spans="1:4" ht="15.75" thickBot="1" x14ac:dyDescent="0.3">
      <c r="A110" s="24"/>
      <c r="B110" s="25" t="s">
        <v>51</v>
      </c>
      <c r="C110" s="25" t="s">
        <v>47</v>
      </c>
      <c r="D110" s="29" t="s">
        <v>218</v>
      </c>
    </row>
    <row r="111" spans="1:4" ht="15.75" thickBot="1" x14ac:dyDescent="0.3">
      <c r="A111" s="24"/>
      <c r="B111" s="25" t="s">
        <v>53</v>
      </c>
      <c r="C111" s="25" t="s">
        <v>47</v>
      </c>
      <c r="D111" s="30">
        <v>3810333490</v>
      </c>
    </row>
    <row r="112" spans="1:4" ht="15.75" thickBot="1" x14ac:dyDescent="0.3">
      <c r="A112" s="24" t="s">
        <v>238</v>
      </c>
      <c r="B112" s="27" t="s">
        <v>46</v>
      </c>
      <c r="C112" s="27" t="s">
        <v>47</v>
      </c>
      <c r="D112" s="59" t="s">
        <v>251</v>
      </c>
    </row>
    <row r="113" spans="1:4" ht="15.75" thickBot="1" x14ac:dyDescent="0.3">
      <c r="A113" s="24"/>
      <c r="B113" s="25" t="s">
        <v>49</v>
      </c>
      <c r="C113" s="25" t="s">
        <v>47</v>
      </c>
      <c r="D113" s="29" t="s">
        <v>250</v>
      </c>
    </row>
    <row r="114" spans="1:4" ht="15.75" thickBot="1" x14ac:dyDescent="0.3">
      <c r="A114" s="24"/>
      <c r="B114" s="25" t="s">
        <v>51</v>
      </c>
      <c r="C114" s="25" t="s">
        <v>47</v>
      </c>
      <c r="D114" s="29" t="s">
        <v>218</v>
      </c>
    </row>
    <row r="115" spans="1:4" ht="15.75" thickBot="1" x14ac:dyDescent="0.3">
      <c r="A115" s="24"/>
      <c r="B115" s="25" t="s">
        <v>53</v>
      </c>
      <c r="C115" s="25" t="s">
        <v>47</v>
      </c>
      <c r="D115" s="30">
        <v>3810333490</v>
      </c>
    </row>
    <row r="116" spans="1:4" ht="15.75" thickBot="1" x14ac:dyDescent="0.3">
      <c r="A116" s="24" t="s">
        <v>240</v>
      </c>
      <c r="B116" s="27" t="s">
        <v>46</v>
      </c>
      <c r="C116" s="27" t="s">
        <v>47</v>
      </c>
      <c r="D116" s="59" t="s">
        <v>252</v>
      </c>
    </row>
    <row r="117" spans="1:4" ht="15.75" thickBot="1" x14ac:dyDescent="0.3">
      <c r="A117" s="24"/>
      <c r="B117" s="25" t="s">
        <v>49</v>
      </c>
      <c r="C117" s="25" t="s">
        <v>47</v>
      </c>
      <c r="D117" s="29" t="s">
        <v>151</v>
      </c>
    </row>
    <row r="118" spans="1:4" ht="15.75" thickBot="1" x14ac:dyDescent="0.3">
      <c r="A118" s="24"/>
      <c r="B118" s="25" t="s">
        <v>51</v>
      </c>
      <c r="C118" s="25" t="s">
        <v>47</v>
      </c>
      <c r="D118" s="29" t="s">
        <v>218</v>
      </c>
    </row>
    <row r="119" spans="1:4" ht="15.75" thickBot="1" x14ac:dyDescent="0.3">
      <c r="A119" s="24"/>
      <c r="B119" s="25" t="s">
        <v>53</v>
      </c>
      <c r="C119" s="25" t="s">
        <v>47</v>
      </c>
      <c r="D119" s="30">
        <v>3827043895</v>
      </c>
    </row>
    <row r="120" spans="1:4" x14ac:dyDescent="0.25">
      <c r="A120" s="2"/>
      <c r="B120" s="2"/>
      <c r="C120" s="2"/>
      <c r="D120" s="2"/>
    </row>
    <row r="121" spans="1:4" ht="15.75" thickBot="1" x14ac:dyDescent="0.3">
      <c r="A121" s="8" t="s">
        <v>71</v>
      </c>
      <c r="B121" s="2"/>
      <c r="C121" s="2"/>
      <c r="D121" s="2"/>
    </row>
    <row r="122" spans="1:4" ht="15.75" thickBot="1" x14ac:dyDescent="0.3">
      <c r="A122" s="22" t="s">
        <v>72</v>
      </c>
      <c r="B122" s="32" t="s">
        <v>73</v>
      </c>
      <c r="C122" s="32" t="s">
        <v>47</v>
      </c>
      <c r="D122" s="33">
        <v>0</v>
      </c>
    </row>
    <row r="123" spans="1:4" ht="15.75" thickBot="1" x14ac:dyDescent="0.3">
      <c r="A123" s="24" t="s">
        <v>74</v>
      </c>
      <c r="B123" s="25" t="s">
        <v>75</v>
      </c>
      <c r="C123" s="25" t="s">
        <v>47</v>
      </c>
      <c r="D123" s="29">
        <v>0</v>
      </c>
    </row>
    <row r="124" spans="1:4" ht="15.75" thickBot="1" x14ac:dyDescent="0.3">
      <c r="A124" s="24" t="s">
        <v>76</v>
      </c>
      <c r="B124" s="25" t="s">
        <v>77</v>
      </c>
      <c r="C124" s="25" t="s">
        <v>47</v>
      </c>
      <c r="D124" s="29">
        <v>0</v>
      </c>
    </row>
    <row r="125" spans="1:4" ht="15.75" thickBot="1" x14ac:dyDescent="0.3">
      <c r="A125" s="22" t="s">
        <v>78</v>
      </c>
      <c r="B125" s="34" t="s">
        <v>79</v>
      </c>
      <c r="C125" s="34" t="s">
        <v>13</v>
      </c>
      <c r="D125" s="35">
        <v>0</v>
      </c>
    </row>
    <row r="126" spans="1:4" x14ac:dyDescent="0.25">
      <c r="A126" s="2"/>
      <c r="B126" s="2"/>
      <c r="C126" s="2"/>
      <c r="D126" s="2"/>
    </row>
    <row r="127" spans="1:4" ht="15.75" thickBot="1" x14ac:dyDescent="0.3">
      <c r="A127" s="8" t="s">
        <v>80</v>
      </c>
      <c r="B127" s="2"/>
      <c r="C127" s="2"/>
      <c r="D127" s="2"/>
    </row>
    <row r="128" spans="1:4" ht="15.75" thickBot="1" x14ac:dyDescent="0.3">
      <c r="A128" s="36" t="s">
        <v>81</v>
      </c>
      <c r="B128" s="33" t="s">
        <v>82</v>
      </c>
      <c r="C128" s="32" t="s">
        <v>13</v>
      </c>
      <c r="D128" s="37">
        <v>0</v>
      </c>
    </row>
    <row r="129" spans="1:4" ht="15.75" thickBot="1" x14ac:dyDescent="0.3">
      <c r="A129" s="38" t="s">
        <v>83</v>
      </c>
      <c r="B129" s="25" t="s">
        <v>84</v>
      </c>
      <c r="C129" s="25" t="s">
        <v>13</v>
      </c>
      <c r="D129" s="39">
        <v>0</v>
      </c>
    </row>
    <row r="130" spans="1:4" ht="15.75" thickBot="1" x14ac:dyDescent="0.3">
      <c r="A130" s="38" t="s">
        <v>85</v>
      </c>
      <c r="B130" s="25" t="s">
        <v>86</v>
      </c>
      <c r="C130" s="25" t="s">
        <v>13</v>
      </c>
      <c r="D130" s="39">
        <v>0</v>
      </c>
    </row>
    <row r="131" spans="1:4" ht="15.75" thickBot="1" x14ac:dyDescent="0.3">
      <c r="A131" s="38" t="s">
        <v>87</v>
      </c>
      <c r="B131" s="29" t="s">
        <v>88</v>
      </c>
      <c r="C131" s="25" t="s">
        <v>13</v>
      </c>
      <c r="D131" s="39">
        <f>D133+D132</f>
        <v>351894.32</v>
      </c>
    </row>
    <row r="132" spans="1:4" ht="15.75" thickBot="1" x14ac:dyDescent="0.3">
      <c r="A132" s="38" t="s">
        <v>89</v>
      </c>
      <c r="B132" s="25" t="s">
        <v>84</v>
      </c>
      <c r="C132" s="25" t="s">
        <v>13</v>
      </c>
      <c r="D132" s="39">
        <f>-(11300.47+1070.55+1091.87+88.54+1133.8+918.22+1324.95)</f>
        <v>-16928.399999999998</v>
      </c>
    </row>
    <row r="133" spans="1:4" ht="15.75" thickBot="1" x14ac:dyDescent="0.3">
      <c r="A133" s="38" t="s">
        <v>90</v>
      </c>
      <c r="B133" s="25" t="s">
        <v>86</v>
      </c>
      <c r="C133" s="25" t="s">
        <v>13</v>
      </c>
      <c r="D133" s="39">
        <f>298119.96+7354.31+6027.56+32646.09+14293.84+1390.8+8990.16</f>
        <v>368822.72000000003</v>
      </c>
    </row>
    <row r="134" spans="1:4" x14ac:dyDescent="0.25">
      <c r="A134" s="2"/>
      <c r="B134" s="2"/>
      <c r="C134" s="2"/>
      <c r="D134" s="2"/>
    </row>
    <row r="135" spans="1:4" ht="15.75" thickBot="1" x14ac:dyDescent="0.3">
      <c r="A135" s="8" t="s">
        <v>91</v>
      </c>
      <c r="B135" s="2"/>
      <c r="C135" s="2"/>
      <c r="D135" s="2"/>
    </row>
    <row r="136" spans="1:4" ht="15.75" thickBot="1" x14ac:dyDescent="0.3">
      <c r="A136" s="40" t="s">
        <v>92</v>
      </c>
      <c r="B136" s="41" t="s">
        <v>93</v>
      </c>
      <c r="C136" s="42" t="s">
        <v>47</v>
      </c>
      <c r="D136" s="41" t="s">
        <v>94</v>
      </c>
    </row>
    <row r="137" spans="1:4" ht="15.75" thickBot="1" x14ac:dyDescent="0.3">
      <c r="A137" s="24"/>
      <c r="B137" s="29" t="s">
        <v>95</v>
      </c>
      <c r="C137" s="25" t="s">
        <v>47</v>
      </c>
      <c r="D137" s="29" t="s">
        <v>96</v>
      </c>
    </row>
    <row r="138" spans="1:4" ht="15.75" thickBot="1" x14ac:dyDescent="0.3">
      <c r="A138" s="24"/>
      <c r="B138" s="29" t="s">
        <v>97</v>
      </c>
      <c r="C138" s="25" t="s">
        <v>96</v>
      </c>
      <c r="D138" s="39">
        <v>972.69590000000005</v>
      </c>
    </row>
    <row r="139" spans="1:4" ht="15.75" thickBot="1" x14ac:dyDescent="0.3">
      <c r="A139" s="24"/>
      <c r="B139" s="29" t="s">
        <v>98</v>
      </c>
      <c r="C139" s="25" t="s">
        <v>13</v>
      </c>
      <c r="D139" s="39">
        <f>987965.15+6261.88</f>
        <v>994227.03</v>
      </c>
    </row>
    <row r="140" spans="1:4" ht="15.75" thickBot="1" x14ac:dyDescent="0.3">
      <c r="A140" s="24"/>
      <c r="B140" s="25" t="s">
        <v>99</v>
      </c>
      <c r="C140" s="25" t="s">
        <v>13</v>
      </c>
      <c r="D140" s="43">
        <v>707407.54</v>
      </c>
    </row>
    <row r="141" spans="1:4" ht="15.75" thickBot="1" x14ac:dyDescent="0.3">
      <c r="A141" s="24"/>
      <c r="B141" s="25" t="s">
        <v>100</v>
      </c>
      <c r="C141" s="25" t="s">
        <v>13</v>
      </c>
      <c r="D141" s="43">
        <f>D139-D140</f>
        <v>286819.49</v>
      </c>
    </row>
    <row r="142" spans="1:4" ht="15.75" thickBot="1" x14ac:dyDescent="0.3">
      <c r="A142" s="24"/>
      <c r="B142" s="25" t="s">
        <v>101</v>
      </c>
      <c r="C142" s="25" t="s">
        <v>13</v>
      </c>
      <c r="D142" s="43">
        <v>583449.66899999999</v>
      </c>
    </row>
    <row r="143" spans="1:4" ht="15.75" thickBot="1" x14ac:dyDescent="0.3">
      <c r="A143" s="24"/>
      <c r="B143" s="25" t="s">
        <v>102</v>
      </c>
      <c r="C143" s="25" t="s">
        <v>13</v>
      </c>
      <c r="D143" s="43">
        <f>D140</f>
        <v>707407.54</v>
      </c>
    </row>
    <row r="144" spans="1:4" ht="15.75" thickBot="1" x14ac:dyDescent="0.3">
      <c r="A144" s="24"/>
      <c r="B144" s="25" t="s">
        <v>103</v>
      </c>
      <c r="C144" s="25" t="s">
        <v>13</v>
      </c>
      <c r="D144" s="43">
        <f>D141</f>
        <v>286819.49</v>
      </c>
    </row>
    <row r="145" spans="1:4" ht="15.75" thickBot="1" x14ac:dyDescent="0.3">
      <c r="A145" s="24"/>
      <c r="B145" s="29" t="s">
        <v>104</v>
      </c>
      <c r="C145" s="25" t="s">
        <v>13</v>
      </c>
      <c r="D145" s="39">
        <v>0</v>
      </c>
    </row>
    <row r="146" spans="1:4" ht="15.75" thickBot="1" x14ac:dyDescent="0.3">
      <c r="A146" s="40" t="s">
        <v>105</v>
      </c>
      <c r="B146" s="41" t="s">
        <v>93</v>
      </c>
      <c r="C146" s="42" t="s">
        <v>47</v>
      </c>
      <c r="D146" s="41" t="s">
        <v>106</v>
      </c>
    </row>
    <row r="147" spans="1:4" ht="15.75" thickBot="1" x14ac:dyDescent="0.3">
      <c r="A147" s="24"/>
      <c r="B147" s="29" t="s">
        <v>95</v>
      </c>
      <c r="C147" s="25" t="s">
        <v>47</v>
      </c>
      <c r="D147" s="29" t="s">
        <v>107</v>
      </c>
    </row>
    <row r="148" spans="1:4" ht="15.75" thickBot="1" x14ac:dyDescent="0.3">
      <c r="A148" s="24"/>
      <c r="B148" s="29" t="s">
        <v>97</v>
      </c>
      <c r="C148" s="25" t="s">
        <v>107</v>
      </c>
      <c r="D148" s="44">
        <f>1986.9853+1259.558</f>
        <v>3246.5433000000003</v>
      </c>
    </row>
    <row r="149" spans="1:4" ht="15.75" thickBot="1" x14ac:dyDescent="0.3">
      <c r="A149" s="24"/>
      <c r="B149" s="29" t="s">
        <v>98</v>
      </c>
      <c r="C149" s="25" t="s">
        <v>13</v>
      </c>
      <c r="D149" s="44">
        <f>4667.62+20840.84+13214.79+40.04+475.51</f>
        <v>39238.800000000003</v>
      </c>
    </row>
    <row r="150" spans="1:4" ht="15.75" thickBot="1" x14ac:dyDescent="0.3">
      <c r="A150" s="24"/>
      <c r="B150" s="25" t="s">
        <v>99</v>
      </c>
      <c r="C150" s="25" t="s">
        <v>13</v>
      </c>
      <c r="D150" s="45">
        <f>4195.04+14659.05+8792.85</f>
        <v>27646.940000000002</v>
      </c>
    </row>
    <row r="151" spans="1:4" ht="15.75" thickBot="1" x14ac:dyDescent="0.3">
      <c r="A151" s="24"/>
      <c r="B151" s="25" t="s">
        <v>100</v>
      </c>
      <c r="C151" s="25" t="s">
        <v>13</v>
      </c>
      <c r="D151" s="45">
        <f>D149-D150</f>
        <v>11591.86</v>
      </c>
    </row>
    <row r="152" spans="1:4" ht="15.75" thickBot="1" x14ac:dyDescent="0.3">
      <c r="A152" s="24"/>
      <c r="B152" s="25" t="s">
        <v>101</v>
      </c>
      <c r="C152" s="25" t="s">
        <v>13</v>
      </c>
      <c r="D152" s="45">
        <v>23541.561099999999</v>
      </c>
    </row>
    <row r="153" spans="1:4" ht="15.75" thickBot="1" x14ac:dyDescent="0.3">
      <c r="A153" s="24"/>
      <c r="B153" s="25" t="s">
        <v>102</v>
      </c>
      <c r="C153" s="25" t="s">
        <v>13</v>
      </c>
      <c r="D153" s="45">
        <f>D150</f>
        <v>27646.940000000002</v>
      </c>
    </row>
    <row r="154" spans="1:4" ht="15.75" thickBot="1" x14ac:dyDescent="0.3">
      <c r="A154" s="24"/>
      <c r="B154" s="25" t="s">
        <v>103</v>
      </c>
      <c r="C154" s="25" t="s">
        <v>13</v>
      </c>
      <c r="D154" s="45">
        <f>D151</f>
        <v>11591.86</v>
      </c>
    </row>
    <row r="155" spans="1:4" ht="15.75" thickBot="1" x14ac:dyDescent="0.3">
      <c r="A155" s="24"/>
      <c r="B155" s="29" t="s">
        <v>104</v>
      </c>
      <c r="C155" s="25" t="s">
        <v>13</v>
      </c>
      <c r="D155" s="44">
        <v>0</v>
      </c>
    </row>
    <row r="156" spans="1:4" ht="15.75" thickBot="1" x14ac:dyDescent="0.3">
      <c r="A156" s="40" t="s">
        <v>108</v>
      </c>
      <c r="B156" s="41" t="s">
        <v>93</v>
      </c>
      <c r="C156" s="42" t="s">
        <v>47</v>
      </c>
      <c r="D156" s="41" t="s">
        <v>109</v>
      </c>
    </row>
    <row r="157" spans="1:4" ht="15.75" thickBot="1" x14ac:dyDescent="0.3">
      <c r="A157" s="24"/>
      <c r="B157" s="29" t="s">
        <v>95</v>
      </c>
      <c r="C157" s="25" t="s">
        <v>47</v>
      </c>
      <c r="D157" s="29" t="s">
        <v>107</v>
      </c>
    </row>
    <row r="158" spans="1:4" ht="15.75" thickBot="1" x14ac:dyDescent="0.3">
      <c r="A158" s="24"/>
      <c r="B158" s="29" t="s">
        <v>97</v>
      </c>
      <c r="C158" s="25" t="s">
        <v>107</v>
      </c>
      <c r="D158" s="44">
        <v>69.276200000000003</v>
      </c>
    </row>
    <row r="159" spans="1:4" ht="15.75" thickBot="1" x14ac:dyDescent="0.3">
      <c r="A159" s="24"/>
      <c r="B159" s="29" t="s">
        <v>98</v>
      </c>
      <c r="C159" s="25" t="s">
        <v>13</v>
      </c>
      <c r="D159" s="44">
        <f>71729.24-714.15+30058.58</f>
        <v>101073.67000000001</v>
      </c>
    </row>
    <row r="160" spans="1:4" ht="15.75" thickBot="1" x14ac:dyDescent="0.3">
      <c r="A160" s="24"/>
      <c r="B160" s="25" t="s">
        <v>99</v>
      </c>
      <c r="C160" s="25" t="s">
        <v>13</v>
      </c>
      <c r="D160" s="45">
        <f>38651.55+22393.37</f>
        <v>61044.92</v>
      </c>
    </row>
    <row r="161" spans="1:4" ht="15.75" thickBot="1" x14ac:dyDescent="0.3">
      <c r="A161" s="24"/>
      <c r="B161" s="25" t="s">
        <v>100</v>
      </c>
      <c r="C161" s="25" t="s">
        <v>13</v>
      </c>
      <c r="D161" s="45">
        <f>D159-D160</f>
        <v>40028.750000000015</v>
      </c>
    </row>
    <row r="162" spans="1:4" ht="15.75" thickBot="1" x14ac:dyDescent="0.3">
      <c r="A162" s="24"/>
      <c r="B162" s="25" t="s">
        <v>101</v>
      </c>
      <c r="C162" s="25" t="s">
        <v>13</v>
      </c>
      <c r="D162" s="45">
        <v>0</v>
      </c>
    </row>
    <row r="163" spans="1:4" ht="15.75" thickBot="1" x14ac:dyDescent="0.3">
      <c r="A163" s="24"/>
      <c r="B163" s="25" t="s">
        <v>102</v>
      </c>
      <c r="C163" s="25" t="s">
        <v>13</v>
      </c>
      <c r="D163" s="45">
        <f>D160</f>
        <v>61044.92</v>
      </c>
    </row>
    <row r="164" spans="1:4" ht="15.75" thickBot="1" x14ac:dyDescent="0.3">
      <c r="A164" s="24"/>
      <c r="B164" s="25" t="s">
        <v>103</v>
      </c>
      <c r="C164" s="25" t="s">
        <v>13</v>
      </c>
      <c r="D164" s="45">
        <f>D161</f>
        <v>40028.750000000015</v>
      </c>
    </row>
    <row r="165" spans="1:4" ht="15.75" thickBot="1" x14ac:dyDescent="0.3">
      <c r="A165" s="24"/>
      <c r="B165" s="29" t="s">
        <v>104</v>
      </c>
      <c r="C165" s="25" t="s">
        <v>13</v>
      </c>
      <c r="D165" s="44">
        <v>0</v>
      </c>
    </row>
    <row r="166" spans="1:4" ht="15.75" thickBot="1" x14ac:dyDescent="0.3">
      <c r="A166" s="40" t="s">
        <v>110</v>
      </c>
      <c r="B166" s="41" t="s">
        <v>93</v>
      </c>
      <c r="C166" s="42" t="s">
        <v>47</v>
      </c>
      <c r="D166" s="41" t="s">
        <v>111</v>
      </c>
    </row>
    <row r="167" spans="1:4" ht="15.75" thickBot="1" x14ac:dyDescent="0.3">
      <c r="A167" s="24"/>
      <c r="B167" s="29" t="s">
        <v>95</v>
      </c>
      <c r="C167" s="25" t="s">
        <v>47</v>
      </c>
      <c r="D167" s="29" t="s">
        <v>107</v>
      </c>
    </row>
    <row r="168" spans="1:4" ht="15.75" thickBot="1" x14ac:dyDescent="0.3">
      <c r="A168" s="24"/>
      <c r="B168" s="29" t="s">
        <v>97</v>
      </c>
      <c r="C168" s="25" t="s">
        <v>107</v>
      </c>
      <c r="D168" s="39">
        <v>3246.44</v>
      </c>
    </row>
    <row r="169" spans="1:4" ht="15.75" thickBot="1" x14ac:dyDescent="0.3">
      <c r="A169" s="24"/>
      <c r="B169" s="29" t="s">
        <v>98</v>
      </c>
      <c r="C169" s="25" t="s">
        <v>13</v>
      </c>
      <c r="D169" s="39">
        <f>36232.75-59.3</f>
        <v>36173.449999999997</v>
      </c>
    </row>
    <row r="170" spans="1:4" ht="15.75" thickBot="1" x14ac:dyDescent="0.3">
      <c r="A170" s="24"/>
      <c r="B170" s="25" t="s">
        <v>99</v>
      </c>
      <c r="C170" s="25" t="s">
        <v>13</v>
      </c>
      <c r="D170" s="43">
        <v>23113.79</v>
      </c>
    </row>
    <row r="171" spans="1:4" ht="15.75" thickBot="1" x14ac:dyDescent="0.3">
      <c r="A171" s="24"/>
      <c r="B171" s="25" t="s">
        <v>100</v>
      </c>
      <c r="C171" s="25" t="s">
        <v>13</v>
      </c>
      <c r="D171" s="43">
        <f>D169-D170</f>
        <v>13059.659999999996</v>
      </c>
    </row>
    <row r="172" spans="1:4" ht="15.75" thickBot="1" x14ac:dyDescent="0.3">
      <c r="A172" s="24"/>
      <c r="B172" s="25" t="s">
        <v>101</v>
      </c>
      <c r="C172" s="25" t="s">
        <v>13</v>
      </c>
      <c r="D172" s="39">
        <v>29770.441699999999</v>
      </c>
    </row>
    <row r="173" spans="1:4" ht="15.75" thickBot="1" x14ac:dyDescent="0.3">
      <c r="A173" s="24"/>
      <c r="B173" s="25" t="s">
        <v>102</v>
      </c>
      <c r="C173" s="25" t="s">
        <v>13</v>
      </c>
      <c r="D173" s="43">
        <f>D170</f>
        <v>23113.79</v>
      </c>
    </row>
    <row r="174" spans="1:4" ht="15.75" thickBot="1" x14ac:dyDescent="0.3">
      <c r="A174" s="24"/>
      <c r="B174" s="25" t="s">
        <v>103</v>
      </c>
      <c r="C174" s="25" t="s">
        <v>13</v>
      </c>
      <c r="D174" s="43">
        <f>D171</f>
        <v>13059.659999999996</v>
      </c>
    </row>
    <row r="175" spans="1:4" ht="15.75" thickBot="1" x14ac:dyDescent="0.3">
      <c r="A175" s="24"/>
      <c r="B175" s="29" t="s">
        <v>104</v>
      </c>
      <c r="C175" s="25" t="s">
        <v>13</v>
      </c>
      <c r="D175" s="39">
        <v>0</v>
      </c>
    </row>
    <row r="176" spans="1:4" x14ac:dyDescent="0.25">
      <c r="A176" s="46"/>
      <c r="B176" s="47"/>
      <c r="C176" s="48"/>
      <c r="D176" s="49"/>
    </row>
    <row r="177" spans="1:4" ht="15.75" thickBot="1" x14ac:dyDescent="0.3">
      <c r="A177" s="8" t="s">
        <v>112</v>
      </c>
      <c r="B177" s="2"/>
      <c r="C177" s="2"/>
      <c r="D177" s="2"/>
    </row>
    <row r="178" spans="1:4" ht="15.75" thickBot="1" x14ac:dyDescent="0.3">
      <c r="A178" s="22" t="s">
        <v>113</v>
      </c>
      <c r="B178" s="33" t="s">
        <v>73</v>
      </c>
      <c r="C178" s="32" t="s">
        <v>114</v>
      </c>
      <c r="D178" s="33">
        <v>0</v>
      </c>
    </row>
    <row r="179" spans="1:4" ht="15.75" thickBot="1" x14ac:dyDescent="0.3">
      <c r="A179" s="24" t="s">
        <v>115</v>
      </c>
      <c r="B179" s="29" t="s">
        <v>75</v>
      </c>
      <c r="C179" s="25" t="s">
        <v>114</v>
      </c>
      <c r="D179" s="29">
        <v>0</v>
      </c>
    </row>
    <row r="180" spans="1:4" ht="15.75" thickBot="1" x14ac:dyDescent="0.3">
      <c r="A180" s="24" t="s">
        <v>116</v>
      </c>
      <c r="B180" s="29" t="s">
        <v>77</v>
      </c>
      <c r="C180" s="25" t="s">
        <v>114</v>
      </c>
      <c r="D180" s="29">
        <v>0</v>
      </c>
    </row>
    <row r="181" spans="1:4" ht="15.75" thickBot="1" x14ac:dyDescent="0.3">
      <c r="A181" s="24" t="s">
        <v>117</v>
      </c>
      <c r="B181" s="29" t="s">
        <v>79</v>
      </c>
      <c r="C181" s="25" t="s">
        <v>13</v>
      </c>
      <c r="D181" s="39">
        <v>0</v>
      </c>
    </row>
    <row r="182" spans="1:4" x14ac:dyDescent="0.25">
      <c r="A182" s="2"/>
      <c r="B182" s="2"/>
      <c r="C182" s="2"/>
      <c r="D182" s="2"/>
    </row>
    <row r="183" spans="1:4" ht="15.75" thickBot="1" x14ac:dyDescent="0.3">
      <c r="A183" s="8" t="s">
        <v>118</v>
      </c>
      <c r="B183" s="2"/>
      <c r="C183" s="2"/>
      <c r="D183" s="2"/>
    </row>
    <row r="184" spans="1:4" ht="15.75" thickBot="1" x14ac:dyDescent="0.3">
      <c r="A184" s="34">
        <v>48</v>
      </c>
      <c r="B184" s="33" t="s">
        <v>119</v>
      </c>
      <c r="C184" s="32" t="s">
        <v>114</v>
      </c>
      <c r="D184" s="33">
        <v>0</v>
      </c>
    </row>
    <row r="185" spans="1:4" ht="15.75" thickBot="1" x14ac:dyDescent="0.3">
      <c r="A185" s="50">
        <v>49</v>
      </c>
      <c r="B185" s="29" t="s">
        <v>120</v>
      </c>
      <c r="C185" s="25" t="s">
        <v>114</v>
      </c>
      <c r="D185" s="29">
        <v>0</v>
      </c>
    </row>
    <row r="186" spans="1:4" ht="15.75" thickBot="1" x14ac:dyDescent="0.3">
      <c r="A186" s="51">
        <v>50</v>
      </c>
      <c r="B186" s="52" t="s">
        <v>121</v>
      </c>
      <c r="C186" s="53" t="s">
        <v>13</v>
      </c>
      <c r="D186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topLeftCell="A25" workbookViewId="0">
      <selection activeCell="D28" sqref="D28"/>
    </sheetView>
  </sheetViews>
  <sheetFormatPr defaultRowHeight="15" x14ac:dyDescent="0.25"/>
  <cols>
    <col min="2" max="2" width="73.42578125" customWidth="1"/>
    <col min="3" max="3" width="12.140625" customWidth="1"/>
    <col min="4" max="4" width="64.140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253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254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34114.03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34114.03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1064614.3700000001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879745.45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173618.92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1053484.52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859395.72+18388.8</f>
        <v>877784.52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10200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1053484.52+34114.03</f>
        <v>1087598.55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80274.179999999993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80274.179999999993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134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68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133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3808170471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255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151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65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3827043895</v>
      </c>
    </row>
    <row r="64" spans="1:4" ht="15.75" thickBot="1" x14ac:dyDescent="0.3">
      <c r="A64" s="24" t="s">
        <v>66</v>
      </c>
      <c r="B64" s="27" t="s">
        <v>46</v>
      </c>
      <c r="C64" s="27" t="s">
        <v>47</v>
      </c>
      <c r="D64" s="28" t="s">
        <v>147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70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57</v>
      </c>
    </row>
    <row r="67" spans="1:4" ht="15.75" thickBot="1" x14ac:dyDescent="0.3">
      <c r="A67" s="24"/>
      <c r="B67" s="25" t="s">
        <v>53</v>
      </c>
      <c r="C67" s="25" t="s">
        <v>47</v>
      </c>
      <c r="D67" s="30">
        <v>3811171757</v>
      </c>
    </row>
    <row r="68" spans="1:4" x14ac:dyDescent="0.25">
      <c r="A68" s="2"/>
      <c r="B68" s="2"/>
      <c r="C68" s="2"/>
      <c r="D68" s="2"/>
    </row>
    <row r="69" spans="1:4" ht="15.75" thickBot="1" x14ac:dyDescent="0.3">
      <c r="A69" s="8" t="s">
        <v>71</v>
      </c>
      <c r="B69" s="2"/>
      <c r="C69" s="2"/>
      <c r="D69" s="2"/>
    </row>
    <row r="70" spans="1:4" ht="15.75" thickBot="1" x14ac:dyDescent="0.3">
      <c r="A70" s="22" t="s">
        <v>72</v>
      </c>
      <c r="B70" s="32" t="s">
        <v>73</v>
      </c>
      <c r="C70" s="32" t="s">
        <v>47</v>
      </c>
      <c r="D70" s="33">
        <v>0</v>
      </c>
    </row>
    <row r="71" spans="1:4" ht="15.75" thickBot="1" x14ac:dyDescent="0.3">
      <c r="A71" s="24" t="s">
        <v>74</v>
      </c>
      <c r="B71" s="25" t="s">
        <v>75</v>
      </c>
      <c r="C71" s="25" t="s">
        <v>47</v>
      </c>
      <c r="D71" s="29">
        <v>0</v>
      </c>
    </row>
    <row r="72" spans="1:4" ht="15.75" thickBot="1" x14ac:dyDescent="0.3">
      <c r="A72" s="24" t="s">
        <v>76</v>
      </c>
      <c r="B72" s="25" t="s">
        <v>77</v>
      </c>
      <c r="C72" s="25" t="s">
        <v>47</v>
      </c>
      <c r="D72" s="29">
        <v>0</v>
      </c>
    </row>
    <row r="73" spans="1:4" ht="15.75" thickBot="1" x14ac:dyDescent="0.3">
      <c r="A73" s="22" t="s">
        <v>78</v>
      </c>
      <c r="B73" s="34" t="s">
        <v>79</v>
      </c>
      <c r="C73" s="34" t="s">
        <v>13</v>
      </c>
      <c r="D73" s="35">
        <v>0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80</v>
      </c>
      <c r="B75" s="2"/>
      <c r="C75" s="2"/>
      <c r="D75" s="2"/>
    </row>
    <row r="76" spans="1:4" ht="15.75" thickBot="1" x14ac:dyDescent="0.3">
      <c r="A76" s="36" t="s">
        <v>81</v>
      </c>
      <c r="B76" s="33" t="s">
        <v>82</v>
      </c>
      <c r="C76" s="32" t="s">
        <v>13</v>
      </c>
      <c r="D76" s="37">
        <f>D78+D77</f>
        <v>82962.239999999962</v>
      </c>
    </row>
    <row r="77" spans="1:4" ht="15.75" thickBot="1" x14ac:dyDescent="0.3">
      <c r="A77" s="38" t="s">
        <v>83</v>
      </c>
      <c r="B77" s="25" t="s">
        <v>84</v>
      </c>
      <c r="C77" s="25" t="s">
        <v>13</v>
      </c>
      <c r="D77" s="39">
        <f>-(26038.24+3090.63+11726.86+7497.34+4.85+34.37)</f>
        <v>-48392.290000000008</v>
      </c>
    </row>
    <row r="78" spans="1:4" ht="15.75" thickBot="1" x14ac:dyDescent="0.3">
      <c r="A78" s="38" t="s">
        <v>85</v>
      </c>
      <c r="B78" s="25" t="s">
        <v>86</v>
      </c>
      <c r="C78" s="25" t="s">
        <v>13</v>
      </c>
      <c r="D78" s="39">
        <f>54350.91+12228.9+44424.18+18584.06+222.18+1544.3</f>
        <v>131354.52999999997</v>
      </c>
    </row>
    <row r="79" spans="1:4" ht="15.75" thickBot="1" x14ac:dyDescent="0.3">
      <c r="A79" s="38" t="s">
        <v>87</v>
      </c>
      <c r="B79" s="29" t="s">
        <v>88</v>
      </c>
      <c r="C79" s="25" t="s">
        <v>13</v>
      </c>
      <c r="D79" s="39">
        <f>-(D81+D80)</f>
        <v>6.6800000000221189</v>
      </c>
    </row>
    <row r="80" spans="1:4" ht="15.75" thickBot="1" x14ac:dyDescent="0.3">
      <c r="A80" s="38" t="s">
        <v>89</v>
      </c>
      <c r="B80" s="25" t="s">
        <v>84</v>
      </c>
      <c r="C80" s="25" t="s">
        <v>13</v>
      </c>
      <c r="D80" s="39">
        <f>-(100238.63+1585.11+7015.96+6351.51+1477.52+2667.82)</f>
        <v>-119336.55000000002</v>
      </c>
    </row>
    <row r="81" spans="1:4" ht="15.75" thickBot="1" x14ac:dyDescent="0.3">
      <c r="A81" s="38" t="s">
        <v>90</v>
      </c>
      <c r="B81" s="25" t="s">
        <v>86</v>
      </c>
      <c r="C81" s="25" t="s">
        <v>13</v>
      </c>
      <c r="D81" s="39">
        <f>26945.82+12862.67+55697.15+22072.33+219.65+1532.25</f>
        <v>119329.87</v>
      </c>
    </row>
    <row r="82" spans="1:4" x14ac:dyDescent="0.25">
      <c r="A82" s="2"/>
      <c r="B82" s="2"/>
      <c r="C82" s="2"/>
      <c r="D82" s="2"/>
    </row>
    <row r="83" spans="1:4" ht="15.75" thickBot="1" x14ac:dyDescent="0.3">
      <c r="A83" s="8" t="s">
        <v>91</v>
      </c>
      <c r="B83" s="2"/>
      <c r="C83" s="2"/>
      <c r="D83" s="2"/>
    </row>
    <row r="84" spans="1:4" ht="15.75" thickBot="1" x14ac:dyDescent="0.3">
      <c r="A84" s="40" t="s">
        <v>92</v>
      </c>
      <c r="B84" s="41" t="s">
        <v>93</v>
      </c>
      <c r="C84" s="42" t="s">
        <v>47</v>
      </c>
      <c r="D84" s="41" t="s">
        <v>94</v>
      </c>
    </row>
    <row r="85" spans="1:4" ht="15.75" thickBot="1" x14ac:dyDescent="0.3">
      <c r="A85" s="24"/>
      <c r="B85" s="29" t="s">
        <v>95</v>
      </c>
      <c r="C85" s="25" t="s">
        <v>47</v>
      </c>
      <c r="D85" s="29" t="s">
        <v>96</v>
      </c>
    </row>
    <row r="86" spans="1:4" ht="15.75" thickBot="1" x14ac:dyDescent="0.3">
      <c r="A86" s="24"/>
      <c r="B86" s="29" t="s">
        <v>97</v>
      </c>
      <c r="C86" s="25" t="s">
        <v>96</v>
      </c>
      <c r="D86" s="39">
        <v>1008.6192</v>
      </c>
    </row>
    <row r="87" spans="1:4" ht="15.75" thickBot="1" x14ac:dyDescent="0.3">
      <c r="A87" s="24"/>
      <c r="B87" s="29" t="s">
        <v>98</v>
      </c>
      <c r="C87" s="25" t="s">
        <v>13</v>
      </c>
      <c r="D87" s="39">
        <f>1007110.78-218177.45</f>
        <v>788933.33000000007</v>
      </c>
    </row>
    <row r="88" spans="1:4" ht="15.75" thickBot="1" x14ac:dyDescent="0.3">
      <c r="A88" s="24"/>
      <c r="B88" s="25" t="s">
        <v>99</v>
      </c>
      <c r="C88" s="25" t="s">
        <v>13</v>
      </c>
      <c r="D88" s="43">
        <v>890538.81</v>
      </c>
    </row>
    <row r="89" spans="1:4" ht="15.75" thickBot="1" x14ac:dyDescent="0.3">
      <c r="A89" s="24"/>
      <c r="B89" s="25" t="s">
        <v>100</v>
      </c>
      <c r="C89" s="25" t="s">
        <v>13</v>
      </c>
      <c r="D89" s="43">
        <v>0</v>
      </c>
    </row>
    <row r="90" spans="1:4" ht="15.75" thickBot="1" x14ac:dyDescent="0.3">
      <c r="A90" s="24"/>
      <c r="B90" s="25" t="s">
        <v>101</v>
      </c>
      <c r="C90" s="25" t="s">
        <v>13</v>
      </c>
      <c r="D90" s="43">
        <v>786661.2</v>
      </c>
    </row>
    <row r="91" spans="1:4" ht="15.75" thickBot="1" x14ac:dyDescent="0.3">
      <c r="A91" s="24"/>
      <c r="B91" s="25" t="s">
        <v>102</v>
      </c>
      <c r="C91" s="25" t="s">
        <v>13</v>
      </c>
      <c r="D91" s="43">
        <f>D88</f>
        <v>890538.81</v>
      </c>
    </row>
    <row r="92" spans="1:4" ht="15.75" thickBot="1" x14ac:dyDescent="0.3">
      <c r="A92" s="24"/>
      <c r="B92" s="25" t="s">
        <v>103</v>
      </c>
      <c r="C92" s="25" t="s">
        <v>13</v>
      </c>
      <c r="D92" s="43">
        <v>0</v>
      </c>
    </row>
    <row r="93" spans="1:4" ht="15.75" thickBot="1" x14ac:dyDescent="0.3">
      <c r="A93" s="24"/>
      <c r="B93" s="29" t="s">
        <v>104</v>
      </c>
      <c r="C93" s="25" t="s">
        <v>13</v>
      </c>
      <c r="D93" s="39">
        <v>0</v>
      </c>
    </row>
    <row r="94" spans="1:4" ht="15.75" thickBot="1" x14ac:dyDescent="0.3">
      <c r="A94" s="40" t="s">
        <v>105</v>
      </c>
      <c r="B94" s="41" t="s">
        <v>93</v>
      </c>
      <c r="C94" s="42" t="s">
        <v>47</v>
      </c>
      <c r="D94" s="41" t="s">
        <v>106</v>
      </c>
    </row>
    <row r="95" spans="1:4" ht="15.75" thickBot="1" x14ac:dyDescent="0.3">
      <c r="A95" s="24"/>
      <c r="B95" s="29" t="s">
        <v>95</v>
      </c>
      <c r="C95" s="25" t="s">
        <v>47</v>
      </c>
      <c r="D95" s="29" t="s">
        <v>107</v>
      </c>
    </row>
    <row r="96" spans="1:4" ht="15.75" thickBot="1" x14ac:dyDescent="0.3">
      <c r="A96" s="24"/>
      <c r="B96" s="29" t="s">
        <v>97</v>
      </c>
      <c r="C96" s="25" t="s">
        <v>107</v>
      </c>
      <c r="D96" s="44">
        <v>8955.4835000000003</v>
      </c>
    </row>
    <row r="97" spans="1:4" ht="15.75" thickBot="1" x14ac:dyDescent="0.3">
      <c r="A97" s="24"/>
      <c r="B97" s="29" t="s">
        <v>98</v>
      </c>
      <c r="C97" s="25" t="s">
        <v>13</v>
      </c>
      <c r="D97" s="44">
        <f>1633.86+1818.95+91179.24-281.59</f>
        <v>94350.46</v>
      </c>
    </row>
    <row r="98" spans="1:4" ht="15.75" thickBot="1" x14ac:dyDescent="0.3">
      <c r="A98" s="24"/>
      <c r="B98" s="25" t="s">
        <v>99</v>
      </c>
      <c r="C98" s="25" t="s">
        <v>13</v>
      </c>
      <c r="D98" s="45">
        <f>4928.01+88758.36</f>
        <v>93686.37</v>
      </c>
    </row>
    <row r="99" spans="1:4" ht="15.75" thickBot="1" x14ac:dyDescent="0.3">
      <c r="A99" s="24"/>
      <c r="B99" s="25" t="s">
        <v>100</v>
      </c>
      <c r="C99" s="25" t="s">
        <v>13</v>
      </c>
      <c r="D99" s="45">
        <f>D97-D98</f>
        <v>664.09000000001106</v>
      </c>
    </row>
    <row r="100" spans="1:4" ht="15.75" thickBot="1" x14ac:dyDescent="0.3">
      <c r="A100" s="24"/>
      <c r="B100" s="25" t="s">
        <v>101</v>
      </c>
      <c r="C100" s="25" t="s">
        <v>13</v>
      </c>
      <c r="D100" s="45">
        <v>106965.6</v>
      </c>
    </row>
    <row r="101" spans="1:4" ht="15.75" thickBot="1" x14ac:dyDescent="0.3">
      <c r="A101" s="24"/>
      <c r="B101" s="25" t="s">
        <v>102</v>
      </c>
      <c r="C101" s="25" t="s">
        <v>13</v>
      </c>
      <c r="D101" s="45">
        <f>D98</f>
        <v>93686.37</v>
      </c>
    </row>
    <row r="102" spans="1:4" ht="15.75" thickBot="1" x14ac:dyDescent="0.3">
      <c r="A102" s="24"/>
      <c r="B102" s="25" t="s">
        <v>103</v>
      </c>
      <c r="C102" s="25" t="s">
        <v>13</v>
      </c>
      <c r="D102" s="45">
        <f>D99</f>
        <v>664.09000000001106</v>
      </c>
    </row>
    <row r="103" spans="1:4" ht="15.75" thickBot="1" x14ac:dyDescent="0.3">
      <c r="A103" s="24"/>
      <c r="B103" s="29" t="s">
        <v>104</v>
      </c>
      <c r="C103" s="25" t="s">
        <v>13</v>
      </c>
      <c r="D103" s="44">
        <v>0</v>
      </c>
    </row>
    <row r="104" spans="1:4" ht="15.75" thickBot="1" x14ac:dyDescent="0.3">
      <c r="A104" s="40" t="s">
        <v>108</v>
      </c>
      <c r="B104" s="41" t="s">
        <v>93</v>
      </c>
      <c r="C104" s="42" t="s">
        <v>47</v>
      </c>
      <c r="D104" s="41" t="s">
        <v>109</v>
      </c>
    </row>
    <row r="105" spans="1:4" ht="15.75" thickBot="1" x14ac:dyDescent="0.3">
      <c r="A105" s="24"/>
      <c r="B105" s="29" t="s">
        <v>95</v>
      </c>
      <c r="C105" s="25" t="s">
        <v>47</v>
      </c>
      <c r="D105" s="29" t="s">
        <v>107</v>
      </c>
    </row>
    <row r="106" spans="1:4" ht="15.75" thickBot="1" x14ac:dyDescent="0.3">
      <c r="A106" s="24"/>
      <c r="B106" s="29" t="s">
        <v>97</v>
      </c>
      <c r="C106" s="25" t="s">
        <v>107</v>
      </c>
      <c r="D106" s="44">
        <v>5607.8122999999996</v>
      </c>
    </row>
    <row r="107" spans="1:4" ht="15.75" thickBot="1" x14ac:dyDescent="0.3">
      <c r="A107" s="24"/>
      <c r="B107" s="29" t="s">
        <v>98</v>
      </c>
      <c r="C107" s="25" t="s">
        <v>13</v>
      </c>
      <c r="D107" s="44">
        <f>392352.45-5448.22+10937.68+3693.01</f>
        <v>401534.92000000004</v>
      </c>
    </row>
    <row r="108" spans="1:4" ht="15.75" thickBot="1" x14ac:dyDescent="0.3">
      <c r="A108" s="24"/>
      <c r="B108" s="25" t="s">
        <v>99</v>
      </c>
      <c r="C108" s="25" t="s">
        <v>13</v>
      </c>
      <c r="D108" s="45">
        <f>370920.36+17276.19</f>
        <v>388196.55</v>
      </c>
    </row>
    <row r="109" spans="1:4" ht="15.75" thickBot="1" x14ac:dyDescent="0.3">
      <c r="A109" s="24"/>
      <c r="B109" s="25" t="s">
        <v>100</v>
      </c>
      <c r="C109" s="25" t="s">
        <v>13</v>
      </c>
      <c r="D109" s="45">
        <f>D107-D108</f>
        <v>13338.370000000054</v>
      </c>
    </row>
    <row r="110" spans="1:4" ht="15.75" thickBot="1" x14ac:dyDescent="0.3">
      <c r="A110" s="24"/>
      <c r="B110" s="25" t="s">
        <v>101</v>
      </c>
      <c r="C110" s="25" t="s">
        <v>13</v>
      </c>
      <c r="D110" s="45">
        <v>405849.71</v>
      </c>
    </row>
    <row r="111" spans="1:4" ht="15.75" thickBot="1" x14ac:dyDescent="0.3">
      <c r="A111" s="24"/>
      <c r="B111" s="25" t="s">
        <v>102</v>
      </c>
      <c r="C111" s="25" t="s">
        <v>13</v>
      </c>
      <c r="D111" s="45">
        <f>D108</f>
        <v>388196.55</v>
      </c>
    </row>
    <row r="112" spans="1:4" ht="15.75" thickBot="1" x14ac:dyDescent="0.3">
      <c r="A112" s="24"/>
      <c r="B112" s="25" t="s">
        <v>103</v>
      </c>
      <c r="C112" s="25" t="s">
        <v>13</v>
      </c>
      <c r="D112" s="45">
        <f>D109</f>
        <v>13338.370000000054</v>
      </c>
    </row>
    <row r="113" spans="1:4" ht="15.75" thickBot="1" x14ac:dyDescent="0.3">
      <c r="A113" s="24"/>
      <c r="B113" s="29" t="s">
        <v>104</v>
      </c>
      <c r="C113" s="25" t="s">
        <v>13</v>
      </c>
      <c r="D113" s="44">
        <v>0</v>
      </c>
    </row>
    <row r="114" spans="1:4" ht="15.75" thickBot="1" x14ac:dyDescent="0.3">
      <c r="A114" s="40" t="s">
        <v>110</v>
      </c>
      <c r="B114" s="41" t="s">
        <v>93</v>
      </c>
      <c r="C114" s="42" t="s">
        <v>47</v>
      </c>
      <c r="D114" s="41" t="s">
        <v>111</v>
      </c>
    </row>
    <row r="115" spans="1:4" ht="15.75" thickBot="1" x14ac:dyDescent="0.3">
      <c r="A115" s="24"/>
      <c r="B115" s="29" t="s">
        <v>95</v>
      </c>
      <c r="C115" s="25" t="s">
        <v>47</v>
      </c>
      <c r="D115" s="29" t="s">
        <v>107</v>
      </c>
    </row>
    <row r="116" spans="1:4" ht="15.75" thickBot="1" x14ac:dyDescent="0.3">
      <c r="A116" s="24"/>
      <c r="B116" s="29" t="s">
        <v>97</v>
      </c>
      <c r="C116" s="25" t="s">
        <v>107</v>
      </c>
      <c r="D116" s="39">
        <v>14628.6589</v>
      </c>
    </row>
    <row r="117" spans="1:4" ht="15.75" thickBot="1" x14ac:dyDescent="0.3">
      <c r="A117" s="24"/>
      <c r="B117" s="29" t="s">
        <v>98</v>
      </c>
      <c r="C117" s="25" t="s">
        <v>13</v>
      </c>
      <c r="D117" s="39">
        <f>154038.79-2443.47</f>
        <v>151595.32</v>
      </c>
    </row>
    <row r="118" spans="1:4" ht="15.75" thickBot="1" x14ac:dyDescent="0.3">
      <c r="A118" s="24"/>
      <c r="B118" s="25" t="s">
        <v>99</v>
      </c>
      <c r="C118" s="25" t="s">
        <v>13</v>
      </c>
      <c r="D118" s="43">
        <v>146961.22</v>
      </c>
    </row>
    <row r="119" spans="1:4" ht="15.75" thickBot="1" x14ac:dyDescent="0.3">
      <c r="A119" s="24"/>
      <c r="B119" s="25" t="s">
        <v>100</v>
      </c>
      <c r="C119" s="25" t="s">
        <v>13</v>
      </c>
      <c r="D119" s="43">
        <f>D117-D118</f>
        <v>4634.1000000000058</v>
      </c>
    </row>
    <row r="120" spans="1:4" ht="15.75" thickBot="1" x14ac:dyDescent="0.3">
      <c r="A120" s="24"/>
      <c r="B120" s="25" t="s">
        <v>101</v>
      </c>
      <c r="C120" s="25" t="s">
        <v>13</v>
      </c>
      <c r="D120" s="43">
        <v>172419.96</v>
      </c>
    </row>
    <row r="121" spans="1:4" ht="15.75" thickBot="1" x14ac:dyDescent="0.3">
      <c r="A121" s="24"/>
      <c r="B121" s="25" t="s">
        <v>102</v>
      </c>
      <c r="C121" s="25" t="s">
        <v>13</v>
      </c>
      <c r="D121" s="43">
        <f>D118</f>
        <v>146961.22</v>
      </c>
    </row>
    <row r="122" spans="1:4" ht="15.75" thickBot="1" x14ac:dyDescent="0.3">
      <c r="A122" s="24"/>
      <c r="B122" s="25" t="s">
        <v>103</v>
      </c>
      <c r="C122" s="25" t="s">
        <v>13</v>
      </c>
      <c r="D122" s="43">
        <f>D119</f>
        <v>4634.1000000000058</v>
      </c>
    </row>
    <row r="123" spans="1:4" ht="15.75" thickBot="1" x14ac:dyDescent="0.3">
      <c r="A123" s="24"/>
      <c r="B123" s="29" t="s">
        <v>104</v>
      </c>
      <c r="C123" s="25" t="s">
        <v>13</v>
      </c>
      <c r="D123" s="39">
        <v>0</v>
      </c>
    </row>
    <row r="124" spans="1:4" x14ac:dyDescent="0.25">
      <c r="A124" s="46"/>
      <c r="B124" s="47"/>
      <c r="C124" s="48"/>
      <c r="D124" s="49"/>
    </row>
    <row r="125" spans="1:4" ht="15.75" thickBot="1" x14ac:dyDescent="0.3">
      <c r="A125" s="8" t="s">
        <v>112</v>
      </c>
      <c r="B125" s="2"/>
      <c r="C125" s="2"/>
      <c r="D125" s="2"/>
    </row>
    <row r="126" spans="1:4" ht="15.75" thickBot="1" x14ac:dyDescent="0.3">
      <c r="A126" s="22" t="s">
        <v>113</v>
      </c>
      <c r="B126" s="33" t="s">
        <v>73</v>
      </c>
      <c r="C126" s="32" t="s">
        <v>114</v>
      </c>
      <c r="D126" s="33">
        <v>0</v>
      </c>
    </row>
    <row r="127" spans="1:4" ht="15.75" thickBot="1" x14ac:dyDescent="0.3">
      <c r="A127" s="24" t="s">
        <v>115</v>
      </c>
      <c r="B127" s="29" t="s">
        <v>75</v>
      </c>
      <c r="C127" s="25" t="s">
        <v>114</v>
      </c>
      <c r="D127" s="29">
        <v>0</v>
      </c>
    </row>
    <row r="128" spans="1:4" ht="15.75" thickBot="1" x14ac:dyDescent="0.3">
      <c r="A128" s="24" t="s">
        <v>116</v>
      </c>
      <c r="B128" s="29" t="s">
        <v>77</v>
      </c>
      <c r="C128" s="25" t="s">
        <v>114</v>
      </c>
      <c r="D128" s="29">
        <v>0</v>
      </c>
    </row>
    <row r="129" spans="1:4" ht="15.75" thickBot="1" x14ac:dyDescent="0.3">
      <c r="A129" s="24" t="s">
        <v>117</v>
      </c>
      <c r="B129" s="29" t="s">
        <v>79</v>
      </c>
      <c r="C129" s="25" t="s">
        <v>13</v>
      </c>
      <c r="D129" s="39">
        <v>0</v>
      </c>
    </row>
    <row r="130" spans="1:4" x14ac:dyDescent="0.25">
      <c r="A130" s="2"/>
      <c r="B130" s="2"/>
      <c r="C130" s="2"/>
      <c r="D130" s="2"/>
    </row>
    <row r="131" spans="1:4" ht="15.75" thickBot="1" x14ac:dyDescent="0.3">
      <c r="A131" s="8" t="s">
        <v>118</v>
      </c>
      <c r="B131" s="2"/>
      <c r="C131" s="2"/>
      <c r="D131" s="2"/>
    </row>
    <row r="132" spans="1:4" ht="15.75" thickBot="1" x14ac:dyDescent="0.3">
      <c r="A132" s="34">
        <v>48</v>
      </c>
      <c r="B132" s="33" t="s">
        <v>119</v>
      </c>
      <c r="C132" s="32" t="s">
        <v>114</v>
      </c>
      <c r="D132" s="33">
        <v>0</v>
      </c>
    </row>
    <row r="133" spans="1:4" ht="15.75" thickBot="1" x14ac:dyDescent="0.3">
      <c r="A133" s="50">
        <v>49</v>
      </c>
      <c r="B133" s="29" t="s">
        <v>120</v>
      </c>
      <c r="C133" s="25" t="s">
        <v>114</v>
      </c>
      <c r="D133" s="29">
        <v>1</v>
      </c>
    </row>
    <row r="134" spans="1:4" ht="15.75" thickBot="1" x14ac:dyDescent="0.3">
      <c r="A134" s="51">
        <v>50</v>
      </c>
      <c r="B134" s="52" t="s">
        <v>121</v>
      </c>
      <c r="C134" s="53" t="s">
        <v>13</v>
      </c>
      <c r="D134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topLeftCell="A64" workbookViewId="0">
      <selection activeCell="D76" sqref="D76"/>
    </sheetView>
  </sheetViews>
  <sheetFormatPr defaultRowHeight="15" x14ac:dyDescent="0.25"/>
  <cols>
    <col min="2" max="2" width="73.28515625" customWidth="1"/>
    <col min="3" max="3" width="12.140625" customWidth="1"/>
    <col min="4" max="4" width="56.71093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256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257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131562.22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131562.22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1012695.06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812245.68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192799.38</f>
        <v>192799.38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1006697.95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785995.53+213121.64+980.78</f>
        <v>1000097.9500000001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6600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D20+D14</f>
        <v>1138260.17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131467.03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131467.03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134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68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133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3808170471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178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70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3811171757</v>
      </c>
    </row>
    <row r="64" spans="1:4" x14ac:dyDescent="0.25">
      <c r="A64" s="2"/>
      <c r="B64" s="2"/>
      <c r="C64" s="2"/>
      <c r="D64" s="2"/>
    </row>
    <row r="65" spans="1:4" ht="15.75" thickBot="1" x14ac:dyDescent="0.3">
      <c r="A65" s="8" t="s">
        <v>71</v>
      </c>
      <c r="B65" s="2"/>
      <c r="C65" s="2"/>
      <c r="D65" s="2"/>
    </row>
    <row r="66" spans="1:4" ht="15.75" thickBot="1" x14ac:dyDescent="0.3">
      <c r="A66" s="22" t="s">
        <v>72</v>
      </c>
      <c r="B66" s="32" t="s">
        <v>73</v>
      </c>
      <c r="C66" s="32" t="s">
        <v>47</v>
      </c>
      <c r="D66" s="33">
        <v>0</v>
      </c>
    </row>
    <row r="67" spans="1:4" ht="15.75" thickBot="1" x14ac:dyDescent="0.3">
      <c r="A67" s="24" t="s">
        <v>74</v>
      </c>
      <c r="B67" s="25" t="s">
        <v>75</v>
      </c>
      <c r="C67" s="25" t="s">
        <v>47</v>
      </c>
      <c r="D67" s="29">
        <v>0</v>
      </c>
    </row>
    <row r="68" spans="1:4" ht="15.75" thickBot="1" x14ac:dyDescent="0.3">
      <c r="A68" s="24" t="s">
        <v>76</v>
      </c>
      <c r="B68" s="25" t="s">
        <v>77</v>
      </c>
      <c r="C68" s="25" t="s">
        <v>47</v>
      </c>
      <c r="D68" s="29">
        <v>0</v>
      </c>
    </row>
    <row r="69" spans="1:4" ht="15.75" thickBot="1" x14ac:dyDescent="0.3">
      <c r="A69" s="22" t="s">
        <v>78</v>
      </c>
      <c r="B69" s="34" t="s">
        <v>79</v>
      </c>
      <c r="C69" s="34" t="s">
        <v>13</v>
      </c>
      <c r="D69" s="35">
        <v>0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80</v>
      </c>
      <c r="B71" s="2"/>
      <c r="C71" s="2"/>
      <c r="D71" s="2"/>
    </row>
    <row r="72" spans="1:4" ht="15.75" thickBot="1" x14ac:dyDescent="0.3">
      <c r="A72" s="36" t="s">
        <v>81</v>
      </c>
      <c r="B72" s="33" t="s">
        <v>82</v>
      </c>
      <c r="C72" s="32" t="s">
        <v>13</v>
      </c>
      <c r="D72" s="37">
        <f>D74+D73</f>
        <v>211082.97999999998</v>
      </c>
    </row>
    <row r="73" spans="1:4" ht="15.75" thickBot="1" x14ac:dyDescent="0.3">
      <c r="A73" s="38" t="s">
        <v>83</v>
      </c>
      <c r="B73" s="25" t="s">
        <v>84</v>
      </c>
      <c r="C73" s="25" t="s">
        <v>13</v>
      </c>
      <c r="D73" s="39">
        <f>-(5335.73+3324.85+3933.51+8289.68+126.89+1857.31)</f>
        <v>-22867.97</v>
      </c>
    </row>
    <row r="74" spans="1:4" ht="15.75" thickBot="1" x14ac:dyDescent="0.3">
      <c r="A74" s="38" t="s">
        <v>85</v>
      </c>
      <c r="B74" s="25" t="s">
        <v>86</v>
      </c>
      <c r="C74" s="25" t="s">
        <v>13</v>
      </c>
      <c r="D74" s="39">
        <f>127516.43+13416.65+66378.08+24661.32+214.05+1764.42</f>
        <v>233950.94999999998</v>
      </c>
    </row>
    <row r="75" spans="1:4" ht="15.75" thickBot="1" x14ac:dyDescent="0.3">
      <c r="A75" s="38" t="s">
        <v>87</v>
      </c>
      <c r="B75" s="29" t="s">
        <v>88</v>
      </c>
      <c r="C75" s="25" t="s">
        <v>13</v>
      </c>
      <c r="D75" s="39">
        <f>D77+D76</f>
        <v>181186.60000000006</v>
      </c>
    </row>
    <row r="76" spans="1:4" ht="15.75" thickBot="1" x14ac:dyDescent="0.3">
      <c r="A76" s="38" t="s">
        <v>89</v>
      </c>
      <c r="B76" s="25" t="s">
        <v>84</v>
      </c>
      <c r="C76" s="25" t="s">
        <v>13</v>
      </c>
      <c r="D76" s="39">
        <f>-(0.33+4152.9+5951.8+3994.9+2229.02+3510.85)</f>
        <v>-19839.8</v>
      </c>
    </row>
    <row r="77" spans="1:4" ht="15.75" thickBot="1" x14ac:dyDescent="0.3">
      <c r="A77" s="38" t="s">
        <v>90</v>
      </c>
      <c r="B77" s="25" t="s">
        <v>86</v>
      </c>
      <c r="C77" s="25" t="s">
        <v>13</v>
      </c>
      <c r="D77" s="39">
        <f>132423.89+9100.54+41434.55+16418.29+208.28+1440.85</f>
        <v>201026.40000000005</v>
      </c>
    </row>
    <row r="78" spans="1:4" x14ac:dyDescent="0.25">
      <c r="A78" s="2"/>
      <c r="B78" s="2"/>
      <c r="C78" s="2"/>
      <c r="D78" s="2"/>
    </row>
    <row r="79" spans="1:4" ht="15.75" thickBot="1" x14ac:dyDescent="0.3">
      <c r="A79" s="8" t="s">
        <v>91</v>
      </c>
      <c r="B79" s="2"/>
      <c r="C79" s="2"/>
      <c r="D79" s="2"/>
    </row>
    <row r="80" spans="1:4" ht="15.75" thickBot="1" x14ac:dyDescent="0.3">
      <c r="A80" s="40" t="s">
        <v>92</v>
      </c>
      <c r="B80" s="41" t="s">
        <v>93</v>
      </c>
      <c r="C80" s="42" t="s">
        <v>47</v>
      </c>
      <c r="D80" s="41" t="s">
        <v>94</v>
      </c>
    </row>
    <row r="81" spans="1:4" ht="15.75" thickBot="1" x14ac:dyDescent="0.3">
      <c r="A81" s="24"/>
      <c r="B81" s="29" t="s">
        <v>95</v>
      </c>
      <c r="C81" s="25" t="s">
        <v>47</v>
      </c>
      <c r="D81" s="29" t="s">
        <v>96</v>
      </c>
    </row>
    <row r="82" spans="1:4" ht="15.75" thickBot="1" x14ac:dyDescent="0.3">
      <c r="A82" s="24"/>
      <c r="B82" s="29" t="s">
        <v>97</v>
      </c>
      <c r="C82" s="25" t="s">
        <v>96</v>
      </c>
      <c r="D82" s="39">
        <v>953.40239999999994</v>
      </c>
    </row>
    <row r="83" spans="1:4" ht="15.75" thickBot="1" x14ac:dyDescent="0.3">
      <c r="A83" s="24"/>
      <c r="B83" s="29" t="s">
        <v>98</v>
      </c>
      <c r="C83" s="25" t="s">
        <v>13</v>
      </c>
      <c r="D83" s="39">
        <f>951973.32+4163.29</f>
        <v>956136.61</v>
      </c>
    </row>
    <row r="84" spans="1:4" ht="15.75" thickBot="1" x14ac:dyDescent="0.3">
      <c r="A84" s="24"/>
      <c r="B84" s="25" t="s">
        <v>99</v>
      </c>
      <c r="C84" s="25" t="s">
        <v>13</v>
      </c>
      <c r="D84" s="43">
        <v>945893.75</v>
      </c>
    </row>
    <row r="85" spans="1:4" ht="15.75" thickBot="1" x14ac:dyDescent="0.3">
      <c r="A85" s="24"/>
      <c r="B85" s="25" t="s">
        <v>100</v>
      </c>
      <c r="C85" s="25" t="s">
        <v>13</v>
      </c>
      <c r="D85" s="43">
        <f>D83-D84</f>
        <v>10242.859999999986</v>
      </c>
    </row>
    <row r="86" spans="1:4" ht="15.75" thickBot="1" x14ac:dyDescent="0.3">
      <c r="A86" s="24"/>
      <c r="B86" s="25" t="s">
        <v>101</v>
      </c>
      <c r="C86" s="25" t="s">
        <v>13</v>
      </c>
      <c r="D86" s="39">
        <v>825219.86</v>
      </c>
    </row>
    <row r="87" spans="1:4" ht="15.75" thickBot="1" x14ac:dyDescent="0.3">
      <c r="A87" s="24"/>
      <c r="B87" s="25" t="s">
        <v>102</v>
      </c>
      <c r="C87" s="25" t="s">
        <v>13</v>
      </c>
      <c r="D87" s="43">
        <f>D84</f>
        <v>945893.75</v>
      </c>
    </row>
    <row r="88" spans="1:4" ht="15.75" thickBot="1" x14ac:dyDescent="0.3">
      <c r="A88" s="24"/>
      <c r="B88" s="25" t="s">
        <v>103</v>
      </c>
      <c r="C88" s="25" t="s">
        <v>13</v>
      </c>
      <c r="D88" s="43">
        <f>D85</f>
        <v>10242.859999999986</v>
      </c>
    </row>
    <row r="89" spans="1:4" ht="15.75" thickBot="1" x14ac:dyDescent="0.3">
      <c r="A89" s="24"/>
      <c r="B89" s="29" t="s">
        <v>104</v>
      </c>
      <c r="C89" s="25" t="s">
        <v>13</v>
      </c>
      <c r="D89" s="39">
        <v>0</v>
      </c>
    </row>
    <row r="90" spans="1:4" ht="15.75" thickBot="1" x14ac:dyDescent="0.3">
      <c r="A90" s="40" t="s">
        <v>105</v>
      </c>
      <c r="B90" s="41" t="s">
        <v>93</v>
      </c>
      <c r="C90" s="42" t="s">
        <v>47</v>
      </c>
      <c r="D90" s="41" t="s">
        <v>106</v>
      </c>
    </row>
    <row r="91" spans="1:4" ht="15.75" thickBot="1" x14ac:dyDescent="0.3">
      <c r="A91" s="24"/>
      <c r="B91" s="29" t="s">
        <v>95</v>
      </c>
      <c r="C91" s="25" t="s">
        <v>47</v>
      </c>
      <c r="D91" s="29" t="s">
        <v>107</v>
      </c>
    </row>
    <row r="92" spans="1:4" ht="15.75" thickBot="1" x14ac:dyDescent="0.3">
      <c r="A92" s="24"/>
      <c r="B92" s="29" t="s">
        <v>97</v>
      </c>
      <c r="C92" s="25" t="s">
        <v>107</v>
      </c>
      <c r="D92" s="44">
        <v>9283.8181999999997</v>
      </c>
    </row>
    <row r="93" spans="1:4" ht="15.75" thickBot="1" x14ac:dyDescent="0.3">
      <c r="A93" s="24"/>
      <c r="B93" s="29" t="s">
        <v>98</v>
      </c>
      <c r="C93" s="25" t="s">
        <v>13</v>
      </c>
      <c r="D93" s="44">
        <f>1647.6+642.13+94655.52-3904.82</f>
        <v>93040.43</v>
      </c>
    </row>
    <row r="94" spans="1:4" ht="15.75" thickBot="1" x14ac:dyDescent="0.3">
      <c r="A94" s="24"/>
      <c r="B94" s="25" t="s">
        <v>99</v>
      </c>
      <c r="C94" s="25" t="s">
        <v>13</v>
      </c>
      <c r="D94" s="45">
        <f>4397.63+95894.86</f>
        <v>100292.49</v>
      </c>
    </row>
    <row r="95" spans="1:4" ht="15.75" thickBot="1" x14ac:dyDescent="0.3">
      <c r="A95" s="24"/>
      <c r="B95" s="25" t="s">
        <v>100</v>
      </c>
      <c r="C95" s="25" t="s">
        <v>13</v>
      </c>
      <c r="D95" s="45">
        <v>0</v>
      </c>
    </row>
    <row r="96" spans="1:4" ht="15.75" thickBot="1" x14ac:dyDescent="0.3">
      <c r="A96" s="24"/>
      <c r="B96" s="25" t="s">
        <v>101</v>
      </c>
      <c r="C96" s="25" t="s">
        <v>13</v>
      </c>
      <c r="D96" s="45">
        <v>60749.99</v>
      </c>
    </row>
    <row r="97" spans="1:4" ht="15.75" thickBot="1" x14ac:dyDescent="0.3">
      <c r="A97" s="24"/>
      <c r="B97" s="25" t="s">
        <v>102</v>
      </c>
      <c r="C97" s="25" t="s">
        <v>13</v>
      </c>
      <c r="D97" s="45">
        <f>D94</f>
        <v>100292.49</v>
      </c>
    </row>
    <row r="98" spans="1:4" ht="15.75" thickBot="1" x14ac:dyDescent="0.3">
      <c r="A98" s="24"/>
      <c r="B98" s="25" t="s">
        <v>103</v>
      </c>
      <c r="C98" s="25" t="s">
        <v>13</v>
      </c>
      <c r="D98" s="45">
        <v>0</v>
      </c>
    </row>
    <row r="99" spans="1:4" ht="15.75" thickBot="1" x14ac:dyDescent="0.3">
      <c r="A99" s="24"/>
      <c r="B99" s="29" t="s">
        <v>104</v>
      </c>
      <c r="C99" s="25" t="s">
        <v>13</v>
      </c>
      <c r="D99" s="44">
        <v>0</v>
      </c>
    </row>
    <row r="100" spans="1:4" ht="15.75" thickBot="1" x14ac:dyDescent="0.3">
      <c r="A100" s="40" t="s">
        <v>108</v>
      </c>
      <c r="B100" s="41" t="s">
        <v>93</v>
      </c>
      <c r="C100" s="42" t="s">
        <v>47</v>
      </c>
      <c r="D100" s="41" t="s">
        <v>109</v>
      </c>
    </row>
    <row r="101" spans="1:4" ht="15.75" thickBot="1" x14ac:dyDescent="0.3">
      <c r="A101" s="24"/>
      <c r="B101" s="29" t="s">
        <v>95</v>
      </c>
      <c r="C101" s="25" t="s">
        <v>47</v>
      </c>
      <c r="D101" s="29" t="s">
        <v>107</v>
      </c>
    </row>
    <row r="102" spans="1:4" ht="15.75" thickBot="1" x14ac:dyDescent="0.3">
      <c r="A102" s="24"/>
      <c r="B102" s="29" t="s">
        <v>97</v>
      </c>
      <c r="C102" s="25" t="s">
        <v>107</v>
      </c>
      <c r="D102" s="44">
        <v>6070.3491000000004</v>
      </c>
    </row>
    <row r="103" spans="1:4" ht="15.75" thickBot="1" x14ac:dyDescent="0.3">
      <c r="A103" s="24"/>
      <c r="B103" s="29" t="s">
        <v>98</v>
      </c>
      <c r="C103" s="25" t="s">
        <v>13</v>
      </c>
      <c r="D103" s="44">
        <f>425243.31-2162.47+11728.52+2458.54</f>
        <v>437267.9</v>
      </c>
    </row>
    <row r="104" spans="1:4" ht="15.75" thickBot="1" x14ac:dyDescent="0.3">
      <c r="A104" s="24"/>
      <c r="B104" s="25" t="s">
        <v>99</v>
      </c>
      <c r="C104" s="25" t="s">
        <v>13</v>
      </c>
      <c r="D104" s="45">
        <f>450042.66+16164.17</f>
        <v>466206.82999999996</v>
      </c>
    </row>
    <row r="105" spans="1:4" ht="15.75" thickBot="1" x14ac:dyDescent="0.3">
      <c r="A105" s="24"/>
      <c r="B105" s="25" t="s">
        <v>100</v>
      </c>
      <c r="C105" s="25" t="s">
        <v>13</v>
      </c>
      <c r="D105" s="45">
        <v>0</v>
      </c>
    </row>
    <row r="106" spans="1:4" ht="15.75" thickBot="1" x14ac:dyDescent="0.3">
      <c r="A106" s="24"/>
      <c r="B106" s="25" t="s">
        <v>101</v>
      </c>
      <c r="C106" s="25" t="s">
        <v>13</v>
      </c>
      <c r="D106" s="45">
        <v>379204.82</v>
      </c>
    </row>
    <row r="107" spans="1:4" ht="15.75" thickBot="1" x14ac:dyDescent="0.3">
      <c r="A107" s="24"/>
      <c r="B107" s="25" t="s">
        <v>102</v>
      </c>
      <c r="C107" s="25" t="s">
        <v>13</v>
      </c>
      <c r="D107" s="45">
        <f>D104</f>
        <v>466206.82999999996</v>
      </c>
    </row>
    <row r="108" spans="1:4" ht="15.75" thickBot="1" x14ac:dyDescent="0.3">
      <c r="A108" s="24"/>
      <c r="B108" s="25" t="s">
        <v>103</v>
      </c>
      <c r="C108" s="25" t="s">
        <v>13</v>
      </c>
      <c r="D108" s="45">
        <v>0</v>
      </c>
    </row>
    <row r="109" spans="1:4" ht="15.75" thickBot="1" x14ac:dyDescent="0.3">
      <c r="A109" s="24"/>
      <c r="B109" s="29" t="s">
        <v>104</v>
      </c>
      <c r="C109" s="25" t="s">
        <v>13</v>
      </c>
      <c r="D109" s="44">
        <v>0</v>
      </c>
    </row>
    <row r="110" spans="1:4" ht="15.75" thickBot="1" x14ac:dyDescent="0.3">
      <c r="A110" s="40" t="s">
        <v>110</v>
      </c>
      <c r="B110" s="41" t="s">
        <v>93</v>
      </c>
      <c r="C110" s="42" t="s">
        <v>47</v>
      </c>
      <c r="D110" s="41" t="s">
        <v>111</v>
      </c>
    </row>
    <row r="111" spans="1:4" ht="15.75" thickBot="1" x14ac:dyDescent="0.3">
      <c r="A111" s="24"/>
      <c r="B111" s="29" t="s">
        <v>95</v>
      </c>
      <c r="C111" s="25" t="s">
        <v>47</v>
      </c>
      <c r="D111" s="29" t="s">
        <v>107</v>
      </c>
    </row>
    <row r="112" spans="1:4" ht="15.75" thickBot="1" x14ac:dyDescent="0.3">
      <c r="A112" s="24"/>
      <c r="B112" s="29" t="s">
        <v>97</v>
      </c>
      <c r="C112" s="25" t="s">
        <v>107</v>
      </c>
      <c r="D112" s="39">
        <v>15354.159299999999</v>
      </c>
    </row>
    <row r="113" spans="1:4" ht="15.75" thickBot="1" x14ac:dyDescent="0.3">
      <c r="A113" s="24"/>
      <c r="B113" s="29" t="s">
        <v>98</v>
      </c>
      <c r="C113" s="25" t="s">
        <v>13</v>
      </c>
      <c r="D113" s="39">
        <f>162244.82-463.76</f>
        <v>161781.06</v>
      </c>
    </row>
    <row r="114" spans="1:4" ht="15.75" thickBot="1" x14ac:dyDescent="0.3">
      <c r="A114" s="24"/>
      <c r="B114" s="25" t="s">
        <v>99</v>
      </c>
      <c r="C114" s="25" t="s">
        <v>13</v>
      </c>
      <c r="D114" s="43">
        <v>165729.31</v>
      </c>
    </row>
    <row r="115" spans="1:4" ht="15.75" thickBot="1" x14ac:dyDescent="0.3">
      <c r="A115" s="24"/>
      <c r="B115" s="25" t="s">
        <v>100</v>
      </c>
      <c r="C115" s="25" t="s">
        <v>13</v>
      </c>
      <c r="D115" s="43">
        <v>0</v>
      </c>
    </row>
    <row r="116" spans="1:4" ht="15.75" thickBot="1" x14ac:dyDescent="0.3">
      <c r="A116" s="24"/>
      <c r="B116" s="25" t="s">
        <v>101</v>
      </c>
      <c r="C116" s="25" t="s">
        <v>13</v>
      </c>
      <c r="D116" s="43">
        <v>97956.91</v>
      </c>
    </row>
    <row r="117" spans="1:4" ht="15.75" thickBot="1" x14ac:dyDescent="0.3">
      <c r="A117" s="24"/>
      <c r="B117" s="25" t="s">
        <v>102</v>
      </c>
      <c r="C117" s="25" t="s">
        <v>13</v>
      </c>
      <c r="D117" s="43">
        <f>D114</f>
        <v>165729.31</v>
      </c>
    </row>
    <row r="118" spans="1:4" ht="15.75" thickBot="1" x14ac:dyDescent="0.3">
      <c r="A118" s="24"/>
      <c r="B118" s="25" t="s">
        <v>103</v>
      </c>
      <c r="C118" s="25" t="s">
        <v>13</v>
      </c>
      <c r="D118" s="43">
        <v>0</v>
      </c>
    </row>
    <row r="119" spans="1:4" ht="15.75" thickBot="1" x14ac:dyDescent="0.3">
      <c r="A119" s="24"/>
      <c r="B119" s="29" t="s">
        <v>104</v>
      </c>
      <c r="C119" s="25" t="s">
        <v>13</v>
      </c>
      <c r="D119" s="39">
        <v>0</v>
      </c>
    </row>
    <row r="120" spans="1:4" x14ac:dyDescent="0.25">
      <c r="A120" s="46"/>
      <c r="B120" s="47"/>
      <c r="C120" s="48"/>
      <c r="D120" s="49"/>
    </row>
    <row r="121" spans="1:4" ht="15.75" thickBot="1" x14ac:dyDescent="0.3">
      <c r="A121" s="8" t="s">
        <v>112</v>
      </c>
      <c r="B121" s="2"/>
      <c r="C121" s="2"/>
      <c r="D121" s="2"/>
    </row>
    <row r="122" spans="1:4" ht="15.75" thickBot="1" x14ac:dyDescent="0.3">
      <c r="A122" s="22" t="s">
        <v>113</v>
      </c>
      <c r="B122" s="33" t="s">
        <v>73</v>
      </c>
      <c r="C122" s="32" t="s">
        <v>114</v>
      </c>
      <c r="D122" s="33">
        <v>0</v>
      </c>
    </row>
    <row r="123" spans="1:4" ht="15.75" thickBot="1" x14ac:dyDescent="0.3">
      <c r="A123" s="24" t="s">
        <v>115</v>
      </c>
      <c r="B123" s="29" t="s">
        <v>75</v>
      </c>
      <c r="C123" s="25" t="s">
        <v>114</v>
      </c>
      <c r="D123" s="29">
        <v>0</v>
      </c>
    </row>
    <row r="124" spans="1:4" ht="15.75" thickBot="1" x14ac:dyDescent="0.3">
      <c r="A124" s="24" t="s">
        <v>116</v>
      </c>
      <c r="B124" s="29" t="s">
        <v>77</v>
      </c>
      <c r="C124" s="25" t="s">
        <v>114</v>
      </c>
      <c r="D124" s="29">
        <v>0</v>
      </c>
    </row>
    <row r="125" spans="1:4" ht="15.75" thickBot="1" x14ac:dyDescent="0.3">
      <c r="A125" s="24" t="s">
        <v>117</v>
      </c>
      <c r="B125" s="29" t="s">
        <v>79</v>
      </c>
      <c r="C125" s="25" t="s">
        <v>13</v>
      </c>
      <c r="D125" s="39">
        <v>0</v>
      </c>
    </row>
    <row r="126" spans="1:4" x14ac:dyDescent="0.25">
      <c r="A126" s="2"/>
      <c r="B126" s="2"/>
      <c r="C126" s="2"/>
      <c r="D126" s="2"/>
    </row>
    <row r="127" spans="1:4" ht="15.75" thickBot="1" x14ac:dyDescent="0.3">
      <c r="A127" s="8" t="s">
        <v>118</v>
      </c>
      <c r="B127" s="2"/>
      <c r="C127" s="2"/>
      <c r="D127" s="2"/>
    </row>
    <row r="128" spans="1:4" ht="15.75" thickBot="1" x14ac:dyDescent="0.3">
      <c r="A128" s="34">
        <v>48</v>
      </c>
      <c r="B128" s="33" t="s">
        <v>119</v>
      </c>
      <c r="C128" s="32" t="s">
        <v>114</v>
      </c>
      <c r="D128" s="33">
        <v>1</v>
      </c>
    </row>
    <row r="129" spans="1:4" ht="15.75" thickBot="1" x14ac:dyDescent="0.3">
      <c r="A129" s="50">
        <v>49</v>
      </c>
      <c r="B129" s="29" t="s">
        <v>120</v>
      </c>
      <c r="C129" s="25" t="s">
        <v>114</v>
      </c>
      <c r="D129" s="29">
        <v>1</v>
      </c>
    </row>
    <row r="130" spans="1:4" ht="15.75" thickBot="1" x14ac:dyDescent="0.3">
      <c r="A130" s="51">
        <v>50</v>
      </c>
      <c r="B130" s="52" t="s">
        <v>121</v>
      </c>
      <c r="C130" s="53" t="s">
        <v>13</v>
      </c>
      <c r="D130" s="56">
        <f>29329+31345.21</f>
        <v>60674.21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6"/>
  <sheetViews>
    <sheetView topLeftCell="A103" workbookViewId="0">
      <selection activeCell="D92" sqref="D92"/>
    </sheetView>
  </sheetViews>
  <sheetFormatPr defaultRowHeight="15" x14ac:dyDescent="0.25"/>
  <cols>
    <col min="2" max="2" width="73.140625" customWidth="1"/>
    <col min="3" max="3" width="14.5703125" customWidth="1"/>
    <col min="4" max="4" width="6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258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259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63932.14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63932.14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1118862.8799999999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678837.2+110007.84</f>
        <v>788845.03999999992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143011.86+21760.32</f>
        <v>164772.18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1076653.74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641642.17+137682.71+135680.46</f>
        <v>915005.34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f>38928.04+122720.36</f>
        <v>161648.4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D20-D15</f>
        <v>1012721.6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309003.31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309003.31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262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260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65</v>
      </c>
    </row>
    <row r="55" spans="1:4" ht="15.75" thickBot="1" x14ac:dyDescent="0.3">
      <c r="A55" s="24"/>
      <c r="B55" s="25" t="s">
        <v>53</v>
      </c>
      <c r="C55" s="25" t="s">
        <v>47</v>
      </c>
      <c r="D55" s="31"/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261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187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65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3812092378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178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70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3811171757</v>
      </c>
    </row>
    <row r="64" spans="1:4" ht="15.75" thickBot="1" x14ac:dyDescent="0.3">
      <c r="A64" s="24" t="s">
        <v>66</v>
      </c>
      <c r="B64" s="27" t="s">
        <v>46</v>
      </c>
      <c r="C64" s="27" t="s">
        <v>47</v>
      </c>
      <c r="D64" s="28"/>
    </row>
    <row r="65" spans="1:4" ht="15.75" thickBot="1" x14ac:dyDescent="0.3">
      <c r="A65" s="24"/>
      <c r="B65" s="25" t="s">
        <v>49</v>
      </c>
      <c r="C65" s="25" t="s">
        <v>47</v>
      </c>
      <c r="D65" s="29" t="s">
        <v>263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65</v>
      </c>
    </row>
    <row r="67" spans="1:4" ht="15.75" thickBot="1" x14ac:dyDescent="0.3">
      <c r="A67" s="24"/>
      <c r="B67" s="25" t="s">
        <v>53</v>
      </c>
      <c r="C67" s="25" t="s">
        <v>47</v>
      </c>
      <c r="D67" s="30">
        <v>3808140910</v>
      </c>
    </row>
    <row r="68" spans="1:4" ht="15.75" thickBot="1" x14ac:dyDescent="0.3">
      <c r="A68" s="24" t="s">
        <v>67</v>
      </c>
      <c r="B68" s="27" t="s">
        <v>46</v>
      </c>
      <c r="C68" s="27" t="s">
        <v>47</v>
      </c>
      <c r="D68" s="28" t="s">
        <v>209</v>
      </c>
    </row>
    <row r="69" spans="1:4" ht="15.75" thickBot="1" x14ac:dyDescent="0.3">
      <c r="A69" s="24"/>
      <c r="B69" s="25" t="s">
        <v>49</v>
      </c>
      <c r="C69" s="25" t="s">
        <v>47</v>
      </c>
      <c r="D69" s="29" t="s">
        <v>210</v>
      </c>
    </row>
    <row r="70" spans="1:4" ht="15.75" thickBot="1" x14ac:dyDescent="0.3">
      <c r="A70" s="24"/>
      <c r="B70" s="25" t="s">
        <v>51</v>
      </c>
      <c r="C70" s="25" t="s">
        <v>47</v>
      </c>
      <c r="D70" s="29" t="s">
        <v>190</v>
      </c>
    </row>
    <row r="71" spans="1:4" ht="15.75" thickBot="1" x14ac:dyDescent="0.3">
      <c r="A71" s="24"/>
      <c r="B71" s="25" t="s">
        <v>53</v>
      </c>
      <c r="C71" s="25" t="s">
        <v>47</v>
      </c>
      <c r="D71" s="30">
        <v>5405485497</v>
      </c>
    </row>
    <row r="72" spans="1:4" ht="15.75" thickBot="1" x14ac:dyDescent="0.3">
      <c r="A72" s="24" t="s">
        <v>69</v>
      </c>
      <c r="B72" s="27" t="s">
        <v>46</v>
      </c>
      <c r="C72" s="27" t="s">
        <v>47</v>
      </c>
      <c r="D72" s="28" t="s">
        <v>264</v>
      </c>
    </row>
    <row r="73" spans="1:4" ht="15.75" thickBot="1" x14ac:dyDescent="0.3">
      <c r="A73" s="24"/>
      <c r="B73" s="25" t="s">
        <v>49</v>
      </c>
      <c r="C73" s="25" t="s">
        <v>47</v>
      </c>
      <c r="D73" s="29" t="s">
        <v>189</v>
      </c>
    </row>
    <row r="74" spans="1:4" ht="15.75" thickBot="1" x14ac:dyDescent="0.3">
      <c r="A74" s="24"/>
      <c r="B74" s="25" t="s">
        <v>51</v>
      </c>
      <c r="C74" s="25" t="s">
        <v>47</v>
      </c>
      <c r="D74" s="29" t="s">
        <v>190</v>
      </c>
    </row>
    <row r="75" spans="1:4" ht="15.75" thickBot="1" x14ac:dyDescent="0.3">
      <c r="A75" s="24"/>
      <c r="B75" s="25" t="s">
        <v>53</v>
      </c>
      <c r="C75" s="25" t="s">
        <v>47</v>
      </c>
      <c r="D75" s="30">
        <v>7706196090</v>
      </c>
    </row>
    <row r="76" spans="1:4" ht="15.75" thickBot="1" x14ac:dyDescent="0.3">
      <c r="A76" s="24" t="s">
        <v>154</v>
      </c>
      <c r="B76" s="27" t="s">
        <v>46</v>
      </c>
      <c r="C76" s="27" t="s">
        <v>47</v>
      </c>
      <c r="D76" s="28" t="s">
        <v>265</v>
      </c>
    </row>
    <row r="77" spans="1:4" ht="15.75" thickBot="1" x14ac:dyDescent="0.3">
      <c r="A77" s="24"/>
      <c r="B77" s="25" t="s">
        <v>49</v>
      </c>
      <c r="C77" s="25" t="s">
        <v>47</v>
      </c>
      <c r="D77" s="29" t="s">
        <v>266</v>
      </c>
    </row>
    <row r="78" spans="1:4" ht="15.75" thickBot="1" x14ac:dyDescent="0.3">
      <c r="A78" s="24"/>
      <c r="B78" s="25" t="s">
        <v>51</v>
      </c>
      <c r="C78" s="25" t="s">
        <v>47</v>
      </c>
      <c r="D78" s="29" t="s">
        <v>57</v>
      </c>
    </row>
    <row r="79" spans="1:4" ht="15.75" thickBot="1" x14ac:dyDescent="0.3">
      <c r="A79" s="24"/>
      <c r="B79" s="25" t="s">
        <v>53</v>
      </c>
      <c r="C79" s="25" t="s">
        <v>47</v>
      </c>
      <c r="D79" s="30">
        <v>3810332480</v>
      </c>
    </row>
    <row r="80" spans="1:4" x14ac:dyDescent="0.25">
      <c r="A80" s="2"/>
      <c r="B80" s="2"/>
      <c r="C80" s="2"/>
      <c r="D80" s="2"/>
    </row>
    <row r="81" spans="1:4" ht="15.75" thickBot="1" x14ac:dyDescent="0.3">
      <c r="A81" s="8" t="s">
        <v>71</v>
      </c>
      <c r="B81" s="2"/>
      <c r="C81" s="2"/>
      <c r="D81" s="2"/>
    </row>
    <row r="82" spans="1:4" ht="15.75" thickBot="1" x14ac:dyDescent="0.3">
      <c r="A82" s="22" t="s">
        <v>72</v>
      </c>
      <c r="B82" s="32" t="s">
        <v>73</v>
      </c>
      <c r="C82" s="32" t="s">
        <v>47</v>
      </c>
      <c r="D82" s="33">
        <v>0</v>
      </c>
    </row>
    <row r="83" spans="1:4" ht="15.75" thickBot="1" x14ac:dyDescent="0.3">
      <c r="A83" s="24" t="s">
        <v>74</v>
      </c>
      <c r="B83" s="25" t="s">
        <v>75</v>
      </c>
      <c r="C83" s="25" t="s">
        <v>47</v>
      </c>
      <c r="D83" s="29">
        <v>0</v>
      </c>
    </row>
    <row r="84" spans="1:4" ht="15.75" thickBot="1" x14ac:dyDescent="0.3">
      <c r="A84" s="24" t="s">
        <v>76</v>
      </c>
      <c r="B84" s="25" t="s">
        <v>77</v>
      </c>
      <c r="C84" s="25" t="s">
        <v>47</v>
      </c>
      <c r="D84" s="29">
        <v>0</v>
      </c>
    </row>
    <row r="85" spans="1:4" ht="15.75" thickBot="1" x14ac:dyDescent="0.3">
      <c r="A85" s="22" t="s">
        <v>78</v>
      </c>
      <c r="B85" s="34" t="s">
        <v>79</v>
      </c>
      <c r="C85" s="34" t="s">
        <v>13</v>
      </c>
      <c r="D85" s="35">
        <v>0</v>
      </c>
    </row>
    <row r="86" spans="1:4" x14ac:dyDescent="0.25">
      <c r="A86" s="2"/>
      <c r="B86" s="2"/>
      <c r="C86" s="2"/>
      <c r="D86" s="2"/>
    </row>
    <row r="87" spans="1:4" ht="15.75" thickBot="1" x14ac:dyDescent="0.3">
      <c r="A87" s="8" t="s">
        <v>80</v>
      </c>
      <c r="B87" s="2"/>
      <c r="C87" s="2"/>
      <c r="D87" s="2"/>
    </row>
    <row r="88" spans="1:4" ht="15.75" thickBot="1" x14ac:dyDescent="0.3">
      <c r="A88" s="36" t="s">
        <v>81</v>
      </c>
      <c r="B88" s="33" t="s">
        <v>82</v>
      </c>
      <c r="C88" s="32" t="s">
        <v>13</v>
      </c>
      <c r="D88" s="37">
        <f>-(D90+D89)</f>
        <v>7885.2699999999895</v>
      </c>
    </row>
    <row r="89" spans="1:4" ht="15.75" thickBot="1" x14ac:dyDescent="0.3">
      <c r="A89" s="38" t="s">
        <v>83</v>
      </c>
      <c r="B89" s="25" t="s">
        <v>84</v>
      </c>
      <c r="C89" s="25" t="s">
        <v>13</v>
      </c>
      <c r="D89" s="39">
        <f>-(95649.9+7230.72+14371.11+6840.66+228.21+3640.78)</f>
        <v>-127961.38</v>
      </c>
    </row>
    <row r="90" spans="1:4" ht="15.75" thickBot="1" x14ac:dyDescent="0.3">
      <c r="A90" s="38" t="s">
        <v>85</v>
      </c>
      <c r="B90" s="25" t="s">
        <v>86</v>
      </c>
      <c r="C90" s="25" t="s">
        <v>13</v>
      </c>
      <c r="D90" s="39">
        <f>32983.46+12015.38+55150.75+17639.24+249.21+2038.07</f>
        <v>120076.11000000002</v>
      </c>
    </row>
    <row r="91" spans="1:4" ht="15.75" thickBot="1" x14ac:dyDescent="0.3">
      <c r="A91" s="38" t="s">
        <v>87</v>
      </c>
      <c r="B91" s="29" t="s">
        <v>88</v>
      </c>
      <c r="C91" s="25" t="s">
        <v>13</v>
      </c>
      <c r="D91" s="39">
        <f>D93+D92</f>
        <v>257282.43000000005</v>
      </c>
    </row>
    <row r="92" spans="1:4" ht="15.75" thickBot="1" x14ac:dyDescent="0.3">
      <c r="A92" s="38" t="s">
        <v>89</v>
      </c>
      <c r="B92" s="25" t="s">
        <v>84</v>
      </c>
      <c r="C92" s="25" t="s">
        <v>13</v>
      </c>
      <c r="D92" s="39">
        <f>-(460.33+5606.2+2313+3632.33+1274.92+669.59)</f>
        <v>-13956.369999999999</v>
      </c>
    </row>
    <row r="93" spans="1:4" ht="15.75" thickBot="1" x14ac:dyDescent="0.3">
      <c r="A93" s="38" t="s">
        <v>90</v>
      </c>
      <c r="B93" s="25" t="s">
        <v>86</v>
      </c>
      <c r="C93" s="25" t="s">
        <v>13</v>
      </c>
      <c r="D93" s="39">
        <f>186624.95+13576.95+48452.71+20607.79+292.32+1684.08</f>
        <v>271238.80000000005</v>
      </c>
    </row>
    <row r="94" spans="1:4" x14ac:dyDescent="0.25">
      <c r="A94" s="2"/>
      <c r="B94" s="2"/>
      <c r="C94" s="2"/>
      <c r="D94" s="2"/>
    </row>
    <row r="95" spans="1:4" ht="15.75" thickBot="1" x14ac:dyDescent="0.3">
      <c r="A95" s="8" t="s">
        <v>91</v>
      </c>
      <c r="B95" s="2"/>
      <c r="C95" s="2"/>
      <c r="D95" s="2"/>
    </row>
    <row r="96" spans="1:4" ht="15.75" thickBot="1" x14ac:dyDescent="0.3">
      <c r="A96" s="40" t="s">
        <v>92</v>
      </c>
      <c r="B96" s="41" t="s">
        <v>93</v>
      </c>
      <c r="C96" s="42" t="s">
        <v>47</v>
      </c>
      <c r="D96" s="41" t="s">
        <v>94</v>
      </c>
    </row>
    <row r="97" spans="1:4" ht="15.75" thickBot="1" x14ac:dyDescent="0.3">
      <c r="A97" s="24"/>
      <c r="B97" s="29" t="s">
        <v>95</v>
      </c>
      <c r="C97" s="25" t="s">
        <v>47</v>
      </c>
      <c r="D97" s="29" t="s">
        <v>96</v>
      </c>
    </row>
    <row r="98" spans="1:4" ht="15.75" thickBot="1" x14ac:dyDescent="0.3">
      <c r="A98" s="24"/>
      <c r="B98" s="29" t="s">
        <v>97</v>
      </c>
      <c r="C98" s="25" t="s">
        <v>96</v>
      </c>
      <c r="D98" s="39">
        <v>597.44209999999998</v>
      </c>
    </row>
    <row r="99" spans="1:4" ht="15.75" thickBot="1" x14ac:dyDescent="0.3">
      <c r="A99" s="24"/>
      <c r="B99" s="29" t="s">
        <v>98</v>
      </c>
      <c r="C99" s="25" t="s">
        <v>13</v>
      </c>
      <c r="D99" s="39">
        <f>596554.38+73985.18</f>
        <v>670539.56000000006</v>
      </c>
    </row>
    <row r="100" spans="1:4" ht="15.75" thickBot="1" x14ac:dyDescent="0.3">
      <c r="A100" s="24"/>
      <c r="B100" s="25" t="s">
        <v>99</v>
      </c>
      <c r="C100" s="25" t="s">
        <v>13</v>
      </c>
      <c r="D100" s="43">
        <v>421708.5</v>
      </c>
    </row>
    <row r="101" spans="1:4" ht="15.75" thickBot="1" x14ac:dyDescent="0.3">
      <c r="A101" s="24"/>
      <c r="B101" s="25" t="s">
        <v>100</v>
      </c>
      <c r="C101" s="25" t="s">
        <v>13</v>
      </c>
      <c r="D101" s="43">
        <f>D99-D100</f>
        <v>248831.06000000006</v>
      </c>
    </row>
    <row r="102" spans="1:4" ht="15.75" thickBot="1" x14ac:dyDescent="0.3">
      <c r="A102" s="24"/>
      <c r="B102" s="25" t="s">
        <v>101</v>
      </c>
      <c r="C102" s="25" t="s">
        <v>13</v>
      </c>
      <c r="D102" s="39">
        <v>672154.67</v>
      </c>
    </row>
    <row r="103" spans="1:4" ht="15.75" thickBot="1" x14ac:dyDescent="0.3">
      <c r="A103" s="24"/>
      <c r="B103" s="25" t="s">
        <v>102</v>
      </c>
      <c r="C103" s="25" t="s">
        <v>13</v>
      </c>
      <c r="D103" s="43">
        <f>D100</f>
        <v>421708.5</v>
      </c>
    </row>
    <row r="104" spans="1:4" ht="15.75" thickBot="1" x14ac:dyDescent="0.3">
      <c r="A104" s="24"/>
      <c r="B104" s="25" t="s">
        <v>103</v>
      </c>
      <c r="C104" s="25" t="s">
        <v>13</v>
      </c>
      <c r="D104" s="43">
        <f>D101</f>
        <v>248831.06000000006</v>
      </c>
    </row>
    <row r="105" spans="1:4" ht="15.75" thickBot="1" x14ac:dyDescent="0.3">
      <c r="A105" s="24"/>
      <c r="B105" s="29" t="s">
        <v>104</v>
      </c>
      <c r="C105" s="25" t="s">
        <v>13</v>
      </c>
      <c r="D105" s="39">
        <v>0</v>
      </c>
    </row>
    <row r="106" spans="1:4" ht="15.75" thickBot="1" x14ac:dyDescent="0.3">
      <c r="A106" s="40" t="s">
        <v>105</v>
      </c>
      <c r="B106" s="41" t="s">
        <v>93</v>
      </c>
      <c r="C106" s="42" t="s">
        <v>47</v>
      </c>
      <c r="D106" s="41" t="s">
        <v>106</v>
      </c>
    </row>
    <row r="107" spans="1:4" ht="15.75" thickBot="1" x14ac:dyDescent="0.3">
      <c r="A107" s="24"/>
      <c r="B107" s="29" t="s">
        <v>95</v>
      </c>
      <c r="C107" s="25" t="s">
        <v>47</v>
      </c>
      <c r="D107" s="29" t="s">
        <v>107</v>
      </c>
    </row>
    <row r="108" spans="1:4" ht="15.75" thickBot="1" x14ac:dyDescent="0.3">
      <c r="A108" s="24"/>
      <c r="B108" s="29" t="s">
        <v>97</v>
      </c>
      <c r="C108" s="25" t="s">
        <v>107</v>
      </c>
      <c r="D108" s="44">
        <v>6344.8827000000001</v>
      </c>
    </row>
    <row r="109" spans="1:4" ht="15.75" thickBot="1" x14ac:dyDescent="0.3">
      <c r="A109" s="24"/>
      <c r="B109" s="29" t="s">
        <v>98</v>
      </c>
      <c r="C109" s="25" t="s">
        <v>13</v>
      </c>
      <c r="D109" s="44">
        <f>1952.28+175.21+64757.07-1788.8</f>
        <v>65095.759999999995</v>
      </c>
    </row>
    <row r="110" spans="1:4" ht="15.75" thickBot="1" x14ac:dyDescent="0.3">
      <c r="A110" s="24"/>
      <c r="B110" s="25" t="s">
        <v>99</v>
      </c>
      <c r="C110" s="25" t="s">
        <v>13</v>
      </c>
      <c r="D110" s="45">
        <f>3131.09+59782.18</f>
        <v>62913.270000000004</v>
      </c>
    </row>
    <row r="111" spans="1:4" ht="15.75" thickBot="1" x14ac:dyDescent="0.3">
      <c r="A111" s="24"/>
      <c r="B111" s="25" t="s">
        <v>100</v>
      </c>
      <c r="C111" s="25" t="s">
        <v>13</v>
      </c>
      <c r="D111" s="45">
        <f>D109-D110</f>
        <v>2182.4899999999907</v>
      </c>
    </row>
    <row r="112" spans="1:4" ht="15.75" thickBot="1" x14ac:dyDescent="0.3">
      <c r="A112" s="24"/>
      <c r="B112" s="25" t="s">
        <v>101</v>
      </c>
      <c r="C112" s="25" t="s">
        <v>13</v>
      </c>
      <c r="D112" s="45">
        <v>69414.47</v>
      </c>
    </row>
    <row r="113" spans="1:4" ht="15.75" thickBot="1" x14ac:dyDescent="0.3">
      <c r="A113" s="24"/>
      <c r="B113" s="25" t="s">
        <v>102</v>
      </c>
      <c r="C113" s="25" t="s">
        <v>13</v>
      </c>
      <c r="D113" s="45">
        <f>D110</f>
        <v>62913.270000000004</v>
      </c>
    </row>
    <row r="114" spans="1:4" ht="15.75" thickBot="1" x14ac:dyDescent="0.3">
      <c r="A114" s="24"/>
      <c r="B114" s="25" t="s">
        <v>103</v>
      </c>
      <c r="C114" s="25" t="s">
        <v>13</v>
      </c>
      <c r="D114" s="45">
        <f>D111</f>
        <v>2182.4899999999907</v>
      </c>
    </row>
    <row r="115" spans="1:4" ht="15.75" thickBot="1" x14ac:dyDescent="0.3">
      <c r="A115" s="24"/>
      <c r="B115" s="29" t="s">
        <v>104</v>
      </c>
      <c r="C115" s="25" t="s">
        <v>13</v>
      </c>
      <c r="D115" s="44">
        <v>0</v>
      </c>
    </row>
    <row r="116" spans="1:4" ht="15.75" thickBot="1" x14ac:dyDescent="0.3">
      <c r="A116" s="40" t="s">
        <v>108</v>
      </c>
      <c r="B116" s="41" t="s">
        <v>93</v>
      </c>
      <c r="C116" s="42" t="s">
        <v>47</v>
      </c>
      <c r="D116" s="41" t="s">
        <v>109</v>
      </c>
    </row>
    <row r="117" spans="1:4" ht="15.75" thickBot="1" x14ac:dyDescent="0.3">
      <c r="A117" s="24"/>
      <c r="B117" s="29" t="s">
        <v>95</v>
      </c>
      <c r="C117" s="25" t="s">
        <v>47</v>
      </c>
      <c r="D117" s="29" t="s">
        <v>107</v>
      </c>
    </row>
    <row r="118" spans="1:4" ht="15.75" thickBot="1" x14ac:dyDescent="0.3">
      <c r="A118" s="24"/>
      <c r="B118" s="29" t="s">
        <v>97</v>
      </c>
      <c r="C118" s="25" t="s">
        <v>107</v>
      </c>
      <c r="D118" s="44">
        <v>3406.4666999999999</v>
      </c>
    </row>
    <row r="119" spans="1:4" ht="15.75" thickBot="1" x14ac:dyDescent="0.3">
      <c r="A119" s="24"/>
      <c r="B119" s="29" t="s">
        <v>98</v>
      </c>
      <c r="C119" s="25" t="s">
        <v>13</v>
      </c>
      <c r="D119" s="44">
        <f>438286.86+4636.88+10728.85+3528.87</f>
        <v>457181.45999999996</v>
      </c>
    </row>
    <row r="120" spans="1:4" ht="15.75" thickBot="1" x14ac:dyDescent="0.3">
      <c r="A120" s="24"/>
      <c r="B120" s="25" t="s">
        <v>99</v>
      </c>
      <c r="C120" s="25" t="s">
        <v>13</v>
      </c>
      <c r="D120" s="45">
        <f>237563.67+11640.52</f>
        <v>249204.19</v>
      </c>
    </row>
    <row r="121" spans="1:4" ht="15.75" thickBot="1" x14ac:dyDescent="0.3">
      <c r="A121" s="24"/>
      <c r="B121" s="25" t="s">
        <v>100</v>
      </c>
      <c r="C121" s="25" t="s">
        <v>13</v>
      </c>
      <c r="D121" s="45">
        <f>D119-D120</f>
        <v>207977.26999999996</v>
      </c>
    </row>
    <row r="122" spans="1:4" ht="15.75" thickBot="1" x14ac:dyDescent="0.3">
      <c r="A122" s="24"/>
      <c r="B122" s="25" t="s">
        <v>101</v>
      </c>
      <c r="C122" s="25" t="s">
        <v>13</v>
      </c>
      <c r="D122" s="45">
        <v>296245.92</v>
      </c>
    </row>
    <row r="123" spans="1:4" ht="15.75" thickBot="1" x14ac:dyDescent="0.3">
      <c r="A123" s="24"/>
      <c r="B123" s="25" t="s">
        <v>102</v>
      </c>
      <c r="C123" s="25" t="s">
        <v>13</v>
      </c>
      <c r="D123" s="45">
        <f>D120</f>
        <v>249204.19</v>
      </c>
    </row>
    <row r="124" spans="1:4" ht="15.75" thickBot="1" x14ac:dyDescent="0.3">
      <c r="A124" s="24"/>
      <c r="B124" s="25" t="s">
        <v>103</v>
      </c>
      <c r="C124" s="25" t="s">
        <v>13</v>
      </c>
      <c r="D124" s="45">
        <f>D121</f>
        <v>207977.26999999996</v>
      </c>
    </row>
    <row r="125" spans="1:4" ht="15.75" thickBot="1" x14ac:dyDescent="0.3">
      <c r="A125" s="24"/>
      <c r="B125" s="29" t="s">
        <v>104</v>
      </c>
      <c r="C125" s="25" t="s">
        <v>13</v>
      </c>
      <c r="D125" s="44">
        <v>0</v>
      </c>
    </row>
    <row r="126" spans="1:4" ht="15.75" thickBot="1" x14ac:dyDescent="0.3">
      <c r="A126" s="40" t="s">
        <v>110</v>
      </c>
      <c r="B126" s="41" t="s">
        <v>93</v>
      </c>
      <c r="C126" s="42" t="s">
        <v>47</v>
      </c>
      <c r="D126" s="41" t="s">
        <v>111</v>
      </c>
    </row>
    <row r="127" spans="1:4" ht="15.75" thickBot="1" x14ac:dyDescent="0.3">
      <c r="A127" s="24"/>
      <c r="B127" s="29" t="s">
        <v>95</v>
      </c>
      <c r="C127" s="25" t="s">
        <v>47</v>
      </c>
      <c r="D127" s="29" t="s">
        <v>107</v>
      </c>
    </row>
    <row r="128" spans="1:4" ht="15.75" thickBot="1" x14ac:dyDescent="0.3">
      <c r="A128" s="24"/>
      <c r="B128" s="29" t="s">
        <v>97</v>
      </c>
      <c r="C128" s="25" t="s">
        <v>107</v>
      </c>
      <c r="D128" s="39">
        <v>9751.3480999999992</v>
      </c>
    </row>
    <row r="129" spans="1:4" ht="15.75" thickBot="1" x14ac:dyDescent="0.3">
      <c r="A129" s="24"/>
      <c r="B129" s="29" t="s">
        <v>98</v>
      </c>
      <c r="C129" s="25" t="s">
        <v>13</v>
      </c>
      <c r="D129" s="39">
        <f>103145.85+259.35</f>
        <v>103405.20000000001</v>
      </c>
    </row>
    <row r="130" spans="1:4" ht="15.75" thickBot="1" x14ac:dyDescent="0.3">
      <c r="A130" s="24"/>
      <c r="B130" s="25" t="s">
        <v>99</v>
      </c>
      <c r="C130" s="25" t="s">
        <v>13</v>
      </c>
      <c r="D130" s="43">
        <v>97228.32</v>
      </c>
    </row>
    <row r="131" spans="1:4" ht="15.75" thickBot="1" x14ac:dyDescent="0.3">
      <c r="A131" s="24"/>
      <c r="B131" s="25" t="s">
        <v>100</v>
      </c>
      <c r="C131" s="25" t="s">
        <v>13</v>
      </c>
      <c r="D131" s="43">
        <f>D129-D130</f>
        <v>6176.8800000000047</v>
      </c>
    </row>
    <row r="132" spans="1:4" ht="15.75" thickBot="1" x14ac:dyDescent="0.3">
      <c r="A132" s="24"/>
      <c r="B132" s="25" t="s">
        <v>101</v>
      </c>
      <c r="C132" s="25" t="s">
        <v>13</v>
      </c>
      <c r="D132" s="43">
        <v>113188.04</v>
      </c>
    </row>
    <row r="133" spans="1:4" ht="15.75" thickBot="1" x14ac:dyDescent="0.3">
      <c r="A133" s="24"/>
      <c r="B133" s="25" t="s">
        <v>102</v>
      </c>
      <c r="C133" s="25" t="s">
        <v>13</v>
      </c>
      <c r="D133" s="43">
        <f>D130</f>
        <v>97228.32</v>
      </c>
    </row>
    <row r="134" spans="1:4" ht="15.75" thickBot="1" x14ac:dyDescent="0.3">
      <c r="A134" s="24"/>
      <c r="B134" s="25" t="s">
        <v>103</v>
      </c>
      <c r="C134" s="25" t="s">
        <v>13</v>
      </c>
      <c r="D134" s="43">
        <f>D131</f>
        <v>6176.8800000000047</v>
      </c>
    </row>
    <row r="135" spans="1:4" ht="15.75" thickBot="1" x14ac:dyDescent="0.3">
      <c r="A135" s="24"/>
      <c r="B135" s="29" t="s">
        <v>104</v>
      </c>
      <c r="C135" s="25" t="s">
        <v>13</v>
      </c>
      <c r="D135" s="39">
        <v>0</v>
      </c>
    </row>
    <row r="136" spans="1:4" x14ac:dyDescent="0.25">
      <c r="A136" s="46"/>
      <c r="B136" s="47"/>
      <c r="C136" s="48"/>
      <c r="D136" s="49"/>
    </row>
    <row r="137" spans="1:4" ht="15.75" thickBot="1" x14ac:dyDescent="0.3">
      <c r="A137" s="8" t="s">
        <v>112</v>
      </c>
      <c r="B137" s="2"/>
      <c r="C137" s="2"/>
      <c r="D137" s="2"/>
    </row>
    <row r="138" spans="1:4" ht="15.75" thickBot="1" x14ac:dyDescent="0.3">
      <c r="A138" s="22" t="s">
        <v>113</v>
      </c>
      <c r="B138" s="33" t="s">
        <v>73</v>
      </c>
      <c r="C138" s="32" t="s">
        <v>114</v>
      </c>
      <c r="D138" s="33">
        <v>0</v>
      </c>
    </row>
    <row r="139" spans="1:4" ht="15.75" thickBot="1" x14ac:dyDescent="0.3">
      <c r="A139" s="24" t="s">
        <v>115</v>
      </c>
      <c r="B139" s="29" t="s">
        <v>75</v>
      </c>
      <c r="C139" s="25" t="s">
        <v>114</v>
      </c>
      <c r="D139" s="29">
        <v>0</v>
      </c>
    </row>
    <row r="140" spans="1:4" ht="15.75" thickBot="1" x14ac:dyDescent="0.3">
      <c r="A140" s="24" t="s">
        <v>116</v>
      </c>
      <c r="B140" s="29" t="s">
        <v>77</v>
      </c>
      <c r="C140" s="25" t="s">
        <v>114</v>
      </c>
      <c r="D140" s="29">
        <v>0</v>
      </c>
    </row>
    <row r="141" spans="1:4" ht="15.75" thickBot="1" x14ac:dyDescent="0.3">
      <c r="A141" s="24" t="s">
        <v>117</v>
      </c>
      <c r="B141" s="29" t="s">
        <v>79</v>
      </c>
      <c r="C141" s="25" t="s">
        <v>13</v>
      </c>
      <c r="D141" s="39">
        <v>0</v>
      </c>
    </row>
    <row r="142" spans="1:4" x14ac:dyDescent="0.25">
      <c r="A142" s="2"/>
      <c r="B142" s="2"/>
      <c r="C142" s="2"/>
      <c r="D142" s="2"/>
    </row>
    <row r="143" spans="1:4" ht="15.75" thickBot="1" x14ac:dyDescent="0.3">
      <c r="A143" s="8" t="s">
        <v>118</v>
      </c>
      <c r="B143" s="2"/>
      <c r="C143" s="2"/>
      <c r="D143" s="2"/>
    </row>
    <row r="144" spans="1:4" ht="15.75" thickBot="1" x14ac:dyDescent="0.3">
      <c r="A144" s="34">
        <v>48</v>
      </c>
      <c r="B144" s="33" t="s">
        <v>119</v>
      </c>
      <c r="C144" s="32" t="s">
        <v>114</v>
      </c>
      <c r="D144" s="33">
        <v>1</v>
      </c>
    </row>
    <row r="145" spans="1:4" ht="15.75" thickBot="1" x14ac:dyDescent="0.3">
      <c r="A145" s="50">
        <v>49</v>
      </c>
      <c r="B145" s="29" t="s">
        <v>120</v>
      </c>
      <c r="C145" s="25" t="s">
        <v>114</v>
      </c>
      <c r="D145" s="29">
        <v>0</v>
      </c>
    </row>
    <row r="146" spans="1:4" ht="15.75" thickBot="1" x14ac:dyDescent="0.3">
      <c r="A146" s="51">
        <v>50</v>
      </c>
      <c r="B146" s="52" t="s">
        <v>121</v>
      </c>
      <c r="C146" s="53" t="s">
        <v>13</v>
      </c>
      <c r="D146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topLeftCell="A25" workbookViewId="0">
      <selection activeCell="D64" sqref="D64"/>
    </sheetView>
  </sheetViews>
  <sheetFormatPr defaultRowHeight="15" x14ac:dyDescent="0.25"/>
  <cols>
    <col min="2" max="2" width="68.42578125" customWidth="1"/>
    <col min="3" max="3" width="12.28515625" customWidth="1"/>
    <col min="4" max="4" width="55.28515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267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268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45758.11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45758.11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626708.49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434372.28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171436.21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618310.13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431121.64+169738.49</f>
        <v>600860.13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17450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D20-D15</f>
        <v>572552.02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27344.3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27344.3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x14ac:dyDescent="0.25">
      <c r="A52" s="2"/>
      <c r="B52" s="2"/>
      <c r="C52" s="2"/>
      <c r="D52" s="2"/>
    </row>
    <row r="53" spans="1:4" ht="15.75" thickBot="1" x14ac:dyDescent="0.3">
      <c r="A53" s="8" t="s">
        <v>71</v>
      </c>
      <c r="B53" s="2"/>
      <c r="C53" s="2"/>
      <c r="D53" s="2"/>
    </row>
    <row r="54" spans="1:4" ht="15.75" thickBot="1" x14ac:dyDescent="0.3">
      <c r="A54" s="22" t="s">
        <v>72</v>
      </c>
      <c r="B54" s="32" t="s">
        <v>73</v>
      </c>
      <c r="C54" s="32" t="s">
        <v>47</v>
      </c>
      <c r="D54" s="33">
        <v>0</v>
      </c>
    </row>
    <row r="55" spans="1:4" ht="15.75" thickBot="1" x14ac:dyDescent="0.3">
      <c r="A55" s="24" t="s">
        <v>74</v>
      </c>
      <c r="B55" s="25" t="s">
        <v>75</v>
      </c>
      <c r="C55" s="25" t="s">
        <v>47</v>
      </c>
      <c r="D55" s="29">
        <v>0</v>
      </c>
    </row>
    <row r="56" spans="1:4" ht="15.75" thickBot="1" x14ac:dyDescent="0.3">
      <c r="A56" s="24" t="s">
        <v>76</v>
      </c>
      <c r="B56" s="25" t="s">
        <v>77</v>
      </c>
      <c r="C56" s="25" t="s">
        <v>47</v>
      </c>
      <c r="D56" s="29">
        <v>0</v>
      </c>
    </row>
    <row r="57" spans="1:4" ht="15.75" thickBot="1" x14ac:dyDescent="0.3">
      <c r="A57" s="22" t="s">
        <v>78</v>
      </c>
      <c r="B57" s="34" t="s">
        <v>79</v>
      </c>
      <c r="C57" s="34" t="s">
        <v>13</v>
      </c>
      <c r="D57" s="35">
        <v>0</v>
      </c>
    </row>
    <row r="58" spans="1:4" x14ac:dyDescent="0.25">
      <c r="A58" s="2"/>
      <c r="B58" s="2"/>
      <c r="C58" s="2"/>
      <c r="D58" s="2"/>
    </row>
    <row r="59" spans="1:4" ht="15.75" thickBot="1" x14ac:dyDescent="0.3">
      <c r="A59" s="8" t="s">
        <v>80</v>
      </c>
      <c r="B59" s="2"/>
      <c r="C59" s="2"/>
      <c r="D59" s="2"/>
    </row>
    <row r="60" spans="1:4" ht="15.75" thickBot="1" x14ac:dyDescent="0.3">
      <c r="A60" s="36" t="s">
        <v>81</v>
      </c>
      <c r="B60" s="33" t="s">
        <v>82</v>
      </c>
      <c r="C60" s="32" t="s">
        <v>13</v>
      </c>
      <c r="D60" s="37">
        <f>D62+D61</f>
        <v>37797.970000000016</v>
      </c>
    </row>
    <row r="61" spans="1:4" ht="15.75" thickBot="1" x14ac:dyDescent="0.3">
      <c r="A61" s="38" t="s">
        <v>83</v>
      </c>
      <c r="B61" s="25" t="s">
        <v>84</v>
      </c>
      <c r="C61" s="25" t="s">
        <v>13</v>
      </c>
      <c r="D61" s="39">
        <f>-(46793.51+7342.51+30257.5+7439.51+12.78+85.87)</f>
        <v>-91931.68</v>
      </c>
    </row>
    <row r="62" spans="1:4" ht="15.75" thickBot="1" x14ac:dyDescent="0.3">
      <c r="A62" s="38" t="s">
        <v>85</v>
      </c>
      <c r="B62" s="25" t="s">
        <v>86</v>
      </c>
      <c r="C62" s="25" t="s">
        <v>13</v>
      </c>
      <c r="D62" s="39">
        <f>44103.12+16379.28+42130.07+26115.03+131.69+870.46</f>
        <v>129729.65000000001</v>
      </c>
    </row>
    <row r="63" spans="1:4" ht="15.75" thickBot="1" x14ac:dyDescent="0.3">
      <c r="A63" s="38" t="s">
        <v>87</v>
      </c>
      <c r="B63" s="29" t="s">
        <v>88</v>
      </c>
      <c r="C63" s="25" t="s">
        <v>13</v>
      </c>
      <c r="D63" s="39">
        <f>D65+D64</f>
        <v>107051.97000000002</v>
      </c>
    </row>
    <row r="64" spans="1:4" ht="15.75" thickBot="1" x14ac:dyDescent="0.3">
      <c r="A64" s="38" t="s">
        <v>89</v>
      </c>
      <c r="B64" s="25" t="s">
        <v>84</v>
      </c>
      <c r="C64" s="25" t="s">
        <v>13</v>
      </c>
      <c r="D64" s="39">
        <f>-(1256.1+2055.23+28003.27+1960.86+1097.7+763.29)</f>
        <v>-35136.449999999997</v>
      </c>
    </row>
    <row r="65" spans="1:4" ht="15.75" thickBot="1" x14ac:dyDescent="0.3">
      <c r="A65" s="38" t="s">
        <v>90</v>
      </c>
      <c r="B65" s="25" t="s">
        <v>86</v>
      </c>
      <c r="C65" s="25" t="s">
        <v>13</v>
      </c>
      <c r="D65" s="39">
        <f>74065.72+12175.63+33156.69+21531.36+166.91+1092.11</f>
        <v>142188.42000000001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91</v>
      </c>
      <c r="B67" s="2"/>
      <c r="C67" s="2"/>
      <c r="D67" s="2"/>
    </row>
    <row r="68" spans="1:4" ht="15.75" thickBot="1" x14ac:dyDescent="0.3">
      <c r="A68" s="40" t="s">
        <v>92</v>
      </c>
      <c r="B68" s="41" t="s">
        <v>93</v>
      </c>
      <c r="C68" s="42" t="s">
        <v>47</v>
      </c>
      <c r="D68" s="41" t="s">
        <v>94</v>
      </c>
    </row>
    <row r="69" spans="1:4" ht="15.75" thickBot="1" x14ac:dyDescent="0.3">
      <c r="A69" s="24"/>
      <c r="B69" s="29" t="s">
        <v>95</v>
      </c>
      <c r="C69" s="25" t="s">
        <v>47</v>
      </c>
      <c r="D69" s="29" t="s">
        <v>96</v>
      </c>
    </row>
    <row r="70" spans="1:4" ht="15.75" thickBot="1" x14ac:dyDescent="0.3">
      <c r="A70" s="24"/>
      <c r="B70" s="29" t="s">
        <v>97</v>
      </c>
      <c r="C70" s="25" t="s">
        <v>96</v>
      </c>
      <c r="D70" s="39">
        <v>522.34400000000005</v>
      </c>
    </row>
    <row r="71" spans="1:4" ht="15.75" thickBot="1" x14ac:dyDescent="0.3">
      <c r="A71" s="24"/>
      <c r="B71" s="29" t="s">
        <v>98</v>
      </c>
      <c r="C71" s="25" t="s">
        <v>13</v>
      </c>
      <c r="D71" s="39">
        <f>521562.13-23390.89</f>
        <v>498171.24</v>
      </c>
    </row>
    <row r="72" spans="1:4" ht="15.75" thickBot="1" x14ac:dyDescent="0.3">
      <c r="A72" s="24"/>
      <c r="B72" s="25" t="s">
        <v>99</v>
      </c>
      <c r="C72" s="25" t="s">
        <v>13</v>
      </c>
      <c r="D72" s="43">
        <v>422671.23</v>
      </c>
    </row>
    <row r="73" spans="1:4" ht="15.75" thickBot="1" x14ac:dyDescent="0.3">
      <c r="A73" s="24"/>
      <c r="B73" s="25" t="s">
        <v>100</v>
      </c>
      <c r="C73" s="25" t="s">
        <v>13</v>
      </c>
      <c r="D73" s="43">
        <f>D71-D72</f>
        <v>75500.010000000009</v>
      </c>
    </row>
    <row r="74" spans="1:4" ht="15.75" thickBot="1" x14ac:dyDescent="0.3">
      <c r="A74" s="24"/>
      <c r="B74" s="25" t="s">
        <v>101</v>
      </c>
      <c r="C74" s="25" t="s">
        <v>13</v>
      </c>
      <c r="D74" s="39">
        <v>497662.09</v>
      </c>
    </row>
    <row r="75" spans="1:4" ht="15.75" thickBot="1" x14ac:dyDescent="0.3">
      <c r="A75" s="24"/>
      <c r="B75" s="25" t="s">
        <v>102</v>
      </c>
      <c r="C75" s="25" t="s">
        <v>13</v>
      </c>
      <c r="D75" s="43">
        <f>D72</f>
        <v>422671.23</v>
      </c>
    </row>
    <row r="76" spans="1:4" ht="15.75" thickBot="1" x14ac:dyDescent="0.3">
      <c r="A76" s="24"/>
      <c r="B76" s="25" t="s">
        <v>103</v>
      </c>
      <c r="C76" s="25" t="s">
        <v>13</v>
      </c>
      <c r="D76" s="43">
        <f>D73</f>
        <v>75500.010000000009</v>
      </c>
    </row>
    <row r="77" spans="1:4" ht="15.75" thickBot="1" x14ac:dyDescent="0.3">
      <c r="A77" s="24"/>
      <c r="B77" s="29" t="s">
        <v>104</v>
      </c>
      <c r="C77" s="25" t="s">
        <v>13</v>
      </c>
      <c r="D77" s="39">
        <v>0</v>
      </c>
    </row>
    <row r="78" spans="1:4" ht="15.75" thickBot="1" x14ac:dyDescent="0.3">
      <c r="A78" s="40" t="s">
        <v>105</v>
      </c>
      <c r="B78" s="41" t="s">
        <v>93</v>
      </c>
      <c r="C78" s="42" t="s">
        <v>47</v>
      </c>
      <c r="D78" s="41" t="s">
        <v>106</v>
      </c>
    </row>
    <row r="79" spans="1:4" ht="15.75" thickBot="1" x14ac:dyDescent="0.3">
      <c r="A79" s="24"/>
      <c r="B79" s="29" t="s">
        <v>95</v>
      </c>
      <c r="C79" s="25" t="s">
        <v>47</v>
      </c>
      <c r="D79" s="29" t="s">
        <v>107</v>
      </c>
    </row>
    <row r="80" spans="1:4" ht="15.75" thickBot="1" x14ac:dyDescent="0.3">
      <c r="A80" s="24"/>
      <c r="B80" s="29" t="s">
        <v>97</v>
      </c>
      <c r="C80" s="25" t="s">
        <v>107</v>
      </c>
      <c r="D80" s="44">
        <v>6775.3513000000003</v>
      </c>
    </row>
    <row r="81" spans="1:4" ht="15.75" thickBot="1" x14ac:dyDescent="0.3">
      <c r="A81" s="24"/>
      <c r="B81" s="29" t="s">
        <v>98</v>
      </c>
      <c r="C81" s="25" t="s">
        <v>13</v>
      </c>
      <c r="D81" s="44">
        <f>1041.79+68944.49+3111.72</f>
        <v>73098</v>
      </c>
    </row>
    <row r="82" spans="1:4" ht="15.75" thickBot="1" x14ac:dyDescent="0.3">
      <c r="A82" s="24"/>
      <c r="B82" s="25" t="s">
        <v>99</v>
      </c>
      <c r="C82" s="25" t="s">
        <v>13</v>
      </c>
      <c r="D82" s="45">
        <f>2091.49+70972.58</f>
        <v>73064.070000000007</v>
      </c>
    </row>
    <row r="83" spans="1:4" ht="15.75" thickBot="1" x14ac:dyDescent="0.3">
      <c r="A83" s="24"/>
      <c r="B83" s="25" t="s">
        <v>100</v>
      </c>
      <c r="C83" s="25" t="s">
        <v>13</v>
      </c>
      <c r="D83" s="45">
        <f>D81-D82</f>
        <v>33.929999999993015</v>
      </c>
    </row>
    <row r="84" spans="1:4" ht="15.75" thickBot="1" x14ac:dyDescent="0.3">
      <c r="A84" s="24"/>
      <c r="B84" s="25" t="s">
        <v>101</v>
      </c>
      <c r="C84" s="25" t="s">
        <v>13</v>
      </c>
      <c r="D84" s="45">
        <v>97284.05</v>
      </c>
    </row>
    <row r="85" spans="1:4" ht="15.75" thickBot="1" x14ac:dyDescent="0.3">
      <c r="A85" s="24"/>
      <c r="B85" s="25" t="s">
        <v>102</v>
      </c>
      <c r="C85" s="25" t="s">
        <v>13</v>
      </c>
      <c r="D85" s="45">
        <f>D82</f>
        <v>73064.070000000007</v>
      </c>
    </row>
    <row r="86" spans="1:4" ht="15.75" thickBot="1" x14ac:dyDescent="0.3">
      <c r="A86" s="24"/>
      <c r="B86" s="25" t="s">
        <v>103</v>
      </c>
      <c r="C86" s="25" t="s">
        <v>13</v>
      </c>
      <c r="D86" s="45">
        <f>D83</f>
        <v>33.929999999993015</v>
      </c>
    </row>
    <row r="87" spans="1:4" ht="15.75" thickBot="1" x14ac:dyDescent="0.3">
      <c r="A87" s="24"/>
      <c r="B87" s="29" t="s">
        <v>104</v>
      </c>
      <c r="C87" s="25" t="s">
        <v>13</v>
      </c>
      <c r="D87" s="44">
        <v>0</v>
      </c>
    </row>
    <row r="88" spans="1:4" ht="15.75" thickBot="1" x14ac:dyDescent="0.3">
      <c r="A88" s="40" t="s">
        <v>108</v>
      </c>
      <c r="B88" s="41" t="s">
        <v>93</v>
      </c>
      <c r="C88" s="42" t="s">
        <v>47</v>
      </c>
      <c r="D88" s="41" t="s">
        <v>109</v>
      </c>
    </row>
    <row r="89" spans="1:4" ht="15.75" thickBot="1" x14ac:dyDescent="0.3">
      <c r="A89" s="24"/>
      <c r="B89" s="29" t="s">
        <v>95</v>
      </c>
      <c r="C89" s="25" t="s">
        <v>47</v>
      </c>
      <c r="D89" s="29" t="s">
        <v>107</v>
      </c>
    </row>
    <row r="90" spans="1:4" ht="15.75" thickBot="1" x14ac:dyDescent="0.3">
      <c r="A90" s="24"/>
      <c r="B90" s="29" t="s">
        <v>97</v>
      </c>
      <c r="C90" s="25" t="s">
        <v>107</v>
      </c>
      <c r="D90" s="44">
        <v>4591.1522999999997</v>
      </c>
    </row>
    <row r="91" spans="1:4" ht="15.75" thickBot="1" x14ac:dyDescent="0.3">
      <c r="A91" s="24"/>
      <c r="B91" s="29" t="s">
        <v>98</v>
      </c>
      <c r="C91" s="25" t="s">
        <v>13</v>
      </c>
      <c r="D91" s="44">
        <f>321622.45-42521.26+6639.88+19.38</f>
        <v>285760.45</v>
      </c>
    </row>
    <row r="92" spans="1:4" ht="15.75" thickBot="1" x14ac:dyDescent="0.3">
      <c r="A92" s="24"/>
      <c r="B92" s="25" t="s">
        <v>99</v>
      </c>
      <c r="C92" s="25" t="s">
        <v>13</v>
      </c>
      <c r="D92" s="45">
        <f>285820.34+7115.03</f>
        <v>292935.37000000005</v>
      </c>
    </row>
    <row r="93" spans="1:4" ht="15.75" thickBot="1" x14ac:dyDescent="0.3">
      <c r="A93" s="24"/>
      <c r="B93" s="25" t="s">
        <v>100</v>
      </c>
      <c r="C93" s="25" t="s">
        <v>13</v>
      </c>
      <c r="D93" s="45">
        <v>0</v>
      </c>
    </row>
    <row r="94" spans="1:4" ht="15.75" thickBot="1" x14ac:dyDescent="0.3">
      <c r="A94" s="24"/>
      <c r="B94" s="25" t="s">
        <v>101</v>
      </c>
      <c r="C94" s="25" t="s">
        <v>13</v>
      </c>
      <c r="D94" s="45">
        <v>258213.67</v>
      </c>
    </row>
    <row r="95" spans="1:4" ht="15.75" thickBot="1" x14ac:dyDescent="0.3">
      <c r="A95" s="24"/>
      <c r="B95" s="25" t="s">
        <v>102</v>
      </c>
      <c r="C95" s="25" t="s">
        <v>13</v>
      </c>
      <c r="D95" s="45">
        <f>D92</f>
        <v>292935.37000000005</v>
      </c>
    </row>
    <row r="96" spans="1:4" ht="15.75" thickBot="1" x14ac:dyDescent="0.3">
      <c r="A96" s="24"/>
      <c r="B96" s="25" t="s">
        <v>103</v>
      </c>
      <c r="C96" s="25" t="s">
        <v>13</v>
      </c>
      <c r="D96" s="45">
        <v>0</v>
      </c>
    </row>
    <row r="97" spans="1:4" ht="15.75" thickBot="1" x14ac:dyDescent="0.3">
      <c r="A97" s="24"/>
      <c r="B97" s="29" t="s">
        <v>104</v>
      </c>
      <c r="C97" s="25" t="s">
        <v>13</v>
      </c>
      <c r="D97" s="44">
        <v>0</v>
      </c>
    </row>
    <row r="98" spans="1:4" ht="15.75" thickBot="1" x14ac:dyDescent="0.3">
      <c r="A98" s="40" t="s">
        <v>110</v>
      </c>
      <c r="B98" s="41" t="s">
        <v>93</v>
      </c>
      <c r="C98" s="42" t="s">
        <v>47</v>
      </c>
      <c r="D98" s="41" t="s">
        <v>111</v>
      </c>
    </row>
    <row r="99" spans="1:4" ht="15.75" thickBot="1" x14ac:dyDescent="0.3">
      <c r="A99" s="24"/>
      <c r="B99" s="29" t="s">
        <v>95</v>
      </c>
      <c r="C99" s="25" t="s">
        <v>47</v>
      </c>
      <c r="D99" s="29" t="s">
        <v>107</v>
      </c>
    </row>
    <row r="100" spans="1:4" ht="15.75" thickBot="1" x14ac:dyDescent="0.3">
      <c r="A100" s="24"/>
      <c r="B100" s="29" t="s">
        <v>97</v>
      </c>
      <c r="C100" s="25" t="s">
        <v>107</v>
      </c>
      <c r="D100" s="39">
        <v>11366.4954</v>
      </c>
    </row>
    <row r="101" spans="1:4" ht="15.75" thickBot="1" x14ac:dyDescent="0.3">
      <c r="A101" s="24"/>
      <c r="B101" s="29" t="s">
        <v>98</v>
      </c>
      <c r="C101" s="25" t="s">
        <v>13</v>
      </c>
      <c r="D101" s="39">
        <f>119787.68+3218.93</f>
        <v>123006.60999999999</v>
      </c>
    </row>
    <row r="102" spans="1:4" ht="15.75" thickBot="1" x14ac:dyDescent="0.3">
      <c r="A102" s="24"/>
      <c r="B102" s="25" t="s">
        <v>99</v>
      </c>
      <c r="C102" s="25" t="s">
        <v>13</v>
      </c>
      <c r="D102" s="43">
        <v>122111.63</v>
      </c>
    </row>
    <row r="103" spans="1:4" ht="15.75" thickBot="1" x14ac:dyDescent="0.3">
      <c r="A103" s="24"/>
      <c r="B103" s="25" t="s">
        <v>100</v>
      </c>
      <c r="C103" s="25" t="s">
        <v>13</v>
      </c>
      <c r="D103" s="43">
        <f>D101-D102</f>
        <v>894.97999999998137</v>
      </c>
    </row>
    <row r="104" spans="1:4" ht="15.75" thickBot="1" x14ac:dyDescent="0.3">
      <c r="A104" s="24"/>
      <c r="B104" s="25" t="s">
        <v>101</v>
      </c>
      <c r="C104" s="25" t="s">
        <v>13</v>
      </c>
      <c r="D104" s="43">
        <v>143339.57999999999</v>
      </c>
    </row>
    <row r="105" spans="1:4" ht="15.75" thickBot="1" x14ac:dyDescent="0.3">
      <c r="A105" s="24"/>
      <c r="B105" s="25" t="s">
        <v>102</v>
      </c>
      <c r="C105" s="25" t="s">
        <v>13</v>
      </c>
      <c r="D105" s="43">
        <f>D102</f>
        <v>122111.63</v>
      </c>
    </row>
    <row r="106" spans="1:4" ht="15.75" thickBot="1" x14ac:dyDescent="0.3">
      <c r="A106" s="24"/>
      <c r="B106" s="25" t="s">
        <v>103</v>
      </c>
      <c r="C106" s="25" t="s">
        <v>13</v>
      </c>
      <c r="D106" s="43">
        <f>D103</f>
        <v>894.97999999998137</v>
      </c>
    </row>
    <row r="107" spans="1:4" ht="15.75" thickBot="1" x14ac:dyDescent="0.3">
      <c r="A107" s="24"/>
      <c r="B107" s="29" t="s">
        <v>104</v>
      </c>
      <c r="C107" s="25" t="s">
        <v>13</v>
      </c>
      <c r="D107" s="39">
        <v>0</v>
      </c>
    </row>
    <row r="108" spans="1:4" x14ac:dyDescent="0.25">
      <c r="A108" s="46"/>
      <c r="B108" s="47"/>
      <c r="C108" s="48"/>
      <c r="D108" s="49"/>
    </row>
    <row r="109" spans="1:4" ht="15.75" thickBot="1" x14ac:dyDescent="0.3">
      <c r="A109" s="8" t="s">
        <v>112</v>
      </c>
      <c r="B109" s="2"/>
      <c r="C109" s="2"/>
      <c r="D109" s="2"/>
    </row>
    <row r="110" spans="1:4" ht="15.75" thickBot="1" x14ac:dyDescent="0.3">
      <c r="A110" s="22" t="s">
        <v>113</v>
      </c>
      <c r="B110" s="33" t="s">
        <v>73</v>
      </c>
      <c r="C110" s="32" t="s">
        <v>114</v>
      </c>
      <c r="D110" s="33">
        <v>0</v>
      </c>
    </row>
    <row r="111" spans="1:4" ht="15.75" thickBot="1" x14ac:dyDescent="0.3">
      <c r="A111" s="24" t="s">
        <v>115</v>
      </c>
      <c r="B111" s="29" t="s">
        <v>75</v>
      </c>
      <c r="C111" s="25" t="s">
        <v>114</v>
      </c>
      <c r="D111" s="29">
        <v>0</v>
      </c>
    </row>
    <row r="112" spans="1:4" ht="15.75" thickBot="1" x14ac:dyDescent="0.3">
      <c r="A112" s="24" t="s">
        <v>116</v>
      </c>
      <c r="B112" s="29" t="s">
        <v>77</v>
      </c>
      <c r="C112" s="25" t="s">
        <v>114</v>
      </c>
      <c r="D112" s="29">
        <v>0</v>
      </c>
    </row>
    <row r="113" spans="1:4" ht="15.75" thickBot="1" x14ac:dyDescent="0.3">
      <c r="A113" s="24" t="s">
        <v>117</v>
      </c>
      <c r="B113" s="29" t="s">
        <v>79</v>
      </c>
      <c r="C113" s="25" t="s">
        <v>13</v>
      </c>
      <c r="D113" s="39">
        <v>0</v>
      </c>
    </row>
    <row r="114" spans="1:4" x14ac:dyDescent="0.25">
      <c r="A114" s="2"/>
      <c r="B114" s="2"/>
      <c r="C114" s="2"/>
      <c r="D114" s="2"/>
    </row>
    <row r="115" spans="1:4" ht="15.75" thickBot="1" x14ac:dyDescent="0.3">
      <c r="A115" s="8" t="s">
        <v>118</v>
      </c>
      <c r="B115" s="2"/>
      <c r="C115" s="2"/>
      <c r="D115" s="2"/>
    </row>
    <row r="116" spans="1:4" ht="15.75" thickBot="1" x14ac:dyDescent="0.3">
      <c r="A116" s="34">
        <v>48</v>
      </c>
      <c r="B116" s="33" t="s">
        <v>119</v>
      </c>
      <c r="C116" s="32" t="s">
        <v>114</v>
      </c>
      <c r="D116" s="33">
        <v>2</v>
      </c>
    </row>
    <row r="117" spans="1:4" ht="15.75" thickBot="1" x14ac:dyDescent="0.3">
      <c r="A117" s="50">
        <v>49</v>
      </c>
      <c r="B117" s="29" t="s">
        <v>120</v>
      </c>
      <c r="C117" s="25" t="s">
        <v>114</v>
      </c>
      <c r="D117" s="29">
        <v>1</v>
      </c>
    </row>
    <row r="118" spans="1:4" ht="15.75" thickBot="1" x14ac:dyDescent="0.3">
      <c r="A118" s="51">
        <v>50</v>
      </c>
      <c r="B118" s="52" t="s">
        <v>121</v>
      </c>
      <c r="C118" s="53" t="s">
        <v>13</v>
      </c>
      <c r="D118" s="56">
        <f>29924+27081.61</f>
        <v>57005.61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topLeftCell="A25" workbookViewId="0">
      <selection activeCell="D80" sqref="D80"/>
    </sheetView>
  </sheetViews>
  <sheetFormatPr defaultRowHeight="15" x14ac:dyDescent="0.25"/>
  <cols>
    <col min="2" max="2" width="73.28515625" customWidth="1"/>
    <col min="3" max="3" width="14.140625" customWidth="1"/>
    <col min="4" max="4" width="64.71093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269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270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90080.14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90080.14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771050.52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434169</f>
        <v>434169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179067.96</f>
        <v>179067.96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774537.38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433190.55+180966.3+160380.53</f>
        <v>774537.38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D20-D15</f>
        <v>684457.24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353519.84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353519.84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272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273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65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274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178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70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3811171757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271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151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65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3827043895</v>
      </c>
    </row>
    <row r="64" spans="1:4" ht="15.75" thickBot="1" x14ac:dyDescent="0.3">
      <c r="A64" s="24" t="s">
        <v>64</v>
      </c>
      <c r="B64" s="27" t="s">
        <v>46</v>
      </c>
      <c r="C64" s="27" t="s">
        <v>47</v>
      </c>
      <c r="D64" s="28" t="s">
        <v>275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276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65</v>
      </c>
    </row>
    <row r="67" spans="1:4" ht="15.75" thickBot="1" x14ac:dyDescent="0.3">
      <c r="A67" s="24"/>
      <c r="B67" s="25" t="s">
        <v>53</v>
      </c>
      <c r="C67" s="25" t="s">
        <v>47</v>
      </c>
      <c r="D67" s="30">
        <v>3810333490</v>
      </c>
    </row>
    <row r="68" spans="1:4" x14ac:dyDescent="0.25">
      <c r="A68" s="2"/>
      <c r="B68" s="2"/>
      <c r="C68" s="2"/>
      <c r="D68" s="2"/>
    </row>
    <row r="69" spans="1:4" ht="15.75" thickBot="1" x14ac:dyDescent="0.3">
      <c r="A69" s="8" t="s">
        <v>71</v>
      </c>
      <c r="B69" s="2"/>
      <c r="C69" s="2"/>
      <c r="D69" s="2"/>
    </row>
    <row r="70" spans="1:4" ht="15.75" thickBot="1" x14ac:dyDescent="0.3">
      <c r="A70" s="22" t="s">
        <v>72</v>
      </c>
      <c r="B70" s="32" t="s">
        <v>73</v>
      </c>
      <c r="C70" s="32" t="s">
        <v>47</v>
      </c>
      <c r="D70" s="33">
        <v>0</v>
      </c>
    </row>
    <row r="71" spans="1:4" ht="15.75" thickBot="1" x14ac:dyDescent="0.3">
      <c r="A71" s="24" t="s">
        <v>74</v>
      </c>
      <c r="B71" s="25" t="s">
        <v>75</v>
      </c>
      <c r="C71" s="25" t="s">
        <v>47</v>
      </c>
      <c r="D71" s="29">
        <v>0</v>
      </c>
    </row>
    <row r="72" spans="1:4" ht="15.75" thickBot="1" x14ac:dyDescent="0.3">
      <c r="A72" s="24" t="s">
        <v>76</v>
      </c>
      <c r="B72" s="25" t="s">
        <v>77</v>
      </c>
      <c r="C72" s="25" t="s">
        <v>47</v>
      </c>
      <c r="D72" s="29">
        <v>0</v>
      </c>
    </row>
    <row r="73" spans="1:4" ht="15.75" thickBot="1" x14ac:dyDescent="0.3">
      <c r="A73" s="22" t="s">
        <v>78</v>
      </c>
      <c r="B73" s="34" t="s">
        <v>79</v>
      </c>
      <c r="C73" s="34" t="s">
        <v>13</v>
      </c>
      <c r="D73" s="35">
        <v>0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80</v>
      </c>
      <c r="B75" s="2"/>
      <c r="C75" s="2"/>
      <c r="D75" s="2"/>
    </row>
    <row r="76" spans="1:4" ht="15.75" thickBot="1" x14ac:dyDescent="0.3">
      <c r="A76" s="36" t="s">
        <v>81</v>
      </c>
      <c r="B76" s="33" t="s">
        <v>82</v>
      </c>
      <c r="C76" s="32" t="s">
        <v>13</v>
      </c>
      <c r="D76" s="37">
        <f>D78+D77</f>
        <v>15028.579999999994</v>
      </c>
    </row>
    <row r="77" spans="1:4" ht="15.75" thickBot="1" x14ac:dyDescent="0.3">
      <c r="A77" s="38" t="s">
        <v>83</v>
      </c>
      <c r="B77" s="25" t="s">
        <v>84</v>
      </c>
      <c r="C77" s="25" t="s">
        <v>13</v>
      </c>
      <c r="D77" s="39">
        <f>-(24236.38+1587.11+2944.54+2102.13+352.47+2821.97)</f>
        <v>-34044.600000000006</v>
      </c>
    </row>
    <row r="78" spans="1:4" ht="15.75" thickBot="1" x14ac:dyDescent="0.3">
      <c r="A78" s="38" t="s">
        <v>85</v>
      </c>
      <c r="B78" s="25" t="s">
        <v>86</v>
      </c>
      <c r="C78" s="25" t="s">
        <v>13</v>
      </c>
      <c r="D78" s="39">
        <f>11991.82+4226.27+24044.94+7726.46+121.18+962.51</f>
        <v>49073.18</v>
      </c>
    </row>
    <row r="79" spans="1:4" ht="15.75" thickBot="1" x14ac:dyDescent="0.3">
      <c r="A79" s="38" t="s">
        <v>87</v>
      </c>
      <c r="B79" s="29" t="s">
        <v>88</v>
      </c>
      <c r="C79" s="25" t="s">
        <v>13</v>
      </c>
      <c r="D79" s="39">
        <f>D81+D80</f>
        <v>177329.48999999993</v>
      </c>
    </row>
    <row r="80" spans="1:4" ht="15.75" thickBot="1" x14ac:dyDescent="0.3">
      <c r="A80" s="38" t="s">
        <v>89</v>
      </c>
      <c r="B80" s="25" t="s">
        <v>84</v>
      </c>
      <c r="C80" s="25" t="s">
        <v>13</v>
      </c>
      <c r="D80" s="39">
        <f>-(753.23+3010.29+997.78+2274.18+3464.25)</f>
        <v>-10499.73</v>
      </c>
    </row>
    <row r="81" spans="1:4" ht="15.75" thickBot="1" x14ac:dyDescent="0.3">
      <c r="A81" s="38" t="s">
        <v>90</v>
      </c>
      <c r="B81" s="25" t="s">
        <v>86</v>
      </c>
      <c r="C81" s="25" t="s">
        <v>13</v>
      </c>
      <c r="D81" s="39">
        <f>149647.58+2076.58+27046.69+8994.55+7.11+56.71</f>
        <v>187829.21999999994</v>
      </c>
    </row>
    <row r="82" spans="1:4" x14ac:dyDescent="0.25">
      <c r="A82" s="2"/>
      <c r="B82" s="2"/>
      <c r="C82" s="2"/>
      <c r="D82" s="2"/>
    </row>
    <row r="83" spans="1:4" ht="15.75" thickBot="1" x14ac:dyDescent="0.3">
      <c r="A83" s="8" t="s">
        <v>91</v>
      </c>
      <c r="B83" s="2"/>
      <c r="C83" s="2"/>
      <c r="D83" s="2"/>
    </row>
    <row r="84" spans="1:4" ht="15.75" thickBot="1" x14ac:dyDescent="0.3">
      <c r="A84" s="40" t="s">
        <v>92</v>
      </c>
      <c r="B84" s="41" t="s">
        <v>93</v>
      </c>
      <c r="C84" s="42" t="s">
        <v>47</v>
      </c>
      <c r="D84" s="41" t="s">
        <v>94</v>
      </c>
    </row>
    <row r="85" spans="1:4" ht="15.75" thickBot="1" x14ac:dyDescent="0.3">
      <c r="A85" s="24"/>
      <c r="B85" s="29" t="s">
        <v>95</v>
      </c>
      <c r="C85" s="25" t="s">
        <v>47</v>
      </c>
      <c r="D85" s="29" t="s">
        <v>96</v>
      </c>
    </row>
    <row r="86" spans="1:4" ht="15.75" thickBot="1" x14ac:dyDescent="0.3">
      <c r="A86" s="24"/>
      <c r="B86" s="29" t="s">
        <v>97</v>
      </c>
      <c r="C86" s="25" t="s">
        <v>96</v>
      </c>
      <c r="D86" s="39">
        <v>550.13409999999999</v>
      </c>
    </row>
    <row r="87" spans="1:4" ht="15.75" thickBot="1" x14ac:dyDescent="0.3">
      <c r="A87" s="24"/>
      <c r="B87" s="29" t="s">
        <v>98</v>
      </c>
      <c r="C87" s="25" t="s">
        <v>13</v>
      </c>
      <c r="D87" s="39">
        <f>552040.8+819.88</f>
        <v>552860.68000000005</v>
      </c>
    </row>
    <row r="88" spans="1:4" ht="15.75" thickBot="1" x14ac:dyDescent="0.3">
      <c r="A88" s="24"/>
      <c r="B88" s="25" t="s">
        <v>99</v>
      </c>
      <c r="C88" s="25" t="s">
        <v>13</v>
      </c>
      <c r="D88" s="43">
        <v>391721.77</v>
      </c>
    </row>
    <row r="89" spans="1:4" ht="15.75" thickBot="1" x14ac:dyDescent="0.3">
      <c r="A89" s="24"/>
      <c r="B89" s="25" t="s">
        <v>100</v>
      </c>
      <c r="C89" s="25" t="s">
        <v>13</v>
      </c>
      <c r="D89" s="43">
        <f>D87-D88</f>
        <v>161138.91000000003</v>
      </c>
    </row>
    <row r="90" spans="1:4" ht="15.75" thickBot="1" x14ac:dyDescent="0.3">
      <c r="A90" s="24"/>
      <c r="B90" s="25" t="s">
        <v>101</v>
      </c>
      <c r="C90" s="25" t="s">
        <v>13</v>
      </c>
      <c r="D90" s="43">
        <v>552040.43000000005</v>
      </c>
    </row>
    <row r="91" spans="1:4" ht="15.75" thickBot="1" x14ac:dyDescent="0.3">
      <c r="A91" s="24"/>
      <c r="B91" s="25" t="s">
        <v>102</v>
      </c>
      <c r="C91" s="25" t="s">
        <v>13</v>
      </c>
      <c r="D91" s="43">
        <f>D88</f>
        <v>391721.77</v>
      </c>
    </row>
    <row r="92" spans="1:4" ht="15.75" thickBot="1" x14ac:dyDescent="0.3">
      <c r="A92" s="24"/>
      <c r="B92" s="25" t="s">
        <v>103</v>
      </c>
      <c r="C92" s="25" t="s">
        <v>13</v>
      </c>
      <c r="D92" s="43">
        <f>D89</f>
        <v>161138.91000000003</v>
      </c>
    </row>
    <row r="93" spans="1:4" ht="15.75" thickBot="1" x14ac:dyDescent="0.3">
      <c r="A93" s="24"/>
      <c r="B93" s="29" t="s">
        <v>104</v>
      </c>
      <c r="C93" s="25" t="s">
        <v>13</v>
      </c>
      <c r="D93" s="39">
        <v>0</v>
      </c>
    </row>
    <row r="94" spans="1:4" ht="15.75" thickBot="1" x14ac:dyDescent="0.3">
      <c r="A94" s="40" t="s">
        <v>105</v>
      </c>
      <c r="B94" s="41" t="s">
        <v>93</v>
      </c>
      <c r="C94" s="42" t="s">
        <v>47</v>
      </c>
      <c r="D94" s="41" t="s">
        <v>106</v>
      </c>
    </row>
    <row r="95" spans="1:4" ht="15.75" thickBot="1" x14ac:dyDescent="0.3">
      <c r="A95" s="24"/>
      <c r="B95" s="29" t="s">
        <v>95</v>
      </c>
      <c r="C95" s="25" t="s">
        <v>47</v>
      </c>
      <c r="D95" s="29" t="s">
        <v>107</v>
      </c>
    </row>
    <row r="96" spans="1:4" ht="15.75" thickBot="1" x14ac:dyDescent="0.3">
      <c r="A96" s="24"/>
      <c r="B96" s="29" t="s">
        <v>97</v>
      </c>
      <c r="C96" s="25" t="s">
        <v>107</v>
      </c>
      <c r="D96" s="44">
        <v>5233.4790000000003</v>
      </c>
    </row>
    <row r="97" spans="1:4" ht="15.75" thickBot="1" x14ac:dyDescent="0.3">
      <c r="A97" s="24"/>
      <c r="B97" s="29" t="s">
        <v>98</v>
      </c>
      <c r="C97" s="25" t="s">
        <v>13</v>
      </c>
      <c r="D97" s="44">
        <f>551.92+66539.19-8315.07</f>
        <v>58776.04</v>
      </c>
    </row>
    <row r="98" spans="1:4" ht="15.75" thickBot="1" x14ac:dyDescent="0.3">
      <c r="A98" s="24"/>
      <c r="B98" s="25" t="s">
        <v>99</v>
      </c>
      <c r="C98" s="25" t="s">
        <v>13</v>
      </c>
      <c r="D98" s="45">
        <f>2587.7+61796.99</f>
        <v>64384.689999999995</v>
      </c>
    </row>
    <row r="99" spans="1:4" ht="15.75" thickBot="1" x14ac:dyDescent="0.3">
      <c r="A99" s="24"/>
      <c r="B99" s="25" t="s">
        <v>100</v>
      </c>
      <c r="C99" s="25" t="s">
        <v>13</v>
      </c>
      <c r="D99" s="45">
        <v>0</v>
      </c>
    </row>
    <row r="100" spans="1:4" ht="15.75" thickBot="1" x14ac:dyDescent="0.3">
      <c r="A100" s="24"/>
      <c r="B100" s="25" t="s">
        <v>101</v>
      </c>
      <c r="C100" s="25" t="s">
        <v>13</v>
      </c>
      <c r="D100" s="45">
        <v>60254.38</v>
      </c>
    </row>
    <row r="101" spans="1:4" ht="15.75" thickBot="1" x14ac:dyDescent="0.3">
      <c r="A101" s="24"/>
      <c r="B101" s="25" t="s">
        <v>102</v>
      </c>
      <c r="C101" s="25" t="s">
        <v>13</v>
      </c>
      <c r="D101" s="45">
        <f>D98</f>
        <v>64384.689999999995</v>
      </c>
    </row>
    <row r="102" spans="1:4" ht="15.75" thickBot="1" x14ac:dyDescent="0.3">
      <c r="A102" s="24"/>
      <c r="B102" s="25" t="s">
        <v>103</v>
      </c>
      <c r="C102" s="25" t="s">
        <v>13</v>
      </c>
      <c r="D102" s="45">
        <v>0</v>
      </c>
    </row>
    <row r="103" spans="1:4" ht="15.75" thickBot="1" x14ac:dyDescent="0.3">
      <c r="A103" s="24"/>
      <c r="B103" s="29" t="s">
        <v>104</v>
      </c>
      <c r="C103" s="25" t="s">
        <v>13</v>
      </c>
      <c r="D103" s="44">
        <v>0</v>
      </c>
    </row>
    <row r="104" spans="1:4" ht="15.75" thickBot="1" x14ac:dyDescent="0.3">
      <c r="A104" s="40" t="s">
        <v>108</v>
      </c>
      <c r="B104" s="41" t="s">
        <v>93</v>
      </c>
      <c r="C104" s="42" t="s">
        <v>47</v>
      </c>
      <c r="D104" s="41" t="s">
        <v>109</v>
      </c>
    </row>
    <row r="105" spans="1:4" ht="15.75" thickBot="1" x14ac:dyDescent="0.3">
      <c r="A105" s="24"/>
      <c r="B105" s="29" t="s">
        <v>95</v>
      </c>
      <c r="C105" s="25" t="s">
        <v>47</v>
      </c>
      <c r="D105" s="29" t="s">
        <v>107</v>
      </c>
    </row>
    <row r="106" spans="1:4" ht="15.75" thickBot="1" x14ac:dyDescent="0.3">
      <c r="A106" s="24"/>
      <c r="B106" s="29" t="s">
        <v>97</v>
      </c>
      <c r="C106" s="25" t="s">
        <v>107</v>
      </c>
      <c r="D106" s="44">
        <v>3075.5967999999998</v>
      </c>
    </row>
    <row r="107" spans="1:4" ht="15.75" thickBot="1" x14ac:dyDescent="0.3">
      <c r="A107" s="24"/>
      <c r="B107" s="29" t="s">
        <v>98</v>
      </c>
      <c r="C107" s="25" t="s">
        <v>13</v>
      </c>
      <c r="D107" s="44">
        <f>254976.84-12380.25+4396.05</f>
        <v>246992.63999999998</v>
      </c>
    </row>
    <row r="108" spans="1:4" ht="15.75" thickBot="1" x14ac:dyDescent="0.3">
      <c r="A108" s="24"/>
      <c r="B108" s="25" t="s">
        <v>99</v>
      </c>
      <c r="C108" s="25" t="s">
        <v>13</v>
      </c>
      <c r="D108" s="45">
        <f>236650.3+5944.13</f>
        <v>242594.43</v>
      </c>
    </row>
    <row r="109" spans="1:4" ht="15.75" thickBot="1" x14ac:dyDescent="0.3">
      <c r="A109" s="24"/>
      <c r="B109" s="25" t="s">
        <v>100</v>
      </c>
      <c r="C109" s="25" t="s">
        <v>13</v>
      </c>
      <c r="D109" s="45">
        <f>D107-D108</f>
        <v>4398.2099999999919</v>
      </c>
    </row>
    <row r="110" spans="1:4" ht="15.75" thickBot="1" x14ac:dyDescent="0.3">
      <c r="A110" s="24"/>
      <c r="B110" s="25" t="s">
        <v>101</v>
      </c>
      <c r="C110" s="25" t="s">
        <v>13</v>
      </c>
      <c r="D110" s="45">
        <v>248557.55</v>
      </c>
    </row>
    <row r="111" spans="1:4" ht="15.75" thickBot="1" x14ac:dyDescent="0.3">
      <c r="A111" s="24"/>
      <c r="B111" s="25" t="s">
        <v>102</v>
      </c>
      <c r="C111" s="25" t="s">
        <v>13</v>
      </c>
      <c r="D111" s="45">
        <f>D108</f>
        <v>242594.43</v>
      </c>
    </row>
    <row r="112" spans="1:4" ht="15.75" thickBot="1" x14ac:dyDescent="0.3">
      <c r="A112" s="24"/>
      <c r="B112" s="25" t="s">
        <v>103</v>
      </c>
      <c r="C112" s="25" t="s">
        <v>13</v>
      </c>
      <c r="D112" s="45">
        <f>D109</f>
        <v>4398.2099999999919</v>
      </c>
    </row>
    <row r="113" spans="1:4" ht="15.75" thickBot="1" x14ac:dyDescent="0.3">
      <c r="A113" s="24"/>
      <c r="B113" s="29" t="s">
        <v>104</v>
      </c>
      <c r="C113" s="25" t="s">
        <v>13</v>
      </c>
      <c r="D113" s="44">
        <v>0</v>
      </c>
    </row>
    <row r="114" spans="1:4" ht="15.75" thickBot="1" x14ac:dyDescent="0.3">
      <c r="A114" s="40" t="s">
        <v>110</v>
      </c>
      <c r="B114" s="41" t="s">
        <v>93</v>
      </c>
      <c r="C114" s="42" t="s">
        <v>47</v>
      </c>
      <c r="D114" s="41" t="s">
        <v>111</v>
      </c>
    </row>
    <row r="115" spans="1:4" ht="15.75" thickBot="1" x14ac:dyDescent="0.3">
      <c r="A115" s="24"/>
      <c r="B115" s="29" t="s">
        <v>95</v>
      </c>
      <c r="C115" s="25" t="s">
        <v>47</v>
      </c>
      <c r="D115" s="29" t="s">
        <v>107</v>
      </c>
    </row>
    <row r="116" spans="1:4" ht="15.75" thickBot="1" x14ac:dyDescent="0.3">
      <c r="A116" s="24"/>
      <c r="B116" s="29" t="s">
        <v>97</v>
      </c>
      <c r="C116" s="25" t="s">
        <v>107</v>
      </c>
      <c r="D116" s="39">
        <v>8297.0712999999996</v>
      </c>
    </row>
    <row r="117" spans="1:4" ht="15.75" thickBot="1" x14ac:dyDescent="0.3">
      <c r="A117" s="24"/>
      <c r="B117" s="29" t="s">
        <v>98</v>
      </c>
      <c r="C117" s="25" t="s">
        <v>13</v>
      </c>
      <c r="D117" s="39">
        <f>87497.56-1694.1</f>
        <v>85803.459999999992</v>
      </c>
    </row>
    <row r="118" spans="1:4" ht="15.75" thickBot="1" x14ac:dyDescent="0.3">
      <c r="A118" s="24"/>
      <c r="B118" s="25" t="s">
        <v>99</v>
      </c>
      <c r="C118" s="25" t="s">
        <v>13</v>
      </c>
      <c r="D118" s="43">
        <v>83431.02</v>
      </c>
    </row>
    <row r="119" spans="1:4" ht="15.75" thickBot="1" x14ac:dyDescent="0.3">
      <c r="A119" s="24"/>
      <c r="B119" s="25" t="s">
        <v>100</v>
      </c>
      <c r="C119" s="25" t="s">
        <v>13</v>
      </c>
      <c r="D119" s="43">
        <f>D117-D118</f>
        <v>2372.4399999999878</v>
      </c>
    </row>
    <row r="120" spans="1:4" ht="15.75" thickBot="1" x14ac:dyDescent="0.3">
      <c r="A120" s="24"/>
      <c r="B120" s="25" t="s">
        <v>101</v>
      </c>
      <c r="C120" s="25" t="s">
        <v>13</v>
      </c>
      <c r="D120" s="43">
        <v>94089.62</v>
      </c>
    </row>
    <row r="121" spans="1:4" ht="15.75" thickBot="1" x14ac:dyDescent="0.3">
      <c r="A121" s="24"/>
      <c r="B121" s="25" t="s">
        <v>102</v>
      </c>
      <c r="C121" s="25" t="s">
        <v>13</v>
      </c>
      <c r="D121" s="43">
        <f>D118</f>
        <v>83431.02</v>
      </c>
    </row>
    <row r="122" spans="1:4" ht="15.75" thickBot="1" x14ac:dyDescent="0.3">
      <c r="A122" s="24"/>
      <c r="B122" s="25" t="s">
        <v>103</v>
      </c>
      <c r="C122" s="25" t="s">
        <v>13</v>
      </c>
      <c r="D122" s="43">
        <f>D119</f>
        <v>2372.4399999999878</v>
      </c>
    </row>
    <row r="123" spans="1:4" ht="15.75" thickBot="1" x14ac:dyDescent="0.3">
      <c r="A123" s="24"/>
      <c r="B123" s="29" t="s">
        <v>104</v>
      </c>
      <c r="C123" s="25" t="s">
        <v>13</v>
      </c>
      <c r="D123" s="39">
        <v>0</v>
      </c>
    </row>
    <row r="124" spans="1:4" x14ac:dyDescent="0.25">
      <c r="A124" s="46"/>
      <c r="B124" s="47"/>
      <c r="C124" s="48"/>
      <c r="D124" s="49"/>
    </row>
    <row r="125" spans="1:4" ht="15.75" thickBot="1" x14ac:dyDescent="0.3">
      <c r="A125" s="8" t="s">
        <v>112</v>
      </c>
      <c r="B125" s="2"/>
      <c r="C125" s="2"/>
      <c r="D125" s="2"/>
    </row>
    <row r="126" spans="1:4" ht="15.75" thickBot="1" x14ac:dyDescent="0.3">
      <c r="A126" s="22" t="s">
        <v>113</v>
      </c>
      <c r="B126" s="33" t="s">
        <v>73</v>
      </c>
      <c r="C126" s="32" t="s">
        <v>114</v>
      </c>
      <c r="D126" s="33">
        <v>0</v>
      </c>
    </row>
    <row r="127" spans="1:4" ht="15.75" thickBot="1" x14ac:dyDescent="0.3">
      <c r="A127" s="24" t="s">
        <v>115</v>
      </c>
      <c r="B127" s="29" t="s">
        <v>75</v>
      </c>
      <c r="C127" s="25" t="s">
        <v>114</v>
      </c>
      <c r="D127" s="29">
        <v>0</v>
      </c>
    </row>
    <row r="128" spans="1:4" ht="15.75" thickBot="1" x14ac:dyDescent="0.3">
      <c r="A128" s="24" t="s">
        <v>116</v>
      </c>
      <c r="B128" s="29" t="s">
        <v>77</v>
      </c>
      <c r="C128" s="25" t="s">
        <v>114</v>
      </c>
      <c r="D128" s="29">
        <v>0</v>
      </c>
    </row>
    <row r="129" spans="1:4" ht="15.75" thickBot="1" x14ac:dyDescent="0.3">
      <c r="A129" s="24" t="s">
        <v>117</v>
      </c>
      <c r="B129" s="29" t="s">
        <v>79</v>
      </c>
      <c r="C129" s="25" t="s">
        <v>13</v>
      </c>
      <c r="D129" s="39">
        <v>0</v>
      </c>
    </row>
    <row r="130" spans="1:4" x14ac:dyDescent="0.25">
      <c r="A130" s="2"/>
      <c r="B130" s="2"/>
      <c r="C130" s="2"/>
      <c r="D130" s="2"/>
    </row>
    <row r="131" spans="1:4" ht="15.75" thickBot="1" x14ac:dyDescent="0.3">
      <c r="A131" s="8" t="s">
        <v>118</v>
      </c>
      <c r="B131" s="2"/>
      <c r="C131" s="2"/>
      <c r="D131" s="2"/>
    </row>
    <row r="132" spans="1:4" ht="15.75" thickBot="1" x14ac:dyDescent="0.3">
      <c r="A132" s="34">
        <v>48</v>
      </c>
      <c r="B132" s="33" t="s">
        <v>119</v>
      </c>
      <c r="C132" s="32" t="s">
        <v>114</v>
      </c>
      <c r="D132" s="33">
        <v>0</v>
      </c>
    </row>
    <row r="133" spans="1:4" ht="15.75" thickBot="1" x14ac:dyDescent="0.3">
      <c r="A133" s="50">
        <v>49</v>
      </c>
      <c r="B133" s="29" t="s">
        <v>120</v>
      </c>
      <c r="C133" s="25" t="s">
        <v>114</v>
      </c>
      <c r="D133" s="29">
        <v>1</v>
      </c>
    </row>
    <row r="134" spans="1:4" ht="15.75" thickBot="1" x14ac:dyDescent="0.3">
      <c r="A134" s="51">
        <v>50</v>
      </c>
      <c r="B134" s="52" t="s">
        <v>121</v>
      </c>
      <c r="C134" s="53" t="s">
        <v>13</v>
      </c>
      <c r="D134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topLeftCell="A97" workbookViewId="0">
      <selection activeCell="D80" sqref="D80"/>
    </sheetView>
  </sheetViews>
  <sheetFormatPr defaultRowHeight="15" x14ac:dyDescent="0.25"/>
  <cols>
    <col min="2" max="2" width="72.42578125" customWidth="1"/>
    <col min="3" max="3" width="14.85546875" customWidth="1"/>
    <col min="4" max="4" width="64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277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278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116073.41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116073.41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691336.98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506498.48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153047+20541.5</f>
        <v>173588.5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653781.77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479377.59+144987.9+19216.28</f>
        <v>643581.77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10200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D20+D14</f>
        <v>769855.18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27297.38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27297.38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0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134</v>
      </c>
    </row>
    <row r="54" spans="1:4" ht="15.75" thickBot="1" x14ac:dyDescent="0.3">
      <c r="A54" s="24"/>
      <c r="B54" s="25" t="s">
        <v>51</v>
      </c>
      <c r="C54" s="25" t="s">
        <v>47</v>
      </c>
      <c r="D54" s="55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68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279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151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65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3827043895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132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133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3808170471</v>
      </c>
    </row>
    <row r="64" spans="1:4" ht="15.75" thickBot="1" x14ac:dyDescent="0.3">
      <c r="A64" s="24" t="s">
        <v>64</v>
      </c>
      <c r="B64" s="27" t="s">
        <v>46</v>
      </c>
      <c r="C64" s="27" t="s">
        <v>47</v>
      </c>
      <c r="D64" s="28" t="s">
        <v>280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281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65</v>
      </c>
    </row>
    <row r="67" spans="1:4" ht="15.75" thickBot="1" x14ac:dyDescent="0.3">
      <c r="A67" s="24"/>
      <c r="B67" s="25" t="s">
        <v>53</v>
      </c>
      <c r="C67" s="25" t="s">
        <v>47</v>
      </c>
      <c r="D67" s="30"/>
    </row>
    <row r="68" spans="1:4" x14ac:dyDescent="0.25">
      <c r="A68" s="2"/>
      <c r="B68" s="2"/>
      <c r="C68" s="2"/>
      <c r="D68" s="2"/>
    </row>
    <row r="69" spans="1:4" ht="15.75" thickBot="1" x14ac:dyDescent="0.3">
      <c r="A69" s="8" t="s">
        <v>71</v>
      </c>
      <c r="B69" s="2"/>
      <c r="C69" s="2"/>
      <c r="D69" s="2"/>
    </row>
    <row r="70" spans="1:4" ht="15.75" thickBot="1" x14ac:dyDescent="0.3">
      <c r="A70" s="22" t="s">
        <v>72</v>
      </c>
      <c r="B70" s="32" t="s">
        <v>73</v>
      </c>
      <c r="C70" s="32" t="s">
        <v>47</v>
      </c>
      <c r="D70" s="33">
        <v>0</v>
      </c>
    </row>
    <row r="71" spans="1:4" ht="15.75" thickBot="1" x14ac:dyDescent="0.3">
      <c r="A71" s="24" t="s">
        <v>74</v>
      </c>
      <c r="B71" s="25" t="s">
        <v>75</v>
      </c>
      <c r="C71" s="25" t="s">
        <v>47</v>
      </c>
      <c r="D71" s="29">
        <v>0</v>
      </c>
    </row>
    <row r="72" spans="1:4" ht="15.75" thickBot="1" x14ac:dyDescent="0.3">
      <c r="A72" s="24" t="s">
        <v>76</v>
      </c>
      <c r="B72" s="25" t="s">
        <v>77</v>
      </c>
      <c r="C72" s="25" t="s">
        <v>47</v>
      </c>
      <c r="D72" s="29">
        <v>0</v>
      </c>
    </row>
    <row r="73" spans="1:4" ht="15.75" thickBot="1" x14ac:dyDescent="0.3">
      <c r="A73" s="22" t="s">
        <v>78</v>
      </c>
      <c r="B73" s="34" t="s">
        <v>79</v>
      </c>
      <c r="C73" s="34" t="s">
        <v>13</v>
      </c>
      <c r="D73" s="35">
        <v>0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80</v>
      </c>
      <c r="B75" s="2"/>
      <c r="C75" s="2"/>
      <c r="D75" s="2"/>
    </row>
    <row r="76" spans="1:4" ht="15.75" thickBot="1" x14ac:dyDescent="0.3">
      <c r="A76" s="36" t="s">
        <v>81</v>
      </c>
      <c r="B76" s="33" t="s">
        <v>82</v>
      </c>
      <c r="C76" s="32" t="s">
        <v>13</v>
      </c>
      <c r="D76" s="37">
        <f>D78+D77</f>
        <v>46190.979999999996</v>
      </c>
    </row>
    <row r="77" spans="1:4" ht="15.75" thickBot="1" x14ac:dyDescent="0.3">
      <c r="A77" s="38" t="s">
        <v>83</v>
      </c>
      <c r="B77" s="25" t="s">
        <v>84</v>
      </c>
      <c r="C77" s="25" t="s">
        <v>13</v>
      </c>
      <c r="D77" s="39">
        <f>-(55907.99+5333.83+5214.04+4774.89+8.98+62.82)</f>
        <v>-71302.55</v>
      </c>
    </row>
    <row r="78" spans="1:4" ht="15.75" thickBot="1" x14ac:dyDescent="0.3">
      <c r="A78" s="38" t="s">
        <v>85</v>
      </c>
      <c r="B78" s="25" t="s">
        <v>86</v>
      </c>
      <c r="C78" s="25" t="s">
        <v>13</v>
      </c>
      <c r="D78" s="39">
        <f>26429.14+9473.21+58633.82+21802.47+144.55+1010.34</f>
        <v>117493.53</v>
      </c>
    </row>
    <row r="79" spans="1:4" ht="15.75" thickBot="1" x14ac:dyDescent="0.3">
      <c r="A79" s="38" t="s">
        <v>87</v>
      </c>
      <c r="B79" s="29" t="s">
        <v>88</v>
      </c>
      <c r="C79" s="25" t="s">
        <v>13</v>
      </c>
      <c r="D79" s="39">
        <f>D81+D80</f>
        <v>240483.69</v>
      </c>
    </row>
    <row r="80" spans="1:4" ht="15.75" thickBot="1" x14ac:dyDescent="0.3">
      <c r="A80" s="38" t="s">
        <v>89</v>
      </c>
      <c r="B80" s="25" t="s">
        <v>84</v>
      </c>
      <c r="C80" s="25" t="s">
        <v>13</v>
      </c>
      <c r="D80" s="39">
        <f>-(1565.65+421.48+2363.76+3765.86)</f>
        <v>-8116.75</v>
      </c>
    </row>
    <row r="81" spans="1:4" ht="15.75" thickBot="1" x14ac:dyDescent="0.3">
      <c r="A81" s="38" t="s">
        <v>90</v>
      </c>
      <c r="B81" s="25" t="s">
        <v>86</v>
      </c>
      <c r="C81" s="25" t="s">
        <v>13</v>
      </c>
      <c r="D81" s="39">
        <f>137172.64+13026.91+73360.5+25002.58+4.7+33.11</f>
        <v>248600.44</v>
      </c>
    </row>
    <row r="82" spans="1:4" x14ac:dyDescent="0.25">
      <c r="A82" s="2"/>
      <c r="B82" s="2"/>
      <c r="C82" s="2"/>
      <c r="D82" s="2"/>
    </row>
    <row r="83" spans="1:4" ht="15.75" thickBot="1" x14ac:dyDescent="0.3">
      <c r="A83" s="8" t="s">
        <v>91</v>
      </c>
      <c r="B83" s="2"/>
      <c r="C83" s="2"/>
      <c r="D83" s="2"/>
    </row>
    <row r="84" spans="1:4" ht="15.75" thickBot="1" x14ac:dyDescent="0.3">
      <c r="A84" s="40" t="s">
        <v>92</v>
      </c>
      <c r="B84" s="41" t="s">
        <v>93</v>
      </c>
      <c r="C84" s="42" t="s">
        <v>47</v>
      </c>
      <c r="D84" s="41" t="s">
        <v>94</v>
      </c>
    </row>
    <row r="85" spans="1:4" ht="15.75" thickBot="1" x14ac:dyDescent="0.3">
      <c r="A85" s="24"/>
      <c r="B85" s="29" t="s">
        <v>95</v>
      </c>
      <c r="C85" s="25" t="s">
        <v>47</v>
      </c>
      <c r="D85" s="29" t="s">
        <v>96</v>
      </c>
    </row>
    <row r="86" spans="1:4" ht="15.75" thickBot="1" x14ac:dyDescent="0.3">
      <c r="A86" s="24"/>
      <c r="B86" s="29" t="s">
        <v>97</v>
      </c>
      <c r="C86" s="25" t="s">
        <v>96</v>
      </c>
      <c r="D86" s="39">
        <v>494.13159999999999</v>
      </c>
    </row>
    <row r="87" spans="1:4" ht="15.75" thickBot="1" x14ac:dyDescent="0.3">
      <c r="A87" s="24"/>
      <c r="B87" s="29" t="s">
        <v>98</v>
      </c>
      <c r="C87" s="25" t="s">
        <v>13</v>
      </c>
      <c r="D87" s="39">
        <f>488207+3092.16</f>
        <v>491299.16</v>
      </c>
    </row>
    <row r="88" spans="1:4" ht="15.75" thickBot="1" x14ac:dyDescent="0.3">
      <c r="A88" s="24"/>
      <c r="B88" s="25" t="s">
        <v>99</v>
      </c>
      <c r="C88" s="25" t="s">
        <v>13</v>
      </c>
      <c r="D88" s="43">
        <v>324647.67</v>
      </c>
    </row>
    <row r="89" spans="1:4" ht="15.75" thickBot="1" x14ac:dyDescent="0.3">
      <c r="A89" s="24"/>
      <c r="B89" s="25" t="s">
        <v>100</v>
      </c>
      <c r="C89" s="25" t="s">
        <v>13</v>
      </c>
      <c r="D89" s="43">
        <f>D87-D88</f>
        <v>166651.49</v>
      </c>
    </row>
    <row r="90" spans="1:4" ht="15.75" thickBot="1" x14ac:dyDescent="0.3">
      <c r="A90" s="24"/>
      <c r="B90" s="25" t="s">
        <v>101</v>
      </c>
      <c r="C90" s="25" t="s">
        <v>13</v>
      </c>
      <c r="D90" s="43">
        <v>488204.14</v>
      </c>
    </row>
    <row r="91" spans="1:4" ht="15.75" thickBot="1" x14ac:dyDescent="0.3">
      <c r="A91" s="24"/>
      <c r="B91" s="25" t="s">
        <v>102</v>
      </c>
      <c r="C91" s="25" t="s">
        <v>13</v>
      </c>
      <c r="D91" s="43">
        <f>D88</f>
        <v>324647.67</v>
      </c>
    </row>
    <row r="92" spans="1:4" ht="15.75" thickBot="1" x14ac:dyDescent="0.3">
      <c r="A92" s="24"/>
      <c r="B92" s="25" t="s">
        <v>103</v>
      </c>
      <c r="C92" s="25" t="s">
        <v>13</v>
      </c>
      <c r="D92" s="43">
        <f>D89</f>
        <v>166651.49</v>
      </c>
    </row>
    <row r="93" spans="1:4" ht="15.75" thickBot="1" x14ac:dyDescent="0.3">
      <c r="A93" s="24"/>
      <c r="B93" s="29" t="s">
        <v>104</v>
      </c>
      <c r="C93" s="25" t="s">
        <v>13</v>
      </c>
      <c r="D93" s="39">
        <v>0</v>
      </c>
    </row>
    <row r="94" spans="1:4" ht="15.75" thickBot="1" x14ac:dyDescent="0.3">
      <c r="A94" s="40" t="s">
        <v>105</v>
      </c>
      <c r="B94" s="41" t="s">
        <v>93</v>
      </c>
      <c r="C94" s="42" t="s">
        <v>47</v>
      </c>
      <c r="D94" s="41" t="s">
        <v>106</v>
      </c>
    </row>
    <row r="95" spans="1:4" ht="15.75" thickBot="1" x14ac:dyDescent="0.3">
      <c r="A95" s="24"/>
      <c r="B95" s="29" t="s">
        <v>95</v>
      </c>
      <c r="C95" s="25" t="s">
        <v>47</v>
      </c>
      <c r="D95" s="29" t="s">
        <v>107</v>
      </c>
    </row>
    <row r="96" spans="1:4" ht="15.75" thickBot="1" x14ac:dyDescent="0.3">
      <c r="A96" s="24"/>
      <c r="B96" s="29" t="s">
        <v>97</v>
      </c>
      <c r="C96" s="25" t="s">
        <v>107</v>
      </c>
      <c r="D96" s="44">
        <v>5077.2988999999998</v>
      </c>
    </row>
    <row r="97" spans="1:4" ht="15.75" thickBot="1" x14ac:dyDescent="0.3">
      <c r="A97" s="24"/>
      <c r="B97" s="29" t="s">
        <v>98</v>
      </c>
      <c r="C97" s="25" t="s">
        <v>13</v>
      </c>
      <c r="D97" s="44">
        <f>1082.25+57097.74-776.34</f>
        <v>57403.65</v>
      </c>
    </row>
    <row r="98" spans="1:4" ht="15.75" thickBot="1" x14ac:dyDescent="0.3">
      <c r="A98" s="24"/>
      <c r="B98" s="25" t="s">
        <v>99</v>
      </c>
      <c r="C98" s="25" t="s">
        <v>13</v>
      </c>
      <c r="D98" s="45">
        <f>3576.88+48999.52</f>
        <v>52576.399999999994</v>
      </c>
    </row>
    <row r="99" spans="1:4" ht="15.75" thickBot="1" x14ac:dyDescent="0.3">
      <c r="A99" s="24"/>
      <c r="B99" s="25" t="s">
        <v>100</v>
      </c>
      <c r="C99" s="25" t="s">
        <v>13</v>
      </c>
      <c r="D99" s="45">
        <f>D97-D98</f>
        <v>4827.2500000000073</v>
      </c>
    </row>
    <row r="100" spans="1:4" ht="15.75" thickBot="1" x14ac:dyDescent="0.3">
      <c r="A100" s="24"/>
      <c r="B100" s="25" t="s">
        <v>101</v>
      </c>
      <c r="C100" s="25" t="s">
        <v>13</v>
      </c>
      <c r="D100" s="45">
        <v>126860.14</v>
      </c>
    </row>
    <row r="101" spans="1:4" ht="15.75" thickBot="1" x14ac:dyDescent="0.3">
      <c r="A101" s="24"/>
      <c r="B101" s="25" t="s">
        <v>102</v>
      </c>
      <c r="C101" s="25" t="s">
        <v>13</v>
      </c>
      <c r="D101" s="45">
        <f>D98</f>
        <v>52576.399999999994</v>
      </c>
    </row>
    <row r="102" spans="1:4" ht="15.75" thickBot="1" x14ac:dyDescent="0.3">
      <c r="A102" s="24"/>
      <c r="B102" s="25" t="s">
        <v>103</v>
      </c>
      <c r="C102" s="25" t="s">
        <v>13</v>
      </c>
      <c r="D102" s="45">
        <f>D99</f>
        <v>4827.2500000000073</v>
      </c>
    </row>
    <row r="103" spans="1:4" ht="15.75" thickBot="1" x14ac:dyDescent="0.3">
      <c r="A103" s="24"/>
      <c r="B103" s="29" t="s">
        <v>104</v>
      </c>
      <c r="C103" s="25" t="s">
        <v>13</v>
      </c>
      <c r="D103" s="44">
        <v>0</v>
      </c>
    </row>
    <row r="104" spans="1:4" ht="15.75" thickBot="1" x14ac:dyDescent="0.3">
      <c r="A104" s="40" t="s">
        <v>108</v>
      </c>
      <c r="B104" s="41" t="s">
        <v>93</v>
      </c>
      <c r="C104" s="42" t="s">
        <v>47</v>
      </c>
      <c r="D104" s="41" t="s">
        <v>109</v>
      </c>
    </row>
    <row r="105" spans="1:4" ht="15.75" thickBot="1" x14ac:dyDescent="0.3">
      <c r="A105" s="24"/>
      <c r="B105" s="29" t="s">
        <v>95</v>
      </c>
      <c r="C105" s="25" t="s">
        <v>47</v>
      </c>
      <c r="D105" s="29" t="s">
        <v>107</v>
      </c>
    </row>
    <row r="106" spans="1:4" ht="15.75" thickBot="1" x14ac:dyDescent="0.3">
      <c r="A106" s="24"/>
      <c r="B106" s="29" t="s">
        <v>97</v>
      </c>
      <c r="C106" s="25" t="s">
        <v>107</v>
      </c>
      <c r="D106" s="44">
        <v>3413.319</v>
      </c>
    </row>
    <row r="107" spans="1:4" ht="15.75" thickBot="1" x14ac:dyDescent="0.3">
      <c r="A107" s="24"/>
      <c r="B107" s="29" t="s">
        <v>98</v>
      </c>
      <c r="C107" s="25" t="s">
        <v>13</v>
      </c>
      <c r="D107" s="44">
        <f>250455.37-1074.41+1094.59</f>
        <v>250475.55</v>
      </c>
    </row>
    <row r="108" spans="1:4" ht="15.75" thickBot="1" x14ac:dyDescent="0.3">
      <c r="A108" s="24"/>
      <c r="B108" s="25" t="s">
        <v>99</v>
      </c>
      <c r="C108" s="25" t="s">
        <v>13</v>
      </c>
      <c r="D108" s="45">
        <f>229440.24+5774.86</f>
        <v>235215.09999999998</v>
      </c>
    </row>
    <row r="109" spans="1:4" ht="15.75" thickBot="1" x14ac:dyDescent="0.3">
      <c r="A109" s="24"/>
      <c r="B109" s="25" t="s">
        <v>100</v>
      </c>
      <c r="C109" s="25" t="s">
        <v>13</v>
      </c>
      <c r="D109" s="45">
        <f>D107-D108</f>
        <v>15260.450000000012</v>
      </c>
    </row>
    <row r="110" spans="1:4" ht="15.75" thickBot="1" x14ac:dyDescent="0.3">
      <c r="A110" s="24"/>
      <c r="B110" s="25" t="s">
        <v>101</v>
      </c>
      <c r="C110" s="25" t="s">
        <v>13</v>
      </c>
      <c r="D110" s="45">
        <v>236597.92</v>
      </c>
    </row>
    <row r="111" spans="1:4" ht="15.75" thickBot="1" x14ac:dyDescent="0.3">
      <c r="A111" s="24"/>
      <c r="B111" s="25" t="s">
        <v>102</v>
      </c>
      <c r="C111" s="25" t="s">
        <v>13</v>
      </c>
      <c r="D111" s="45">
        <f>D108</f>
        <v>235215.09999999998</v>
      </c>
    </row>
    <row r="112" spans="1:4" ht="15.75" thickBot="1" x14ac:dyDescent="0.3">
      <c r="A112" s="24"/>
      <c r="B112" s="25" t="s">
        <v>103</v>
      </c>
      <c r="C112" s="25" t="s">
        <v>13</v>
      </c>
      <c r="D112" s="45">
        <f>D109</f>
        <v>15260.450000000012</v>
      </c>
    </row>
    <row r="113" spans="1:4" ht="15.75" thickBot="1" x14ac:dyDescent="0.3">
      <c r="A113" s="24"/>
      <c r="B113" s="29" t="s">
        <v>104</v>
      </c>
      <c r="C113" s="25" t="s">
        <v>13</v>
      </c>
      <c r="D113" s="44">
        <v>0</v>
      </c>
    </row>
    <row r="114" spans="1:4" ht="15.75" thickBot="1" x14ac:dyDescent="0.3">
      <c r="A114" s="40" t="s">
        <v>110</v>
      </c>
      <c r="B114" s="41" t="s">
        <v>93</v>
      </c>
      <c r="C114" s="42" t="s">
        <v>47</v>
      </c>
      <c r="D114" s="41" t="s">
        <v>111</v>
      </c>
    </row>
    <row r="115" spans="1:4" ht="15.75" thickBot="1" x14ac:dyDescent="0.3">
      <c r="A115" s="24"/>
      <c r="B115" s="29" t="s">
        <v>95</v>
      </c>
      <c r="C115" s="25" t="s">
        <v>47</v>
      </c>
      <c r="D115" s="29" t="s">
        <v>107</v>
      </c>
    </row>
    <row r="116" spans="1:4" ht="15.75" thickBot="1" x14ac:dyDescent="0.3">
      <c r="A116" s="24"/>
      <c r="B116" s="29" t="s">
        <v>97</v>
      </c>
      <c r="C116" s="25" t="s">
        <v>107</v>
      </c>
      <c r="D116" s="39">
        <v>8490.6147999999994</v>
      </c>
    </row>
    <row r="117" spans="1:4" ht="15.75" thickBot="1" x14ac:dyDescent="0.3">
      <c r="A117" s="24"/>
      <c r="B117" s="29" t="s">
        <v>98</v>
      </c>
      <c r="C117" s="25" t="s">
        <v>13</v>
      </c>
      <c r="D117" s="39">
        <f>89628.82-1033.07</f>
        <v>88595.75</v>
      </c>
    </row>
    <row r="118" spans="1:4" ht="15.75" thickBot="1" x14ac:dyDescent="0.3">
      <c r="A118" s="24"/>
      <c r="B118" s="25" t="s">
        <v>99</v>
      </c>
      <c r="C118" s="25" t="s">
        <v>13</v>
      </c>
      <c r="D118" s="43">
        <v>81042.23</v>
      </c>
    </row>
    <row r="119" spans="1:4" ht="15.75" thickBot="1" x14ac:dyDescent="0.3">
      <c r="A119" s="24"/>
      <c r="B119" s="25" t="s">
        <v>100</v>
      </c>
      <c r="C119" s="25" t="s">
        <v>13</v>
      </c>
      <c r="D119" s="43">
        <f>D117-D118</f>
        <v>7553.5200000000041</v>
      </c>
    </row>
    <row r="120" spans="1:4" ht="15.75" thickBot="1" x14ac:dyDescent="0.3">
      <c r="A120" s="24"/>
      <c r="B120" s="25" t="s">
        <v>101</v>
      </c>
      <c r="C120" s="25" t="s">
        <v>13</v>
      </c>
      <c r="D120" s="43">
        <v>191616.85</v>
      </c>
    </row>
    <row r="121" spans="1:4" ht="15.75" thickBot="1" x14ac:dyDescent="0.3">
      <c r="A121" s="24"/>
      <c r="B121" s="25" t="s">
        <v>102</v>
      </c>
      <c r="C121" s="25" t="s">
        <v>13</v>
      </c>
      <c r="D121" s="43">
        <f>D118</f>
        <v>81042.23</v>
      </c>
    </row>
    <row r="122" spans="1:4" ht="15.75" thickBot="1" x14ac:dyDescent="0.3">
      <c r="A122" s="24"/>
      <c r="B122" s="25" t="s">
        <v>103</v>
      </c>
      <c r="C122" s="25" t="s">
        <v>13</v>
      </c>
      <c r="D122" s="43">
        <f>D119</f>
        <v>7553.5200000000041</v>
      </c>
    </row>
    <row r="123" spans="1:4" ht="15.75" thickBot="1" x14ac:dyDescent="0.3">
      <c r="A123" s="24"/>
      <c r="B123" s="29" t="s">
        <v>104</v>
      </c>
      <c r="C123" s="25" t="s">
        <v>13</v>
      </c>
      <c r="D123" s="39">
        <v>0</v>
      </c>
    </row>
    <row r="124" spans="1:4" x14ac:dyDescent="0.25">
      <c r="A124" s="46"/>
      <c r="B124" s="47"/>
      <c r="C124" s="48"/>
      <c r="D124" s="49"/>
    </row>
    <row r="125" spans="1:4" ht="15.75" thickBot="1" x14ac:dyDescent="0.3">
      <c r="A125" s="8" t="s">
        <v>112</v>
      </c>
      <c r="B125" s="2"/>
      <c r="C125" s="2"/>
      <c r="D125" s="2"/>
    </row>
    <row r="126" spans="1:4" ht="15.75" thickBot="1" x14ac:dyDescent="0.3">
      <c r="A126" s="22" t="s">
        <v>113</v>
      </c>
      <c r="B126" s="33" t="s">
        <v>73</v>
      </c>
      <c r="C126" s="32" t="s">
        <v>114</v>
      </c>
      <c r="D126" s="33">
        <v>0</v>
      </c>
    </row>
    <row r="127" spans="1:4" ht="15.75" thickBot="1" x14ac:dyDescent="0.3">
      <c r="A127" s="24" t="s">
        <v>115</v>
      </c>
      <c r="B127" s="29" t="s">
        <v>75</v>
      </c>
      <c r="C127" s="25" t="s">
        <v>114</v>
      </c>
      <c r="D127" s="29">
        <v>0</v>
      </c>
    </row>
    <row r="128" spans="1:4" ht="15.75" thickBot="1" x14ac:dyDescent="0.3">
      <c r="A128" s="24" t="s">
        <v>116</v>
      </c>
      <c r="B128" s="29" t="s">
        <v>77</v>
      </c>
      <c r="C128" s="25" t="s">
        <v>114</v>
      </c>
      <c r="D128" s="29">
        <v>0</v>
      </c>
    </row>
    <row r="129" spans="1:4" ht="15.75" thickBot="1" x14ac:dyDescent="0.3">
      <c r="A129" s="24" t="s">
        <v>117</v>
      </c>
      <c r="B129" s="29" t="s">
        <v>79</v>
      </c>
      <c r="C129" s="25" t="s">
        <v>13</v>
      </c>
      <c r="D129" s="39">
        <v>0</v>
      </c>
    </row>
    <row r="130" spans="1:4" x14ac:dyDescent="0.25">
      <c r="A130" s="2"/>
      <c r="B130" s="2"/>
      <c r="C130" s="2"/>
      <c r="D130" s="2"/>
    </row>
    <row r="131" spans="1:4" ht="15.75" thickBot="1" x14ac:dyDescent="0.3">
      <c r="A131" s="8" t="s">
        <v>118</v>
      </c>
      <c r="B131" s="2"/>
      <c r="C131" s="2"/>
      <c r="D131" s="2"/>
    </row>
    <row r="132" spans="1:4" ht="15.75" thickBot="1" x14ac:dyDescent="0.3">
      <c r="A132" s="34">
        <v>48</v>
      </c>
      <c r="B132" s="33" t="s">
        <v>119</v>
      </c>
      <c r="C132" s="32" t="s">
        <v>114</v>
      </c>
      <c r="D132" s="33">
        <v>2</v>
      </c>
    </row>
    <row r="133" spans="1:4" ht="15.75" thickBot="1" x14ac:dyDescent="0.3">
      <c r="A133" s="50">
        <v>49</v>
      </c>
      <c r="B133" s="29" t="s">
        <v>120</v>
      </c>
      <c r="C133" s="25" t="s">
        <v>114</v>
      </c>
      <c r="D133" s="29">
        <v>0</v>
      </c>
    </row>
    <row r="134" spans="1:4" ht="15.75" thickBot="1" x14ac:dyDescent="0.3">
      <c r="A134" s="51">
        <v>50</v>
      </c>
      <c r="B134" s="52" t="s">
        <v>121</v>
      </c>
      <c r="C134" s="53" t="s">
        <v>13</v>
      </c>
      <c r="D134" s="56">
        <f>30000</f>
        <v>30000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22" workbookViewId="0">
      <selection activeCell="D72" sqref="D72"/>
    </sheetView>
  </sheetViews>
  <sheetFormatPr defaultRowHeight="15" x14ac:dyDescent="0.25"/>
  <cols>
    <col min="2" max="2" width="77.28515625" customWidth="1"/>
    <col min="3" max="3" width="15.42578125" customWidth="1"/>
    <col min="4" max="4" width="56.855468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282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283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319790.48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319790.48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574020.64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391608+6490.62</f>
        <v>398098.62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149652+18470.02</f>
        <v>168122.02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508785.61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349137.95+132897.66+20000</f>
        <v>502035.61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6750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D20-D15</f>
        <v>188995.13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550510.56000000006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550510.56000000006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134</v>
      </c>
    </row>
    <row r="54" spans="1:4" ht="15.75" thickBot="1" x14ac:dyDescent="0.3">
      <c r="A54" s="24"/>
      <c r="B54" s="25" t="s">
        <v>51</v>
      </c>
      <c r="C54" s="25" t="s">
        <v>47</v>
      </c>
      <c r="D54" s="55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68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133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3808170471</v>
      </c>
    </row>
    <row r="60" spans="1:4" x14ac:dyDescent="0.25">
      <c r="A60" s="2"/>
      <c r="B60" s="2"/>
      <c r="C60" s="2"/>
      <c r="D60" s="2"/>
    </row>
    <row r="61" spans="1:4" ht="15.75" thickBot="1" x14ac:dyDescent="0.3">
      <c r="A61" s="8" t="s">
        <v>71</v>
      </c>
      <c r="B61" s="2"/>
      <c r="C61" s="2"/>
      <c r="D61" s="2"/>
    </row>
    <row r="62" spans="1:4" ht="15.75" thickBot="1" x14ac:dyDescent="0.3">
      <c r="A62" s="22" t="s">
        <v>72</v>
      </c>
      <c r="B62" s="32" t="s">
        <v>73</v>
      </c>
      <c r="C62" s="32" t="s">
        <v>47</v>
      </c>
      <c r="D62" s="33">
        <v>0</v>
      </c>
    </row>
    <row r="63" spans="1:4" ht="15.75" thickBot="1" x14ac:dyDescent="0.3">
      <c r="A63" s="24" t="s">
        <v>74</v>
      </c>
      <c r="B63" s="25" t="s">
        <v>75</v>
      </c>
      <c r="C63" s="25" t="s">
        <v>47</v>
      </c>
      <c r="D63" s="29">
        <v>0</v>
      </c>
    </row>
    <row r="64" spans="1:4" ht="15.75" thickBot="1" x14ac:dyDescent="0.3">
      <c r="A64" s="24" t="s">
        <v>76</v>
      </c>
      <c r="B64" s="25" t="s">
        <v>77</v>
      </c>
      <c r="C64" s="25" t="s">
        <v>47</v>
      </c>
      <c r="D64" s="29">
        <v>0</v>
      </c>
    </row>
    <row r="65" spans="1:4" ht="15.75" thickBot="1" x14ac:dyDescent="0.3">
      <c r="A65" s="22" t="s">
        <v>78</v>
      </c>
      <c r="B65" s="34" t="s">
        <v>79</v>
      </c>
      <c r="C65" s="34" t="s">
        <v>13</v>
      </c>
      <c r="D65" s="35">
        <v>0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80</v>
      </c>
      <c r="B67" s="2"/>
      <c r="C67" s="2"/>
      <c r="D67" s="2"/>
    </row>
    <row r="68" spans="1:4" ht="15.75" thickBot="1" x14ac:dyDescent="0.3">
      <c r="A68" s="36" t="s">
        <v>81</v>
      </c>
      <c r="B68" s="33" t="s">
        <v>82</v>
      </c>
      <c r="C68" s="32" t="s">
        <v>13</v>
      </c>
      <c r="D68" s="37">
        <f>D70+D69</f>
        <v>253206.22999999998</v>
      </c>
    </row>
    <row r="69" spans="1:4" ht="15.75" thickBot="1" x14ac:dyDescent="0.3">
      <c r="A69" s="38" t="s">
        <v>83</v>
      </c>
      <c r="B69" s="25" t="s">
        <v>84</v>
      </c>
      <c r="C69" s="25" t="s">
        <v>13</v>
      </c>
      <c r="D69" s="39">
        <f>-(10288.58+2215.56+11238.74+2748.31+1.95+104.67)</f>
        <v>-26597.809999999998</v>
      </c>
    </row>
    <row r="70" spans="1:4" ht="15.75" thickBot="1" x14ac:dyDescent="0.3">
      <c r="A70" s="38" t="s">
        <v>85</v>
      </c>
      <c r="B70" s="25" t="s">
        <v>86</v>
      </c>
      <c r="C70" s="25" t="s">
        <v>13</v>
      </c>
      <c r="D70" s="39">
        <f>94851.66+31683.67+100070.03+52328.33+87.36+782.99</f>
        <v>279804.03999999998</v>
      </c>
    </row>
    <row r="71" spans="1:4" ht="15.75" thickBot="1" x14ac:dyDescent="0.3">
      <c r="A71" s="38" t="s">
        <v>87</v>
      </c>
      <c r="B71" s="29" t="s">
        <v>88</v>
      </c>
      <c r="C71" s="25" t="s">
        <v>13</v>
      </c>
      <c r="D71" s="39">
        <f>D73+D72</f>
        <v>358872.34</v>
      </c>
    </row>
    <row r="72" spans="1:4" ht="15.75" thickBot="1" x14ac:dyDescent="0.3">
      <c r="A72" s="38" t="s">
        <v>89</v>
      </c>
      <c r="B72" s="25" t="s">
        <v>84</v>
      </c>
      <c r="C72" s="25" t="s">
        <v>13</v>
      </c>
      <c r="D72" s="39">
        <f>-(3142.49+1918.87+3516.15+1411.46+1456.65+209.31)</f>
        <v>-11654.93</v>
      </c>
    </row>
    <row r="73" spans="1:4" ht="15.75" thickBot="1" x14ac:dyDescent="0.3">
      <c r="A73" s="38" t="s">
        <v>90</v>
      </c>
      <c r="B73" s="25" t="s">
        <v>86</v>
      </c>
      <c r="C73" s="25" t="s">
        <v>13</v>
      </c>
      <c r="D73" s="39">
        <f>175827.83+29116.43+113923.24+49959.87+140.88+1559.02</f>
        <v>370527.27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91</v>
      </c>
      <c r="B75" s="2"/>
      <c r="C75" s="2"/>
      <c r="D75" s="2"/>
    </row>
    <row r="76" spans="1:4" ht="15.75" thickBot="1" x14ac:dyDescent="0.3">
      <c r="A76" s="40" t="s">
        <v>92</v>
      </c>
      <c r="B76" s="41" t="s">
        <v>93</v>
      </c>
      <c r="C76" s="42" t="s">
        <v>47</v>
      </c>
      <c r="D76" s="41" t="s">
        <v>94</v>
      </c>
    </row>
    <row r="77" spans="1:4" ht="15.75" thickBot="1" x14ac:dyDescent="0.3">
      <c r="A77" s="24"/>
      <c r="B77" s="29" t="s">
        <v>95</v>
      </c>
      <c r="C77" s="25" t="s">
        <v>47</v>
      </c>
      <c r="D77" s="29" t="s">
        <v>96</v>
      </c>
    </row>
    <row r="78" spans="1:4" ht="15.75" thickBot="1" x14ac:dyDescent="0.3">
      <c r="A78" s="24"/>
      <c r="B78" s="29" t="s">
        <v>97</v>
      </c>
      <c r="C78" s="25" t="s">
        <v>96</v>
      </c>
      <c r="D78" s="39">
        <v>514.6848</v>
      </c>
    </row>
    <row r="79" spans="1:4" ht="15.75" thickBot="1" x14ac:dyDescent="0.3">
      <c r="A79" s="24"/>
      <c r="B79" s="29" t="s">
        <v>98</v>
      </c>
      <c r="C79" s="25" t="s">
        <v>13</v>
      </c>
      <c r="D79" s="39">
        <f>513912.94+1176.08</f>
        <v>515089.02</v>
      </c>
    </row>
    <row r="80" spans="1:4" ht="15.75" thickBot="1" x14ac:dyDescent="0.3">
      <c r="A80" s="24"/>
      <c r="B80" s="25" t="s">
        <v>99</v>
      </c>
      <c r="C80" s="25" t="s">
        <v>13</v>
      </c>
      <c r="D80" s="43">
        <v>426966.76</v>
      </c>
    </row>
    <row r="81" spans="1:4" ht="15.75" thickBot="1" x14ac:dyDescent="0.3">
      <c r="A81" s="24"/>
      <c r="B81" s="25" t="s">
        <v>100</v>
      </c>
      <c r="C81" s="25" t="s">
        <v>13</v>
      </c>
      <c r="D81" s="43">
        <f>D79-D80</f>
        <v>88122.260000000009</v>
      </c>
    </row>
    <row r="82" spans="1:4" ht="15.75" thickBot="1" x14ac:dyDescent="0.3">
      <c r="A82" s="24"/>
      <c r="B82" s="25" t="s">
        <v>101</v>
      </c>
      <c r="C82" s="25" t="s">
        <v>13</v>
      </c>
      <c r="D82" s="43">
        <v>502687.9</v>
      </c>
    </row>
    <row r="83" spans="1:4" ht="15.75" thickBot="1" x14ac:dyDescent="0.3">
      <c r="A83" s="24"/>
      <c r="B83" s="25" t="s">
        <v>102</v>
      </c>
      <c r="C83" s="25" t="s">
        <v>13</v>
      </c>
      <c r="D83" s="43">
        <f>D80</f>
        <v>426966.76</v>
      </c>
    </row>
    <row r="84" spans="1:4" ht="15.75" thickBot="1" x14ac:dyDescent="0.3">
      <c r="A84" s="24"/>
      <c r="B84" s="25" t="s">
        <v>103</v>
      </c>
      <c r="C84" s="25" t="s">
        <v>13</v>
      </c>
      <c r="D84" s="43">
        <f>D81</f>
        <v>88122.260000000009</v>
      </c>
    </row>
    <row r="85" spans="1:4" ht="15.75" thickBot="1" x14ac:dyDescent="0.3">
      <c r="A85" s="24"/>
      <c r="B85" s="29" t="s">
        <v>104</v>
      </c>
      <c r="C85" s="25" t="s">
        <v>13</v>
      </c>
      <c r="D85" s="39">
        <v>0</v>
      </c>
    </row>
    <row r="86" spans="1:4" ht="15.75" thickBot="1" x14ac:dyDescent="0.3">
      <c r="A86" s="40" t="s">
        <v>105</v>
      </c>
      <c r="B86" s="41" t="s">
        <v>93</v>
      </c>
      <c r="C86" s="42" t="s">
        <v>47</v>
      </c>
      <c r="D86" s="41" t="s">
        <v>106</v>
      </c>
    </row>
    <row r="87" spans="1:4" ht="15.75" thickBot="1" x14ac:dyDescent="0.3">
      <c r="A87" s="24"/>
      <c r="B87" s="29" t="s">
        <v>95</v>
      </c>
      <c r="C87" s="25" t="s">
        <v>47</v>
      </c>
      <c r="D87" s="29" t="s">
        <v>107</v>
      </c>
    </row>
    <row r="88" spans="1:4" ht="15.75" thickBot="1" x14ac:dyDescent="0.3">
      <c r="A88" s="24"/>
      <c r="B88" s="29" t="s">
        <v>97</v>
      </c>
      <c r="C88" s="25" t="s">
        <v>107</v>
      </c>
      <c r="D88" s="44">
        <v>5135.8503000000001</v>
      </c>
    </row>
    <row r="89" spans="1:4" ht="15.75" thickBot="1" x14ac:dyDescent="0.3">
      <c r="A89" s="24"/>
      <c r="B89" s="29" t="s">
        <v>98</v>
      </c>
      <c r="C89" s="25" t="s">
        <v>13</v>
      </c>
      <c r="D89" s="44">
        <f>580.62+365.81+52227.53-1970.35</f>
        <v>51203.61</v>
      </c>
    </row>
    <row r="90" spans="1:4" ht="15.75" thickBot="1" x14ac:dyDescent="0.3">
      <c r="A90" s="24"/>
      <c r="B90" s="25" t="s">
        <v>99</v>
      </c>
      <c r="C90" s="25" t="s">
        <v>13</v>
      </c>
      <c r="D90" s="45">
        <f>2347.61+52527.73</f>
        <v>54875.340000000004</v>
      </c>
    </row>
    <row r="91" spans="1:4" ht="15.75" thickBot="1" x14ac:dyDescent="0.3">
      <c r="A91" s="24"/>
      <c r="B91" s="25" t="s">
        <v>100</v>
      </c>
      <c r="C91" s="25" t="s">
        <v>13</v>
      </c>
      <c r="D91" s="45">
        <v>0</v>
      </c>
    </row>
    <row r="92" spans="1:4" ht="15.75" thickBot="1" x14ac:dyDescent="0.3">
      <c r="A92" s="24"/>
      <c r="B92" s="25" t="s">
        <v>101</v>
      </c>
      <c r="C92" s="25" t="s">
        <v>13</v>
      </c>
      <c r="D92" s="45">
        <v>73948.639999999999</v>
      </c>
    </row>
    <row r="93" spans="1:4" ht="15.75" thickBot="1" x14ac:dyDescent="0.3">
      <c r="A93" s="24"/>
      <c r="B93" s="25" t="s">
        <v>102</v>
      </c>
      <c r="C93" s="25" t="s">
        <v>13</v>
      </c>
      <c r="D93" s="45">
        <f>D90</f>
        <v>54875.340000000004</v>
      </c>
    </row>
    <row r="94" spans="1:4" ht="15.75" thickBot="1" x14ac:dyDescent="0.3">
      <c r="A94" s="24"/>
      <c r="B94" s="25" t="s">
        <v>103</v>
      </c>
      <c r="C94" s="25" t="s">
        <v>13</v>
      </c>
      <c r="D94" s="45">
        <v>0</v>
      </c>
    </row>
    <row r="95" spans="1:4" ht="15.75" thickBot="1" x14ac:dyDescent="0.3">
      <c r="A95" s="24"/>
      <c r="B95" s="29" t="s">
        <v>104</v>
      </c>
      <c r="C95" s="25" t="s">
        <v>13</v>
      </c>
      <c r="D95" s="44">
        <v>0</v>
      </c>
    </row>
    <row r="96" spans="1:4" ht="15.75" thickBot="1" x14ac:dyDescent="0.3">
      <c r="A96" s="40" t="s">
        <v>108</v>
      </c>
      <c r="B96" s="41" t="s">
        <v>93</v>
      </c>
      <c r="C96" s="42" t="s">
        <v>47</v>
      </c>
      <c r="D96" s="41" t="s">
        <v>109</v>
      </c>
    </row>
    <row r="97" spans="1:4" ht="15.75" thickBot="1" x14ac:dyDescent="0.3">
      <c r="A97" s="24"/>
      <c r="B97" s="29" t="s">
        <v>95</v>
      </c>
      <c r="C97" s="25" t="s">
        <v>47</v>
      </c>
      <c r="D97" s="29" t="s">
        <v>107</v>
      </c>
    </row>
    <row r="98" spans="1:4" ht="15.75" thickBot="1" x14ac:dyDescent="0.3">
      <c r="A98" s="24"/>
      <c r="B98" s="29" t="s">
        <v>97</v>
      </c>
      <c r="C98" s="25" t="s">
        <v>107</v>
      </c>
      <c r="D98" s="44">
        <v>3197.2881000000002</v>
      </c>
    </row>
    <row r="99" spans="1:4" ht="15.75" thickBot="1" x14ac:dyDescent="0.3">
      <c r="A99" s="24"/>
      <c r="B99" s="29" t="s">
        <v>98</v>
      </c>
      <c r="C99" s="25" t="s">
        <v>13</v>
      </c>
      <c r="D99" s="44">
        <f>224033.41-6094.83+6379.92+587.09</f>
        <v>224905.59000000003</v>
      </c>
    </row>
    <row r="100" spans="1:4" ht="15.75" thickBot="1" x14ac:dyDescent="0.3">
      <c r="A100" s="24"/>
      <c r="B100" s="25" t="s">
        <v>99</v>
      </c>
      <c r="C100" s="25" t="s">
        <v>13</v>
      </c>
      <c r="D100" s="45">
        <f>196362.78+6295.62</f>
        <v>202658.4</v>
      </c>
    </row>
    <row r="101" spans="1:4" ht="15.75" thickBot="1" x14ac:dyDescent="0.3">
      <c r="A101" s="24"/>
      <c r="B101" s="25" t="s">
        <v>100</v>
      </c>
      <c r="C101" s="25" t="s">
        <v>13</v>
      </c>
      <c r="D101" s="45">
        <f>D99-D100</f>
        <v>22247.190000000031</v>
      </c>
    </row>
    <row r="102" spans="1:4" ht="15.75" thickBot="1" x14ac:dyDescent="0.3">
      <c r="A102" s="24"/>
      <c r="B102" s="25" t="s">
        <v>101</v>
      </c>
      <c r="C102" s="25" t="s">
        <v>13</v>
      </c>
      <c r="D102" s="45">
        <v>307910.36</v>
      </c>
    </row>
    <row r="103" spans="1:4" ht="15.75" thickBot="1" x14ac:dyDescent="0.3">
      <c r="A103" s="24"/>
      <c r="B103" s="25" t="s">
        <v>102</v>
      </c>
      <c r="C103" s="25" t="s">
        <v>13</v>
      </c>
      <c r="D103" s="45">
        <f>D100</f>
        <v>202658.4</v>
      </c>
    </row>
    <row r="104" spans="1:4" ht="15.75" thickBot="1" x14ac:dyDescent="0.3">
      <c r="A104" s="24"/>
      <c r="B104" s="25" t="s">
        <v>103</v>
      </c>
      <c r="C104" s="25" t="s">
        <v>13</v>
      </c>
      <c r="D104" s="45">
        <f>D101</f>
        <v>22247.190000000031</v>
      </c>
    </row>
    <row r="105" spans="1:4" ht="15.75" thickBot="1" x14ac:dyDescent="0.3">
      <c r="A105" s="24"/>
      <c r="B105" s="29" t="s">
        <v>104</v>
      </c>
      <c r="C105" s="25" t="s">
        <v>13</v>
      </c>
      <c r="D105" s="44">
        <v>0</v>
      </c>
    </row>
    <row r="106" spans="1:4" ht="15.75" thickBot="1" x14ac:dyDescent="0.3">
      <c r="A106" s="40" t="s">
        <v>110</v>
      </c>
      <c r="B106" s="41" t="s">
        <v>93</v>
      </c>
      <c r="C106" s="42" t="s">
        <v>47</v>
      </c>
      <c r="D106" s="41" t="s">
        <v>111</v>
      </c>
    </row>
    <row r="107" spans="1:4" ht="15.75" thickBot="1" x14ac:dyDescent="0.3">
      <c r="A107" s="24"/>
      <c r="B107" s="29" t="s">
        <v>95</v>
      </c>
      <c r="C107" s="25" t="s">
        <v>47</v>
      </c>
      <c r="D107" s="29" t="s">
        <v>107</v>
      </c>
    </row>
    <row r="108" spans="1:4" ht="15.75" thickBot="1" x14ac:dyDescent="0.3">
      <c r="A108" s="24"/>
      <c r="B108" s="29" t="s">
        <v>97</v>
      </c>
      <c r="C108" s="25" t="s">
        <v>107</v>
      </c>
      <c r="D108" s="39">
        <v>8333.1324000000004</v>
      </c>
    </row>
    <row r="109" spans="1:4" ht="15.75" thickBot="1" x14ac:dyDescent="0.3">
      <c r="A109" s="24"/>
      <c r="B109" s="29" t="s">
        <v>98</v>
      </c>
      <c r="C109" s="25" t="s">
        <v>13</v>
      </c>
      <c r="D109" s="39">
        <f>87735.22-3100.47</f>
        <v>84634.75</v>
      </c>
    </row>
    <row r="110" spans="1:4" ht="15.75" thickBot="1" x14ac:dyDescent="0.3">
      <c r="A110" s="24"/>
      <c r="B110" s="25" t="s">
        <v>99</v>
      </c>
      <c r="C110" s="25" t="s">
        <v>13</v>
      </c>
      <c r="D110" s="43">
        <v>85666.36</v>
      </c>
    </row>
    <row r="111" spans="1:4" ht="15.75" thickBot="1" x14ac:dyDescent="0.3">
      <c r="A111" s="24"/>
      <c r="B111" s="25" t="s">
        <v>100</v>
      </c>
      <c r="C111" s="25" t="s">
        <v>13</v>
      </c>
      <c r="D111" s="43">
        <v>0</v>
      </c>
    </row>
    <row r="112" spans="1:4" ht="15.75" thickBot="1" x14ac:dyDescent="0.3">
      <c r="A112" s="24"/>
      <c r="B112" s="25" t="s">
        <v>101</v>
      </c>
      <c r="C112" s="25" t="s">
        <v>13</v>
      </c>
      <c r="D112" s="43">
        <v>119733.51</v>
      </c>
    </row>
    <row r="113" spans="1:4" ht="15.75" thickBot="1" x14ac:dyDescent="0.3">
      <c r="A113" s="24"/>
      <c r="B113" s="25" t="s">
        <v>102</v>
      </c>
      <c r="C113" s="25" t="s">
        <v>13</v>
      </c>
      <c r="D113" s="43">
        <f>D110</f>
        <v>85666.36</v>
      </c>
    </row>
    <row r="114" spans="1:4" ht="15.75" thickBot="1" x14ac:dyDescent="0.3">
      <c r="A114" s="24"/>
      <c r="B114" s="25" t="s">
        <v>103</v>
      </c>
      <c r="C114" s="25" t="s">
        <v>13</v>
      </c>
      <c r="D114" s="43">
        <v>0</v>
      </c>
    </row>
    <row r="115" spans="1:4" ht="15.75" thickBot="1" x14ac:dyDescent="0.3">
      <c r="A115" s="24"/>
      <c r="B115" s="29" t="s">
        <v>104</v>
      </c>
      <c r="C115" s="25" t="s">
        <v>13</v>
      </c>
      <c r="D115" s="39">
        <v>0</v>
      </c>
    </row>
    <row r="116" spans="1:4" x14ac:dyDescent="0.25">
      <c r="A116" s="46"/>
      <c r="B116" s="47"/>
      <c r="C116" s="48"/>
      <c r="D116" s="49"/>
    </row>
    <row r="117" spans="1:4" ht="15.75" thickBot="1" x14ac:dyDescent="0.3">
      <c r="A117" s="8" t="s">
        <v>112</v>
      </c>
      <c r="B117" s="2"/>
      <c r="C117" s="2"/>
      <c r="D117" s="2"/>
    </row>
    <row r="118" spans="1:4" ht="15.75" thickBot="1" x14ac:dyDescent="0.3">
      <c r="A118" s="22" t="s">
        <v>113</v>
      </c>
      <c r="B118" s="33" t="s">
        <v>73</v>
      </c>
      <c r="C118" s="32" t="s">
        <v>114</v>
      </c>
      <c r="D118" s="33">
        <v>0</v>
      </c>
    </row>
    <row r="119" spans="1:4" ht="15.75" thickBot="1" x14ac:dyDescent="0.3">
      <c r="A119" s="24" t="s">
        <v>115</v>
      </c>
      <c r="B119" s="29" t="s">
        <v>75</v>
      </c>
      <c r="C119" s="25" t="s">
        <v>114</v>
      </c>
      <c r="D119" s="29">
        <v>0</v>
      </c>
    </row>
    <row r="120" spans="1:4" ht="15.75" thickBot="1" x14ac:dyDescent="0.3">
      <c r="A120" s="24" t="s">
        <v>116</v>
      </c>
      <c r="B120" s="29" t="s">
        <v>77</v>
      </c>
      <c r="C120" s="25" t="s">
        <v>114</v>
      </c>
      <c r="D120" s="29">
        <v>0</v>
      </c>
    </row>
    <row r="121" spans="1:4" ht="15.75" thickBot="1" x14ac:dyDescent="0.3">
      <c r="A121" s="24" t="s">
        <v>117</v>
      </c>
      <c r="B121" s="29" t="s">
        <v>79</v>
      </c>
      <c r="C121" s="25" t="s">
        <v>13</v>
      </c>
      <c r="D121" s="39">
        <v>0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118</v>
      </c>
      <c r="B123" s="2"/>
      <c r="C123" s="2"/>
      <c r="D123" s="2"/>
    </row>
    <row r="124" spans="1:4" ht="15.75" thickBot="1" x14ac:dyDescent="0.3">
      <c r="A124" s="34">
        <v>48</v>
      </c>
      <c r="B124" s="33" t="s">
        <v>119</v>
      </c>
      <c r="C124" s="32" t="s">
        <v>114</v>
      </c>
      <c r="D124" s="33">
        <v>0</v>
      </c>
    </row>
    <row r="125" spans="1:4" ht="15.75" thickBot="1" x14ac:dyDescent="0.3">
      <c r="A125" s="50">
        <v>49</v>
      </c>
      <c r="B125" s="29" t="s">
        <v>120</v>
      </c>
      <c r="C125" s="25" t="s">
        <v>114</v>
      </c>
      <c r="D125" s="29">
        <v>2</v>
      </c>
    </row>
    <row r="126" spans="1:4" ht="15.75" thickBot="1" x14ac:dyDescent="0.3">
      <c r="A126" s="51">
        <v>50</v>
      </c>
      <c r="B126" s="52" t="s">
        <v>121</v>
      </c>
      <c r="C126" s="53" t="s">
        <v>13</v>
      </c>
      <c r="D126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31" workbookViewId="0">
      <selection activeCell="D72" sqref="D72"/>
    </sheetView>
  </sheetViews>
  <sheetFormatPr defaultRowHeight="15" x14ac:dyDescent="0.25"/>
  <cols>
    <col min="2" max="2" width="72.28515625" customWidth="1"/>
    <col min="3" max="3" width="13.140625" customWidth="1"/>
    <col min="4" max="4" width="55.71093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284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285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f>136109.89</f>
        <v>136109.89000000001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136109.89000000001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538809.66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250315.8+53510.7</f>
        <v>303826.5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95657.34+129124.82</f>
        <v>224782.16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581715.67000000004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253702.96+98082.88+220779.83</f>
        <v>572565.66999999993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9150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D20+D14</f>
        <v>717825.56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86964.29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86964.29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0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286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151</v>
      </c>
    </row>
    <row r="54" spans="1:4" ht="15.75" thickBot="1" x14ac:dyDescent="0.3">
      <c r="A54" s="24"/>
      <c r="B54" s="25" t="s">
        <v>51</v>
      </c>
      <c r="C54" s="25" t="s">
        <v>47</v>
      </c>
      <c r="D54" s="55" t="s">
        <v>65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287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288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151</v>
      </c>
    </row>
    <row r="58" spans="1:4" ht="15.75" thickBot="1" x14ac:dyDescent="0.3">
      <c r="A58" s="24"/>
      <c r="B58" s="25" t="s">
        <v>51</v>
      </c>
      <c r="C58" s="25" t="s">
        <v>47</v>
      </c>
      <c r="D58" s="55" t="s">
        <v>65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287</v>
      </c>
    </row>
    <row r="60" spans="1:4" x14ac:dyDescent="0.25">
      <c r="A60" s="2"/>
      <c r="B60" s="2"/>
      <c r="C60" s="2"/>
      <c r="D60" s="2"/>
    </row>
    <row r="61" spans="1:4" ht="15.75" thickBot="1" x14ac:dyDescent="0.3">
      <c r="A61" s="8" t="s">
        <v>71</v>
      </c>
      <c r="B61" s="2"/>
      <c r="C61" s="2"/>
      <c r="D61" s="2"/>
    </row>
    <row r="62" spans="1:4" ht="15.75" thickBot="1" x14ac:dyDescent="0.3">
      <c r="A62" s="22" t="s">
        <v>72</v>
      </c>
      <c r="B62" s="32" t="s">
        <v>73</v>
      </c>
      <c r="C62" s="32" t="s">
        <v>47</v>
      </c>
      <c r="D62" s="33">
        <v>0</v>
      </c>
    </row>
    <row r="63" spans="1:4" ht="15.75" thickBot="1" x14ac:dyDescent="0.3">
      <c r="A63" s="24" t="s">
        <v>74</v>
      </c>
      <c r="B63" s="25" t="s">
        <v>75</v>
      </c>
      <c r="C63" s="25" t="s">
        <v>47</v>
      </c>
      <c r="D63" s="29">
        <v>0</v>
      </c>
    </row>
    <row r="64" spans="1:4" ht="15.75" thickBot="1" x14ac:dyDescent="0.3">
      <c r="A64" s="24" t="s">
        <v>76</v>
      </c>
      <c r="B64" s="25" t="s">
        <v>77</v>
      </c>
      <c r="C64" s="25" t="s">
        <v>47</v>
      </c>
      <c r="D64" s="29">
        <v>0</v>
      </c>
    </row>
    <row r="65" spans="1:4" ht="15.75" thickBot="1" x14ac:dyDescent="0.3">
      <c r="A65" s="22" t="s">
        <v>78</v>
      </c>
      <c r="B65" s="34" t="s">
        <v>79</v>
      </c>
      <c r="C65" s="34" t="s">
        <v>13</v>
      </c>
      <c r="D65" s="35">
        <v>0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80</v>
      </c>
      <c r="B67" s="2"/>
      <c r="C67" s="2"/>
      <c r="D67" s="2"/>
    </row>
    <row r="68" spans="1:4" ht="15.75" thickBot="1" x14ac:dyDescent="0.3">
      <c r="A68" s="36" t="s">
        <v>81</v>
      </c>
      <c r="B68" s="33" t="s">
        <v>82</v>
      </c>
      <c r="C68" s="32" t="s">
        <v>13</v>
      </c>
      <c r="D68" s="37">
        <f>D70+D69</f>
        <v>16161.039999999994</v>
      </c>
    </row>
    <row r="69" spans="1:4" ht="15.75" thickBot="1" x14ac:dyDescent="0.3">
      <c r="A69" s="38" t="s">
        <v>83</v>
      </c>
      <c r="B69" s="25" t="s">
        <v>84</v>
      </c>
      <c r="C69" s="25" t="s">
        <v>13</v>
      </c>
      <c r="D69" s="39">
        <f>-(32528.95+1599.62+5703.64+4192.01+98.3+312.69)</f>
        <v>-44435.210000000006</v>
      </c>
    </row>
    <row r="70" spans="1:4" ht="15.75" thickBot="1" x14ac:dyDescent="0.3">
      <c r="A70" s="38" t="s">
        <v>85</v>
      </c>
      <c r="B70" s="25" t="s">
        <v>86</v>
      </c>
      <c r="C70" s="25" t="s">
        <v>13</v>
      </c>
      <c r="D70" s="39">
        <f>20007.07+5854.59+24590.06+9105.5+167.25+871.78</f>
        <v>60596.25</v>
      </c>
    </row>
    <row r="71" spans="1:4" ht="15.75" thickBot="1" x14ac:dyDescent="0.3">
      <c r="A71" s="38" t="s">
        <v>87</v>
      </c>
      <c r="B71" s="29" t="s">
        <v>88</v>
      </c>
      <c r="C71" s="25" t="s">
        <v>13</v>
      </c>
      <c r="D71" s="39">
        <f>D73+D72</f>
        <v>42558.849999999991</v>
      </c>
    </row>
    <row r="72" spans="1:4" ht="15.75" thickBot="1" x14ac:dyDescent="0.3">
      <c r="A72" s="38" t="s">
        <v>89</v>
      </c>
      <c r="B72" s="25" t="s">
        <v>84</v>
      </c>
      <c r="C72" s="25" t="s">
        <v>13</v>
      </c>
      <c r="D72" s="39">
        <f>-(2025.6+18294.92+2437.19+3409.95+2787.81)</f>
        <v>-28955.469999999998</v>
      </c>
    </row>
    <row r="73" spans="1:4" ht="15.75" thickBot="1" x14ac:dyDescent="0.3">
      <c r="A73" s="38" t="s">
        <v>90</v>
      </c>
      <c r="B73" s="25" t="s">
        <v>86</v>
      </c>
      <c r="C73" s="25" t="s">
        <v>13</v>
      </c>
      <c r="D73" s="39">
        <f>54430.57+4104.59+4951.1+7461.36+75.25+491.45</f>
        <v>71514.319999999992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91</v>
      </c>
      <c r="B75" s="2"/>
      <c r="C75" s="2"/>
      <c r="D75" s="2"/>
    </row>
    <row r="76" spans="1:4" ht="15.75" thickBot="1" x14ac:dyDescent="0.3">
      <c r="A76" s="40" t="s">
        <v>92</v>
      </c>
      <c r="B76" s="41" t="s">
        <v>93</v>
      </c>
      <c r="C76" s="42" t="s">
        <v>47</v>
      </c>
      <c r="D76" s="41" t="s">
        <v>94</v>
      </c>
    </row>
    <row r="77" spans="1:4" ht="15.75" thickBot="1" x14ac:dyDescent="0.3">
      <c r="A77" s="24"/>
      <c r="B77" s="29" t="s">
        <v>95</v>
      </c>
      <c r="C77" s="25" t="s">
        <v>47</v>
      </c>
      <c r="D77" s="29" t="s">
        <v>96</v>
      </c>
    </row>
    <row r="78" spans="1:4" ht="15.75" thickBot="1" x14ac:dyDescent="0.3">
      <c r="A78" s="24"/>
      <c r="B78" s="29" t="s">
        <v>97</v>
      </c>
      <c r="C78" s="25" t="s">
        <v>96</v>
      </c>
      <c r="D78" s="39">
        <v>387.98520000000002</v>
      </c>
    </row>
    <row r="79" spans="1:4" ht="15.75" thickBot="1" x14ac:dyDescent="0.3">
      <c r="A79" s="24"/>
      <c r="B79" s="29" t="s">
        <v>98</v>
      </c>
      <c r="C79" s="25" t="s">
        <v>13</v>
      </c>
      <c r="D79" s="39">
        <f>387408.45+11244.74</f>
        <v>398653.19</v>
      </c>
    </row>
    <row r="80" spans="1:4" ht="15.75" thickBot="1" x14ac:dyDescent="0.3">
      <c r="A80" s="24"/>
      <c r="B80" s="25" t="s">
        <v>99</v>
      </c>
      <c r="C80" s="25" t="s">
        <v>13</v>
      </c>
      <c r="D80" s="43">
        <v>331700.74</v>
      </c>
    </row>
    <row r="81" spans="1:4" ht="15.75" thickBot="1" x14ac:dyDescent="0.3">
      <c r="A81" s="24"/>
      <c r="B81" s="25" t="s">
        <v>100</v>
      </c>
      <c r="C81" s="25" t="s">
        <v>13</v>
      </c>
      <c r="D81" s="43">
        <f>D79-D80</f>
        <v>66952.450000000012</v>
      </c>
    </row>
    <row r="82" spans="1:4" ht="15.75" thickBot="1" x14ac:dyDescent="0.3">
      <c r="A82" s="24"/>
      <c r="B82" s="25" t="s">
        <v>101</v>
      </c>
      <c r="C82" s="25" t="s">
        <v>13</v>
      </c>
      <c r="D82" s="43">
        <v>397108.54</v>
      </c>
    </row>
    <row r="83" spans="1:4" ht="15.75" thickBot="1" x14ac:dyDescent="0.3">
      <c r="A83" s="24"/>
      <c r="B83" s="25" t="s">
        <v>102</v>
      </c>
      <c r="C83" s="25" t="s">
        <v>13</v>
      </c>
      <c r="D83" s="43">
        <f>D80</f>
        <v>331700.74</v>
      </c>
    </row>
    <row r="84" spans="1:4" ht="15.75" thickBot="1" x14ac:dyDescent="0.3">
      <c r="A84" s="24"/>
      <c r="B84" s="25" t="s">
        <v>103</v>
      </c>
      <c r="C84" s="25" t="s">
        <v>13</v>
      </c>
      <c r="D84" s="43">
        <f>D81</f>
        <v>66952.450000000012</v>
      </c>
    </row>
    <row r="85" spans="1:4" ht="15.75" thickBot="1" x14ac:dyDescent="0.3">
      <c r="A85" s="24"/>
      <c r="B85" s="29" t="s">
        <v>104</v>
      </c>
      <c r="C85" s="25" t="s">
        <v>13</v>
      </c>
      <c r="D85" s="39">
        <v>0</v>
      </c>
    </row>
    <row r="86" spans="1:4" ht="15.75" thickBot="1" x14ac:dyDescent="0.3">
      <c r="A86" s="40" t="s">
        <v>105</v>
      </c>
      <c r="B86" s="41" t="s">
        <v>93</v>
      </c>
      <c r="C86" s="42" t="s">
        <v>47</v>
      </c>
      <c r="D86" s="41" t="s">
        <v>106</v>
      </c>
    </row>
    <row r="87" spans="1:4" ht="15.75" thickBot="1" x14ac:dyDescent="0.3">
      <c r="A87" s="24"/>
      <c r="B87" s="29" t="s">
        <v>95</v>
      </c>
      <c r="C87" s="25" t="s">
        <v>47</v>
      </c>
      <c r="D87" s="29" t="s">
        <v>107</v>
      </c>
    </row>
    <row r="88" spans="1:4" ht="15.75" thickBot="1" x14ac:dyDescent="0.3">
      <c r="A88" s="24"/>
      <c r="B88" s="29" t="s">
        <v>97</v>
      </c>
      <c r="C88" s="25" t="s">
        <v>107</v>
      </c>
      <c r="D88" s="44">
        <v>3433.1596</v>
      </c>
    </row>
    <row r="89" spans="1:4" ht="15.75" thickBot="1" x14ac:dyDescent="0.3">
      <c r="A89" s="24"/>
      <c r="B89" s="29" t="s">
        <v>98</v>
      </c>
      <c r="C89" s="25" t="s">
        <v>13</v>
      </c>
      <c r="D89" s="44">
        <f>741.96+732.85+35008.09-393.8</f>
        <v>36089.099999999991</v>
      </c>
    </row>
    <row r="90" spans="1:4" ht="15.75" thickBot="1" x14ac:dyDescent="0.3">
      <c r="A90" s="24"/>
      <c r="B90" s="25" t="s">
        <v>99</v>
      </c>
      <c r="C90" s="25" t="s">
        <v>13</v>
      </c>
      <c r="D90" s="45">
        <f>4878.46+36790.27</f>
        <v>41668.729999999996</v>
      </c>
    </row>
    <row r="91" spans="1:4" ht="15.75" thickBot="1" x14ac:dyDescent="0.3">
      <c r="A91" s="24"/>
      <c r="B91" s="25" t="s">
        <v>100</v>
      </c>
      <c r="C91" s="25" t="s">
        <v>13</v>
      </c>
      <c r="D91" s="45">
        <v>0</v>
      </c>
    </row>
    <row r="92" spans="1:4" ht="15.75" thickBot="1" x14ac:dyDescent="0.3">
      <c r="A92" s="24"/>
      <c r="B92" s="25" t="s">
        <v>101</v>
      </c>
      <c r="C92" s="25" t="s">
        <v>13</v>
      </c>
      <c r="D92" s="45">
        <v>53535.48</v>
      </c>
    </row>
    <row r="93" spans="1:4" ht="15.75" thickBot="1" x14ac:dyDescent="0.3">
      <c r="A93" s="24"/>
      <c r="B93" s="25" t="s">
        <v>102</v>
      </c>
      <c r="C93" s="25" t="s">
        <v>13</v>
      </c>
      <c r="D93" s="45">
        <f>D90</f>
        <v>41668.729999999996</v>
      </c>
    </row>
    <row r="94" spans="1:4" ht="15.75" thickBot="1" x14ac:dyDescent="0.3">
      <c r="A94" s="24"/>
      <c r="B94" s="25" t="s">
        <v>103</v>
      </c>
      <c r="C94" s="25" t="s">
        <v>13</v>
      </c>
      <c r="D94" s="45">
        <v>0</v>
      </c>
    </row>
    <row r="95" spans="1:4" ht="15.75" thickBot="1" x14ac:dyDescent="0.3">
      <c r="A95" s="24"/>
      <c r="B95" s="29" t="s">
        <v>104</v>
      </c>
      <c r="C95" s="25" t="s">
        <v>13</v>
      </c>
      <c r="D95" s="44">
        <v>0</v>
      </c>
    </row>
    <row r="96" spans="1:4" ht="15.75" thickBot="1" x14ac:dyDescent="0.3">
      <c r="A96" s="40" t="s">
        <v>108</v>
      </c>
      <c r="B96" s="41" t="s">
        <v>93</v>
      </c>
      <c r="C96" s="42" t="s">
        <v>47</v>
      </c>
      <c r="D96" s="41" t="s">
        <v>109</v>
      </c>
    </row>
    <row r="97" spans="1:4" ht="15.75" thickBot="1" x14ac:dyDescent="0.3">
      <c r="A97" s="24"/>
      <c r="B97" s="29" t="s">
        <v>95</v>
      </c>
      <c r="C97" s="25" t="s">
        <v>47</v>
      </c>
      <c r="D97" s="29" t="s">
        <v>107</v>
      </c>
    </row>
    <row r="98" spans="1:4" ht="15.75" thickBot="1" x14ac:dyDescent="0.3">
      <c r="A98" s="24"/>
      <c r="B98" s="29" t="s">
        <v>97</v>
      </c>
      <c r="C98" s="25" t="s">
        <v>107</v>
      </c>
      <c r="D98" s="44">
        <v>2222.2287000000001</v>
      </c>
    </row>
    <row r="99" spans="1:4" ht="15.75" thickBot="1" x14ac:dyDescent="0.3">
      <c r="A99" s="24"/>
      <c r="B99" s="29" t="s">
        <v>98</v>
      </c>
      <c r="C99" s="25" t="s">
        <v>13</v>
      </c>
      <c r="D99" s="44">
        <f>155789.47-28801.98+4786.63+553.97</f>
        <v>132328.09</v>
      </c>
    </row>
    <row r="100" spans="1:4" ht="15.75" thickBot="1" x14ac:dyDescent="0.3">
      <c r="A100" s="24"/>
      <c r="B100" s="25" t="s">
        <v>99</v>
      </c>
      <c r="C100" s="25" t="s">
        <v>13</v>
      </c>
      <c r="D100" s="45">
        <f>159217.73+8196.05</f>
        <v>167413.78</v>
      </c>
    </row>
    <row r="101" spans="1:4" ht="15.75" thickBot="1" x14ac:dyDescent="0.3">
      <c r="A101" s="24"/>
      <c r="B101" s="25" t="s">
        <v>100</v>
      </c>
      <c r="C101" s="25" t="s">
        <v>13</v>
      </c>
      <c r="D101" s="45">
        <v>0</v>
      </c>
    </row>
    <row r="102" spans="1:4" ht="15.75" thickBot="1" x14ac:dyDescent="0.3">
      <c r="A102" s="24"/>
      <c r="B102" s="25" t="s">
        <v>101</v>
      </c>
      <c r="C102" s="25" t="s">
        <v>13</v>
      </c>
      <c r="D102" s="45">
        <v>135596.76999999999</v>
      </c>
    </row>
    <row r="103" spans="1:4" ht="15.75" thickBot="1" x14ac:dyDescent="0.3">
      <c r="A103" s="24"/>
      <c r="B103" s="25" t="s">
        <v>102</v>
      </c>
      <c r="C103" s="25" t="s">
        <v>13</v>
      </c>
      <c r="D103" s="45">
        <f>D100</f>
        <v>167413.78</v>
      </c>
    </row>
    <row r="104" spans="1:4" ht="15.75" thickBot="1" x14ac:dyDescent="0.3">
      <c r="A104" s="24"/>
      <c r="B104" s="25" t="s">
        <v>103</v>
      </c>
      <c r="C104" s="25" t="s">
        <v>13</v>
      </c>
      <c r="D104" s="45">
        <v>0</v>
      </c>
    </row>
    <row r="105" spans="1:4" ht="15.75" thickBot="1" x14ac:dyDescent="0.3">
      <c r="A105" s="24"/>
      <c r="B105" s="29" t="s">
        <v>104</v>
      </c>
      <c r="C105" s="25" t="s">
        <v>13</v>
      </c>
      <c r="D105" s="44">
        <v>0</v>
      </c>
    </row>
    <row r="106" spans="1:4" ht="15.75" thickBot="1" x14ac:dyDescent="0.3">
      <c r="A106" s="40" t="s">
        <v>110</v>
      </c>
      <c r="B106" s="41" t="s">
        <v>93</v>
      </c>
      <c r="C106" s="42" t="s">
        <v>47</v>
      </c>
      <c r="D106" s="41" t="s">
        <v>111</v>
      </c>
    </row>
    <row r="107" spans="1:4" ht="15.75" thickBot="1" x14ac:dyDescent="0.3">
      <c r="A107" s="24"/>
      <c r="B107" s="29" t="s">
        <v>95</v>
      </c>
      <c r="C107" s="25" t="s">
        <v>47</v>
      </c>
      <c r="D107" s="29" t="s">
        <v>107</v>
      </c>
    </row>
    <row r="108" spans="1:4" ht="15.75" thickBot="1" x14ac:dyDescent="0.3">
      <c r="A108" s="24"/>
      <c r="B108" s="29" t="s">
        <v>97</v>
      </c>
      <c r="C108" s="25" t="s">
        <v>107</v>
      </c>
      <c r="D108" s="39">
        <v>5655.3847999999998</v>
      </c>
    </row>
    <row r="109" spans="1:4" ht="15.75" thickBot="1" x14ac:dyDescent="0.3">
      <c r="A109" s="24"/>
      <c r="B109" s="29" t="s">
        <v>98</v>
      </c>
      <c r="C109" s="25" t="s">
        <v>13</v>
      </c>
      <c r="D109" s="39">
        <f>59797.9-505.33</f>
        <v>59292.57</v>
      </c>
    </row>
    <row r="110" spans="1:4" ht="15.75" thickBot="1" x14ac:dyDescent="0.3">
      <c r="A110" s="24"/>
      <c r="B110" s="25" t="s">
        <v>99</v>
      </c>
      <c r="C110" s="25" t="s">
        <v>13</v>
      </c>
      <c r="D110" s="43">
        <v>59181.89</v>
      </c>
    </row>
    <row r="111" spans="1:4" ht="15.75" thickBot="1" x14ac:dyDescent="0.3">
      <c r="A111" s="24"/>
      <c r="B111" s="25" t="s">
        <v>100</v>
      </c>
      <c r="C111" s="25" t="s">
        <v>13</v>
      </c>
      <c r="D111" s="43">
        <f>D109-D110</f>
        <v>110.68000000000029</v>
      </c>
    </row>
    <row r="112" spans="1:4" ht="15.75" thickBot="1" x14ac:dyDescent="0.3">
      <c r="A112" s="24"/>
      <c r="B112" s="25" t="s">
        <v>101</v>
      </c>
      <c r="C112" s="25" t="s">
        <v>13</v>
      </c>
      <c r="D112" s="43">
        <v>86661.19</v>
      </c>
    </row>
    <row r="113" spans="1:4" ht="15.75" thickBot="1" x14ac:dyDescent="0.3">
      <c r="A113" s="24"/>
      <c r="B113" s="25" t="s">
        <v>102</v>
      </c>
      <c r="C113" s="25" t="s">
        <v>13</v>
      </c>
      <c r="D113" s="43">
        <f>D110</f>
        <v>59181.89</v>
      </c>
    </row>
    <row r="114" spans="1:4" ht="15.75" thickBot="1" x14ac:dyDescent="0.3">
      <c r="A114" s="24"/>
      <c r="B114" s="25" t="s">
        <v>103</v>
      </c>
      <c r="C114" s="25" t="s">
        <v>13</v>
      </c>
      <c r="D114" s="43">
        <f>D111</f>
        <v>110.68000000000029</v>
      </c>
    </row>
    <row r="115" spans="1:4" ht="15.75" thickBot="1" x14ac:dyDescent="0.3">
      <c r="A115" s="24"/>
      <c r="B115" s="29" t="s">
        <v>104</v>
      </c>
      <c r="C115" s="25" t="s">
        <v>13</v>
      </c>
      <c r="D115" s="39">
        <v>0</v>
      </c>
    </row>
    <row r="116" spans="1:4" x14ac:dyDescent="0.25">
      <c r="A116" s="46"/>
      <c r="B116" s="47"/>
      <c r="C116" s="48"/>
      <c r="D116" s="49"/>
    </row>
    <row r="117" spans="1:4" ht="15.75" thickBot="1" x14ac:dyDescent="0.3">
      <c r="A117" s="8" t="s">
        <v>112</v>
      </c>
      <c r="B117" s="2"/>
      <c r="C117" s="2"/>
      <c r="D117" s="2"/>
    </row>
    <row r="118" spans="1:4" ht="15.75" thickBot="1" x14ac:dyDescent="0.3">
      <c r="A118" s="22" t="s">
        <v>113</v>
      </c>
      <c r="B118" s="33" t="s">
        <v>73</v>
      </c>
      <c r="C118" s="32" t="s">
        <v>114</v>
      </c>
      <c r="D118" s="33">
        <v>0</v>
      </c>
    </row>
    <row r="119" spans="1:4" ht="15.75" thickBot="1" x14ac:dyDescent="0.3">
      <c r="A119" s="24" t="s">
        <v>115</v>
      </c>
      <c r="B119" s="29" t="s">
        <v>75</v>
      </c>
      <c r="C119" s="25" t="s">
        <v>114</v>
      </c>
      <c r="D119" s="29">
        <v>0</v>
      </c>
    </row>
    <row r="120" spans="1:4" ht="15.75" thickBot="1" x14ac:dyDescent="0.3">
      <c r="A120" s="24" t="s">
        <v>116</v>
      </c>
      <c r="B120" s="29" t="s">
        <v>77</v>
      </c>
      <c r="C120" s="25" t="s">
        <v>114</v>
      </c>
      <c r="D120" s="29">
        <v>0</v>
      </c>
    </row>
    <row r="121" spans="1:4" ht="15.75" thickBot="1" x14ac:dyDescent="0.3">
      <c r="A121" s="24" t="s">
        <v>117</v>
      </c>
      <c r="B121" s="29" t="s">
        <v>79</v>
      </c>
      <c r="C121" s="25" t="s">
        <v>13</v>
      </c>
      <c r="D121" s="39">
        <v>0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118</v>
      </c>
      <c r="B123" s="2"/>
      <c r="C123" s="2"/>
      <c r="D123" s="2"/>
    </row>
    <row r="124" spans="1:4" ht="15.75" thickBot="1" x14ac:dyDescent="0.3">
      <c r="A124" s="34">
        <v>48</v>
      </c>
      <c r="B124" s="33" t="s">
        <v>119</v>
      </c>
      <c r="C124" s="32" t="s">
        <v>114</v>
      </c>
      <c r="D124" s="33">
        <v>0</v>
      </c>
    </row>
    <row r="125" spans="1:4" ht="15.75" thickBot="1" x14ac:dyDescent="0.3">
      <c r="A125" s="50">
        <v>49</v>
      </c>
      <c r="B125" s="29" t="s">
        <v>120</v>
      </c>
      <c r="C125" s="25" t="s">
        <v>114</v>
      </c>
      <c r="D125" s="29">
        <v>0</v>
      </c>
    </row>
    <row r="126" spans="1:4" ht="15.75" thickBot="1" x14ac:dyDescent="0.3">
      <c r="A126" s="51">
        <v>50</v>
      </c>
      <c r="B126" s="52" t="s">
        <v>121</v>
      </c>
      <c r="C126" s="53" t="s">
        <v>13</v>
      </c>
      <c r="D126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64" workbookViewId="0">
      <selection activeCell="D72" sqref="D72"/>
    </sheetView>
  </sheetViews>
  <sheetFormatPr defaultRowHeight="15" x14ac:dyDescent="0.25"/>
  <cols>
    <col min="2" max="2" width="73" customWidth="1"/>
    <col min="3" max="3" width="12" customWidth="1"/>
    <col min="4" max="4" width="56.140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141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142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180150.5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180150.5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815591.86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582204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222487.86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791707.66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570466.74+211390.92</f>
        <v>781857.66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9850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791707.66-180150.5</f>
        <v>611557.16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452377.41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452377.41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64</v>
      </c>
      <c r="B52" s="27" t="s">
        <v>46</v>
      </c>
      <c r="C52" s="27" t="s">
        <v>47</v>
      </c>
      <c r="D52" s="28" t="s">
        <v>132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3808170471</v>
      </c>
    </row>
    <row r="56" spans="1:4" ht="15.75" thickBot="1" x14ac:dyDescent="0.3">
      <c r="A56" s="24" t="s">
        <v>66</v>
      </c>
      <c r="B56" s="27" t="s">
        <v>46</v>
      </c>
      <c r="C56" s="27" t="s">
        <v>47</v>
      </c>
      <c r="D56" s="28" t="s">
        <v>143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134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68</v>
      </c>
    </row>
    <row r="60" spans="1:4" x14ac:dyDescent="0.25">
      <c r="A60" s="2"/>
      <c r="B60" s="2"/>
      <c r="C60" s="2"/>
      <c r="D60" s="2"/>
    </row>
    <row r="61" spans="1:4" ht="15.75" thickBot="1" x14ac:dyDescent="0.3">
      <c r="A61" s="8" t="s">
        <v>71</v>
      </c>
      <c r="B61" s="2"/>
      <c r="C61" s="2"/>
      <c r="D61" s="2"/>
    </row>
    <row r="62" spans="1:4" ht="15.75" thickBot="1" x14ac:dyDescent="0.3">
      <c r="A62" s="22" t="s">
        <v>72</v>
      </c>
      <c r="B62" s="32" t="s">
        <v>73</v>
      </c>
      <c r="C62" s="32" t="s">
        <v>47</v>
      </c>
      <c r="D62" s="33">
        <v>0</v>
      </c>
    </row>
    <row r="63" spans="1:4" ht="15.75" thickBot="1" x14ac:dyDescent="0.3">
      <c r="A63" s="24" t="s">
        <v>74</v>
      </c>
      <c r="B63" s="25" t="s">
        <v>75</v>
      </c>
      <c r="C63" s="25" t="s">
        <v>47</v>
      </c>
      <c r="D63" s="29">
        <v>0</v>
      </c>
    </row>
    <row r="64" spans="1:4" ht="15.75" thickBot="1" x14ac:dyDescent="0.3">
      <c r="A64" s="24" t="s">
        <v>76</v>
      </c>
      <c r="B64" s="25" t="s">
        <v>77</v>
      </c>
      <c r="C64" s="25" t="s">
        <v>47</v>
      </c>
      <c r="D64" s="29">
        <v>0</v>
      </c>
    </row>
    <row r="65" spans="1:4" ht="15.75" thickBot="1" x14ac:dyDescent="0.3">
      <c r="A65" s="22" t="s">
        <v>78</v>
      </c>
      <c r="B65" s="34" t="s">
        <v>79</v>
      </c>
      <c r="C65" s="34" t="s">
        <v>13</v>
      </c>
      <c r="D65" s="35">
        <v>0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80</v>
      </c>
      <c r="B67" s="2"/>
      <c r="C67" s="2"/>
      <c r="D67" s="2"/>
    </row>
    <row r="68" spans="1:4" ht="15.75" thickBot="1" x14ac:dyDescent="0.3">
      <c r="A68" s="36" t="s">
        <v>81</v>
      </c>
      <c r="B68" s="33" t="s">
        <v>82</v>
      </c>
      <c r="C68" s="32" t="s">
        <v>13</v>
      </c>
      <c r="D68" s="37">
        <f>D70+D69</f>
        <v>539934.75</v>
      </c>
    </row>
    <row r="69" spans="1:4" ht="15.75" thickBot="1" x14ac:dyDescent="0.3">
      <c r="A69" s="38" t="s">
        <v>83</v>
      </c>
      <c r="B69" s="25" t="s">
        <v>84</v>
      </c>
      <c r="C69" s="25" t="s">
        <v>13</v>
      </c>
      <c r="D69" s="39">
        <f>-(14719.02+3569.65+10909.34+1338.05+1766.42+647.57)</f>
        <v>-32950.050000000003</v>
      </c>
    </row>
    <row r="70" spans="1:4" ht="15.75" thickBot="1" x14ac:dyDescent="0.3">
      <c r="A70" s="38" t="s">
        <v>85</v>
      </c>
      <c r="B70" s="25" t="s">
        <v>86</v>
      </c>
      <c r="C70" s="25" t="s">
        <v>13</v>
      </c>
      <c r="D70" s="39">
        <f>193238.72+45333.41+236600.04+95960.91+288.9+1462.82</f>
        <v>572884.80000000005</v>
      </c>
    </row>
    <row r="71" spans="1:4" ht="15.75" thickBot="1" x14ac:dyDescent="0.3">
      <c r="A71" s="38" t="s">
        <v>87</v>
      </c>
      <c r="B71" s="29" t="s">
        <v>88</v>
      </c>
      <c r="C71" s="25" t="s">
        <v>13</v>
      </c>
      <c r="D71" s="39">
        <f>D73+D72</f>
        <v>760274.61</v>
      </c>
    </row>
    <row r="72" spans="1:4" ht="15.75" thickBot="1" x14ac:dyDescent="0.3">
      <c r="A72" s="38" t="s">
        <v>89</v>
      </c>
      <c r="B72" s="25" t="s">
        <v>84</v>
      </c>
      <c r="C72" s="25" t="s">
        <v>13</v>
      </c>
      <c r="D72" s="39">
        <f>-(2526.52+3069.66+2567.2+3833.16+1415.45+1304.28)</f>
        <v>-14716.270000000002</v>
      </c>
    </row>
    <row r="73" spans="1:4" ht="15.75" thickBot="1" x14ac:dyDescent="0.3">
      <c r="A73" s="38" t="s">
        <v>90</v>
      </c>
      <c r="B73" s="25" t="s">
        <v>86</v>
      </c>
      <c r="C73" s="25" t="s">
        <v>13</v>
      </c>
      <c r="D73" s="39">
        <f>349244.17+50656.66+282144.95+92456.16+333.87+155.07</f>
        <v>774990.88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91</v>
      </c>
      <c r="B75" s="2"/>
      <c r="C75" s="2"/>
      <c r="D75" s="2"/>
    </row>
    <row r="76" spans="1:4" ht="15.75" thickBot="1" x14ac:dyDescent="0.3">
      <c r="A76" s="40" t="s">
        <v>92</v>
      </c>
      <c r="B76" s="41" t="s">
        <v>93</v>
      </c>
      <c r="C76" s="42" t="s">
        <v>47</v>
      </c>
      <c r="D76" s="41" t="s">
        <v>94</v>
      </c>
    </row>
    <row r="77" spans="1:4" ht="15.75" thickBot="1" x14ac:dyDescent="0.3">
      <c r="A77" s="24"/>
      <c r="B77" s="29" t="s">
        <v>95</v>
      </c>
      <c r="C77" s="25" t="s">
        <v>47</v>
      </c>
      <c r="D77" s="29" t="s">
        <v>96</v>
      </c>
    </row>
    <row r="78" spans="1:4" ht="15.75" thickBot="1" x14ac:dyDescent="0.3">
      <c r="A78" s="24"/>
      <c r="B78" s="29" t="s">
        <v>97</v>
      </c>
      <c r="C78" s="25" t="s">
        <v>96</v>
      </c>
      <c r="D78" s="39">
        <v>796.95500000000004</v>
      </c>
    </row>
    <row r="79" spans="1:4" ht="15.75" thickBot="1" x14ac:dyDescent="0.3">
      <c r="A79" s="24"/>
      <c r="B79" s="29" t="s">
        <v>98</v>
      </c>
      <c r="C79" s="25" t="s">
        <v>13</v>
      </c>
      <c r="D79" s="39">
        <f>789503.29+1829.53</f>
        <v>791332.82000000007</v>
      </c>
    </row>
    <row r="80" spans="1:4" ht="15.75" thickBot="1" x14ac:dyDescent="0.3">
      <c r="A80" s="24"/>
      <c r="B80" s="25" t="s">
        <v>99</v>
      </c>
      <c r="C80" s="25" t="s">
        <v>13</v>
      </c>
      <c r="D80" s="43">
        <v>623134.87</v>
      </c>
    </row>
    <row r="81" spans="1:4" ht="15.75" thickBot="1" x14ac:dyDescent="0.3">
      <c r="A81" s="24"/>
      <c r="B81" s="25" t="s">
        <v>100</v>
      </c>
      <c r="C81" s="25" t="s">
        <v>13</v>
      </c>
      <c r="D81" s="43">
        <f>D79-D80</f>
        <v>168197.95000000007</v>
      </c>
    </row>
    <row r="82" spans="1:4" ht="15.75" thickBot="1" x14ac:dyDescent="0.3">
      <c r="A82" s="24"/>
      <c r="B82" s="25" t="s">
        <v>101</v>
      </c>
      <c r="C82" s="25" t="s">
        <v>13</v>
      </c>
      <c r="D82" s="43">
        <v>789501.9</v>
      </c>
    </row>
    <row r="83" spans="1:4" ht="15.75" thickBot="1" x14ac:dyDescent="0.3">
      <c r="A83" s="24"/>
      <c r="B83" s="25" t="s">
        <v>102</v>
      </c>
      <c r="C83" s="25" t="s">
        <v>13</v>
      </c>
      <c r="D83" s="43">
        <f>D80</f>
        <v>623134.87</v>
      </c>
    </row>
    <row r="84" spans="1:4" ht="15.75" thickBot="1" x14ac:dyDescent="0.3">
      <c r="A84" s="24"/>
      <c r="B84" s="25" t="s">
        <v>103</v>
      </c>
      <c r="C84" s="25" t="s">
        <v>13</v>
      </c>
      <c r="D84" s="43">
        <f>D81</f>
        <v>168197.95000000007</v>
      </c>
    </row>
    <row r="85" spans="1:4" ht="15.75" thickBot="1" x14ac:dyDescent="0.3">
      <c r="A85" s="24"/>
      <c r="B85" s="29" t="s">
        <v>104</v>
      </c>
      <c r="C85" s="25" t="s">
        <v>13</v>
      </c>
      <c r="D85" s="39">
        <v>0</v>
      </c>
    </row>
    <row r="86" spans="1:4" ht="15.75" thickBot="1" x14ac:dyDescent="0.3">
      <c r="A86" s="40" t="s">
        <v>105</v>
      </c>
      <c r="B86" s="41" t="s">
        <v>93</v>
      </c>
      <c r="C86" s="42" t="s">
        <v>47</v>
      </c>
      <c r="D86" s="41" t="s">
        <v>106</v>
      </c>
    </row>
    <row r="87" spans="1:4" ht="15.75" thickBot="1" x14ac:dyDescent="0.3">
      <c r="A87" s="24"/>
      <c r="B87" s="29" t="s">
        <v>95</v>
      </c>
      <c r="C87" s="25" t="s">
        <v>47</v>
      </c>
      <c r="D87" s="29" t="s">
        <v>107</v>
      </c>
    </row>
    <row r="88" spans="1:4" ht="15.75" thickBot="1" x14ac:dyDescent="0.3">
      <c r="A88" s="24"/>
      <c r="B88" s="29" t="s">
        <v>97</v>
      </c>
      <c r="C88" s="25" t="s">
        <v>107</v>
      </c>
      <c r="D88" s="44">
        <v>9260.6254000000008</v>
      </c>
    </row>
    <row r="89" spans="1:4" ht="15.75" thickBot="1" x14ac:dyDescent="0.3">
      <c r="A89" s="24"/>
      <c r="B89" s="29" t="s">
        <v>98</v>
      </c>
      <c r="C89" s="25" t="s">
        <v>13</v>
      </c>
      <c r="D89" s="44">
        <f>1293.69+6087.85+94481.38-4144.97</f>
        <v>97717.950000000012</v>
      </c>
    </row>
    <row r="90" spans="1:4" ht="15.75" thickBot="1" x14ac:dyDescent="0.3">
      <c r="A90" s="24"/>
      <c r="B90" s="25" t="s">
        <v>99</v>
      </c>
      <c r="C90" s="25" t="s">
        <v>13</v>
      </c>
      <c r="D90" s="45">
        <f>6985.6+84513.17</f>
        <v>91498.77</v>
      </c>
    </row>
    <row r="91" spans="1:4" ht="15.75" thickBot="1" x14ac:dyDescent="0.3">
      <c r="A91" s="24"/>
      <c r="B91" s="25" t="s">
        <v>100</v>
      </c>
      <c r="C91" s="25" t="s">
        <v>13</v>
      </c>
      <c r="D91" s="45">
        <f>D89-D90</f>
        <v>6219.1800000000076</v>
      </c>
    </row>
    <row r="92" spans="1:4" ht="15.75" thickBot="1" x14ac:dyDescent="0.3">
      <c r="A92" s="24"/>
      <c r="B92" s="25" t="s">
        <v>101</v>
      </c>
      <c r="C92" s="25" t="s">
        <v>13</v>
      </c>
      <c r="D92" s="45">
        <v>156402.84</v>
      </c>
    </row>
    <row r="93" spans="1:4" ht="15.75" thickBot="1" x14ac:dyDescent="0.3">
      <c r="A93" s="24"/>
      <c r="B93" s="25" t="s">
        <v>102</v>
      </c>
      <c r="C93" s="25" t="s">
        <v>13</v>
      </c>
      <c r="D93" s="45">
        <f>D90</f>
        <v>91498.77</v>
      </c>
    </row>
    <row r="94" spans="1:4" ht="15.75" thickBot="1" x14ac:dyDescent="0.3">
      <c r="A94" s="24"/>
      <c r="B94" s="25" t="s">
        <v>103</v>
      </c>
      <c r="C94" s="25" t="s">
        <v>13</v>
      </c>
      <c r="D94" s="45">
        <f>D91</f>
        <v>6219.1800000000076</v>
      </c>
    </row>
    <row r="95" spans="1:4" ht="15.75" thickBot="1" x14ac:dyDescent="0.3">
      <c r="A95" s="24"/>
      <c r="B95" s="29" t="s">
        <v>104</v>
      </c>
      <c r="C95" s="25" t="s">
        <v>13</v>
      </c>
      <c r="D95" s="44">
        <v>0</v>
      </c>
    </row>
    <row r="96" spans="1:4" ht="15.75" thickBot="1" x14ac:dyDescent="0.3">
      <c r="A96" s="40" t="s">
        <v>108</v>
      </c>
      <c r="B96" s="41" t="s">
        <v>93</v>
      </c>
      <c r="C96" s="42" t="s">
        <v>47</v>
      </c>
      <c r="D96" s="41" t="s">
        <v>109</v>
      </c>
    </row>
    <row r="97" spans="1:4" ht="15.75" thickBot="1" x14ac:dyDescent="0.3">
      <c r="A97" s="24"/>
      <c r="B97" s="29" t="s">
        <v>95</v>
      </c>
      <c r="C97" s="25" t="s">
        <v>47</v>
      </c>
      <c r="D97" s="29" t="s">
        <v>107</v>
      </c>
    </row>
    <row r="98" spans="1:4" ht="15.75" thickBot="1" x14ac:dyDescent="0.3">
      <c r="A98" s="24"/>
      <c r="B98" s="29" t="s">
        <v>97</v>
      </c>
      <c r="C98" s="25" t="s">
        <v>107</v>
      </c>
      <c r="D98" s="44">
        <f>6036.5362+3098.5259</f>
        <v>9135.0620999999992</v>
      </c>
    </row>
    <row r="99" spans="1:4" ht="15.75" thickBot="1" x14ac:dyDescent="0.3">
      <c r="A99" s="24"/>
      <c r="B99" s="29" t="s">
        <v>98</v>
      </c>
      <c r="C99" s="25" t="s">
        <v>13</v>
      </c>
      <c r="D99" s="44">
        <f>639365.71-3926.9+1060.23</f>
        <v>636499.03999999992</v>
      </c>
    </row>
    <row r="100" spans="1:4" ht="15.75" thickBot="1" x14ac:dyDescent="0.3">
      <c r="A100" s="24"/>
      <c r="B100" s="25" t="s">
        <v>99</v>
      </c>
      <c r="C100" s="25" t="s">
        <v>13</v>
      </c>
      <c r="D100" s="45">
        <f>581551.76+3024.69</f>
        <v>584576.44999999995</v>
      </c>
    </row>
    <row r="101" spans="1:4" ht="15.75" thickBot="1" x14ac:dyDescent="0.3">
      <c r="A101" s="24"/>
      <c r="B101" s="25" t="s">
        <v>100</v>
      </c>
      <c r="C101" s="25" t="s">
        <v>13</v>
      </c>
      <c r="D101" s="45">
        <f>D99-D100</f>
        <v>51922.589999999967</v>
      </c>
    </row>
    <row r="102" spans="1:4" ht="15.75" thickBot="1" x14ac:dyDescent="0.3">
      <c r="A102" s="24"/>
      <c r="B102" s="25" t="s">
        <v>101</v>
      </c>
      <c r="C102" s="25" t="s">
        <v>13</v>
      </c>
      <c r="D102" s="45">
        <v>641350.32999999996</v>
      </c>
    </row>
    <row r="103" spans="1:4" ht="15.75" thickBot="1" x14ac:dyDescent="0.3">
      <c r="A103" s="24"/>
      <c r="B103" s="25" t="s">
        <v>102</v>
      </c>
      <c r="C103" s="25" t="s">
        <v>13</v>
      </c>
      <c r="D103" s="45">
        <f>D100</f>
        <v>584576.44999999995</v>
      </c>
    </row>
    <row r="104" spans="1:4" ht="15.75" thickBot="1" x14ac:dyDescent="0.3">
      <c r="A104" s="24"/>
      <c r="B104" s="25" t="s">
        <v>103</v>
      </c>
      <c r="C104" s="25" t="s">
        <v>13</v>
      </c>
      <c r="D104" s="45">
        <f>D101</f>
        <v>51922.589999999967</v>
      </c>
    </row>
    <row r="105" spans="1:4" ht="15.75" thickBot="1" x14ac:dyDescent="0.3">
      <c r="A105" s="24"/>
      <c r="B105" s="29" t="s">
        <v>104</v>
      </c>
      <c r="C105" s="25" t="s">
        <v>13</v>
      </c>
      <c r="D105" s="44">
        <v>0</v>
      </c>
    </row>
    <row r="106" spans="1:4" ht="15.75" thickBot="1" x14ac:dyDescent="0.3">
      <c r="A106" s="40" t="s">
        <v>110</v>
      </c>
      <c r="B106" s="41" t="s">
        <v>93</v>
      </c>
      <c r="C106" s="42" t="s">
        <v>47</v>
      </c>
      <c r="D106" s="41" t="s">
        <v>111</v>
      </c>
    </row>
    <row r="107" spans="1:4" ht="15.75" thickBot="1" x14ac:dyDescent="0.3">
      <c r="A107" s="24"/>
      <c r="B107" s="29" t="s">
        <v>95</v>
      </c>
      <c r="C107" s="25" t="s">
        <v>47</v>
      </c>
      <c r="D107" s="29" t="s">
        <v>107</v>
      </c>
    </row>
    <row r="108" spans="1:4" ht="15.75" thickBot="1" x14ac:dyDescent="0.3">
      <c r="A108" s="24"/>
      <c r="B108" s="29" t="s">
        <v>97</v>
      </c>
      <c r="C108" s="25" t="s">
        <v>107</v>
      </c>
      <c r="D108" s="39">
        <v>15297.151900000001</v>
      </c>
    </row>
    <row r="109" spans="1:4" ht="15.75" thickBot="1" x14ac:dyDescent="0.3">
      <c r="A109" s="24"/>
      <c r="B109" s="29" t="s">
        <v>98</v>
      </c>
      <c r="C109" s="25" t="s">
        <v>13</v>
      </c>
      <c r="D109" s="39">
        <f>161998.03-7171.57</f>
        <v>154826.46</v>
      </c>
    </row>
    <row r="110" spans="1:4" ht="15.75" thickBot="1" x14ac:dyDescent="0.3">
      <c r="A110" s="24"/>
      <c r="B110" s="25" t="s">
        <v>99</v>
      </c>
      <c r="C110" s="25" t="s">
        <v>13</v>
      </c>
      <c r="D110" s="43">
        <v>160826.32</v>
      </c>
    </row>
    <row r="111" spans="1:4" ht="15.75" thickBot="1" x14ac:dyDescent="0.3">
      <c r="A111" s="24"/>
      <c r="B111" s="25" t="s">
        <v>100</v>
      </c>
      <c r="C111" s="25" t="s">
        <v>13</v>
      </c>
      <c r="D111" s="43">
        <v>0</v>
      </c>
    </row>
    <row r="112" spans="1:4" ht="15.75" thickBot="1" x14ac:dyDescent="0.3">
      <c r="A112" s="24"/>
      <c r="B112" s="25" t="s">
        <v>101</v>
      </c>
      <c r="C112" s="25" t="s">
        <v>13</v>
      </c>
      <c r="D112" s="43">
        <v>254968.74</v>
      </c>
    </row>
    <row r="113" spans="1:4" ht="15.75" thickBot="1" x14ac:dyDescent="0.3">
      <c r="A113" s="24"/>
      <c r="B113" s="25" t="s">
        <v>102</v>
      </c>
      <c r="C113" s="25" t="s">
        <v>13</v>
      </c>
      <c r="D113" s="43">
        <f>D110</f>
        <v>160826.32</v>
      </c>
    </row>
    <row r="114" spans="1:4" ht="15.75" thickBot="1" x14ac:dyDescent="0.3">
      <c r="A114" s="24"/>
      <c r="B114" s="25" t="s">
        <v>103</v>
      </c>
      <c r="C114" s="25" t="s">
        <v>13</v>
      </c>
      <c r="D114" s="43">
        <v>0</v>
      </c>
    </row>
    <row r="115" spans="1:4" ht="15.75" thickBot="1" x14ac:dyDescent="0.3">
      <c r="A115" s="24"/>
      <c r="B115" s="29" t="s">
        <v>104</v>
      </c>
      <c r="C115" s="25" t="s">
        <v>13</v>
      </c>
      <c r="D115" s="39">
        <v>0</v>
      </c>
    </row>
    <row r="116" spans="1:4" x14ac:dyDescent="0.25">
      <c r="A116" s="46"/>
      <c r="B116" s="47"/>
      <c r="C116" s="48"/>
      <c r="D116" s="49"/>
    </row>
    <row r="117" spans="1:4" ht="15.75" thickBot="1" x14ac:dyDescent="0.3">
      <c r="A117" s="8" t="s">
        <v>112</v>
      </c>
      <c r="B117" s="2"/>
      <c r="C117" s="2"/>
      <c r="D117" s="2"/>
    </row>
    <row r="118" spans="1:4" ht="15.75" thickBot="1" x14ac:dyDescent="0.3">
      <c r="A118" s="22" t="s">
        <v>113</v>
      </c>
      <c r="B118" s="33" t="s">
        <v>73</v>
      </c>
      <c r="C118" s="32" t="s">
        <v>114</v>
      </c>
      <c r="D118" s="33">
        <v>0</v>
      </c>
    </row>
    <row r="119" spans="1:4" ht="15.75" thickBot="1" x14ac:dyDescent="0.3">
      <c r="A119" s="24" t="s">
        <v>115</v>
      </c>
      <c r="B119" s="29" t="s">
        <v>75</v>
      </c>
      <c r="C119" s="25" t="s">
        <v>114</v>
      </c>
      <c r="D119" s="29">
        <v>0</v>
      </c>
    </row>
    <row r="120" spans="1:4" ht="15.75" thickBot="1" x14ac:dyDescent="0.3">
      <c r="A120" s="24" t="s">
        <v>116</v>
      </c>
      <c r="B120" s="29" t="s">
        <v>77</v>
      </c>
      <c r="C120" s="25" t="s">
        <v>114</v>
      </c>
      <c r="D120" s="29">
        <v>0</v>
      </c>
    </row>
    <row r="121" spans="1:4" ht="15.75" thickBot="1" x14ac:dyDescent="0.3">
      <c r="A121" s="24" t="s">
        <v>117</v>
      </c>
      <c r="B121" s="29" t="s">
        <v>79</v>
      </c>
      <c r="C121" s="25" t="s">
        <v>13</v>
      </c>
      <c r="D121" s="39">
        <v>0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118</v>
      </c>
      <c r="B123" s="2"/>
      <c r="C123" s="2"/>
      <c r="D123" s="2"/>
    </row>
    <row r="124" spans="1:4" ht="15.75" thickBot="1" x14ac:dyDescent="0.3">
      <c r="A124" s="34">
        <v>48</v>
      </c>
      <c r="B124" s="33" t="s">
        <v>119</v>
      </c>
      <c r="C124" s="32" t="s">
        <v>114</v>
      </c>
      <c r="D124" s="33">
        <v>1</v>
      </c>
    </row>
    <row r="125" spans="1:4" ht="15.75" thickBot="1" x14ac:dyDescent="0.3">
      <c r="A125" s="50">
        <v>49</v>
      </c>
      <c r="B125" s="29" t="s">
        <v>120</v>
      </c>
      <c r="C125" s="25" t="s">
        <v>114</v>
      </c>
      <c r="D125" s="29">
        <v>0</v>
      </c>
    </row>
    <row r="126" spans="1:4" ht="15.75" thickBot="1" x14ac:dyDescent="0.3">
      <c r="A126" s="51">
        <v>50</v>
      </c>
      <c r="B126" s="52" t="s">
        <v>121</v>
      </c>
      <c r="C126" s="53" t="s">
        <v>13</v>
      </c>
      <c r="D126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46" workbookViewId="0">
      <selection activeCell="D56" sqref="D56:D59"/>
    </sheetView>
  </sheetViews>
  <sheetFormatPr defaultRowHeight="15" x14ac:dyDescent="0.25"/>
  <cols>
    <col min="2" max="2" width="74.140625" customWidth="1"/>
    <col min="3" max="3" width="12.5703125" customWidth="1"/>
    <col min="4" max="4" width="57.28515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289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290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46873.86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46873.86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602591.96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397915.03+12616.86</f>
        <v>410531.89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157538.59+4821.42</f>
        <v>162360.01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653867.42000000004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412119.87+162589.62+54617.93</f>
        <v>629327.42000000004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24540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D20-D15</f>
        <v>606993.56000000006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120556.08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120556.08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134</v>
      </c>
    </row>
    <row r="54" spans="1:4" ht="15.75" thickBot="1" x14ac:dyDescent="0.3">
      <c r="A54" s="24"/>
      <c r="B54" s="25" t="s">
        <v>51</v>
      </c>
      <c r="C54" s="25" t="s">
        <v>47</v>
      </c>
      <c r="D54" s="55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68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133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3808170471</v>
      </c>
    </row>
    <row r="60" spans="1:4" x14ac:dyDescent="0.25">
      <c r="A60" s="2"/>
      <c r="B60" s="2"/>
      <c r="C60" s="2"/>
      <c r="D60" s="2"/>
    </row>
    <row r="61" spans="1:4" ht="15.75" thickBot="1" x14ac:dyDescent="0.3">
      <c r="A61" s="8" t="s">
        <v>71</v>
      </c>
      <c r="B61" s="2"/>
      <c r="C61" s="2"/>
      <c r="D61" s="2"/>
    </row>
    <row r="62" spans="1:4" ht="15.75" thickBot="1" x14ac:dyDescent="0.3">
      <c r="A62" s="22" t="s">
        <v>72</v>
      </c>
      <c r="B62" s="32" t="s">
        <v>73</v>
      </c>
      <c r="C62" s="32" t="s">
        <v>47</v>
      </c>
      <c r="D62" s="33">
        <v>0</v>
      </c>
    </row>
    <row r="63" spans="1:4" ht="15.75" thickBot="1" x14ac:dyDescent="0.3">
      <c r="A63" s="24" t="s">
        <v>74</v>
      </c>
      <c r="B63" s="25" t="s">
        <v>75</v>
      </c>
      <c r="C63" s="25" t="s">
        <v>47</v>
      </c>
      <c r="D63" s="29">
        <v>0</v>
      </c>
    </row>
    <row r="64" spans="1:4" ht="15.75" thickBot="1" x14ac:dyDescent="0.3">
      <c r="A64" s="24" t="s">
        <v>76</v>
      </c>
      <c r="B64" s="25" t="s">
        <v>77</v>
      </c>
      <c r="C64" s="25" t="s">
        <v>47</v>
      </c>
      <c r="D64" s="29">
        <v>0</v>
      </c>
    </row>
    <row r="65" spans="1:4" ht="15.75" thickBot="1" x14ac:dyDescent="0.3">
      <c r="A65" s="22" t="s">
        <v>78</v>
      </c>
      <c r="B65" s="34" t="s">
        <v>79</v>
      </c>
      <c r="C65" s="34" t="s">
        <v>13</v>
      </c>
      <c r="D65" s="35">
        <v>0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80</v>
      </c>
      <c r="B67" s="2"/>
      <c r="C67" s="2"/>
      <c r="D67" s="2"/>
    </row>
    <row r="68" spans="1:4" ht="15.75" thickBot="1" x14ac:dyDescent="0.3">
      <c r="A68" s="36" t="s">
        <v>81</v>
      </c>
      <c r="B68" s="33" t="s">
        <v>82</v>
      </c>
      <c r="C68" s="32" t="s">
        <v>13</v>
      </c>
      <c r="D68" s="37">
        <f>D70+D69</f>
        <v>114178.20000000001</v>
      </c>
    </row>
    <row r="69" spans="1:4" ht="15.75" thickBot="1" x14ac:dyDescent="0.3">
      <c r="A69" s="38" t="s">
        <v>83</v>
      </c>
      <c r="B69" s="25" t="s">
        <v>84</v>
      </c>
      <c r="C69" s="25" t="s">
        <v>13</v>
      </c>
      <c r="D69" s="39">
        <f>-(17920.56+1283.69+4550.38+1336.82+10.98)</f>
        <v>-25102.43</v>
      </c>
    </row>
    <row r="70" spans="1:4" ht="15.75" thickBot="1" x14ac:dyDescent="0.3">
      <c r="A70" s="38" t="s">
        <v>85</v>
      </c>
      <c r="B70" s="25" t="s">
        <v>86</v>
      </c>
      <c r="C70" s="25" t="s">
        <v>13</v>
      </c>
      <c r="D70" s="39">
        <f>39076.39+12569.89+56149.18+30487.26+91.04+906.87</f>
        <v>139280.63</v>
      </c>
    </row>
    <row r="71" spans="1:4" ht="15.75" thickBot="1" x14ac:dyDescent="0.3">
      <c r="A71" s="38" t="s">
        <v>87</v>
      </c>
      <c r="B71" s="29" t="s">
        <v>88</v>
      </c>
      <c r="C71" s="25" t="s">
        <v>13</v>
      </c>
      <c r="D71" s="39">
        <f>D73+D72</f>
        <v>81601.37000000001</v>
      </c>
    </row>
    <row r="72" spans="1:4" ht="15.75" thickBot="1" x14ac:dyDescent="0.3">
      <c r="A72" s="38" t="s">
        <v>89</v>
      </c>
      <c r="B72" s="25" t="s">
        <v>84</v>
      </c>
      <c r="C72" s="25" t="s">
        <v>13</v>
      </c>
      <c r="D72" s="39">
        <f>-(5325.66+2897.62+5953.92+3326.38+6992.31+3128.69)</f>
        <v>-27624.579999999998</v>
      </c>
    </row>
    <row r="73" spans="1:4" ht="15.75" thickBot="1" x14ac:dyDescent="0.3">
      <c r="A73" s="38" t="s">
        <v>90</v>
      </c>
      <c r="B73" s="25" t="s">
        <v>86</v>
      </c>
      <c r="C73" s="25" t="s">
        <v>13</v>
      </c>
      <c r="D73" s="39">
        <f>63836.82+5843.78+28159.28+10705.19+54.46+626.42</f>
        <v>109225.95000000001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91</v>
      </c>
      <c r="B75" s="2"/>
      <c r="C75" s="2"/>
      <c r="D75" s="2"/>
    </row>
    <row r="76" spans="1:4" ht="15.75" thickBot="1" x14ac:dyDescent="0.3">
      <c r="A76" s="40" t="s">
        <v>92</v>
      </c>
      <c r="B76" s="41" t="s">
        <v>93</v>
      </c>
      <c r="C76" s="42" t="s">
        <v>47</v>
      </c>
      <c r="D76" s="41" t="s">
        <v>94</v>
      </c>
    </row>
    <row r="77" spans="1:4" ht="15.75" thickBot="1" x14ac:dyDescent="0.3">
      <c r="A77" s="24"/>
      <c r="B77" s="29" t="s">
        <v>95</v>
      </c>
      <c r="C77" s="25" t="s">
        <v>47</v>
      </c>
      <c r="D77" s="29" t="s">
        <v>96</v>
      </c>
    </row>
    <row r="78" spans="1:4" ht="15.75" thickBot="1" x14ac:dyDescent="0.3">
      <c r="A78" s="24"/>
      <c r="B78" s="29" t="s">
        <v>97</v>
      </c>
      <c r="C78" s="25" t="s">
        <v>96</v>
      </c>
      <c r="D78" s="39">
        <v>565.3682</v>
      </c>
    </row>
    <row r="79" spans="1:4" ht="15.75" thickBot="1" x14ac:dyDescent="0.3">
      <c r="A79" s="24"/>
      <c r="B79" s="29" t="s">
        <v>98</v>
      </c>
      <c r="C79" s="25" t="s">
        <v>13</v>
      </c>
      <c r="D79" s="39">
        <f>564515.87+2975.15</f>
        <v>567491.02</v>
      </c>
    </row>
    <row r="80" spans="1:4" ht="15.75" thickBot="1" x14ac:dyDescent="0.3">
      <c r="A80" s="24"/>
      <c r="B80" s="25" t="s">
        <v>99</v>
      </c>
      <c r="C80" s="25" t="s">
        <v>13</v>
      </c>
      <c r="D80" s="43">
        <v>530135.68999999994</v>
      </c>
    </row>
    <row r="81" spans="1:4" ht="15.75" thickBot="1" x14ac:dyDescent="0.3">
      <c r="A81" s="24"/>
      <c r="B81" s="25" t="s">
        <v>100</v>
      </c>
      <c r="C81" s="25" t="s">
        <v>13</v>
      </c>
      <c r="D81" s="43">
        <f>D79-D80</f>
        <v>37355.330000000075</v>
      </c>
    </row>
    <row r="82" spans="1:4" ht="15.75" thickBot="1" x14ac:dyDescent="0.3">
      <c r="A82" s="24"/>
      <c r="B82" s="25" t="s">
        <v>101</v>
      </c>
      <c r="C82" s="25" t="s">
        <v>13</v>
      </c>
      <c r="D82" s="43">
        <v>510019.44</v>
      </c>
    </row>
    <row r="83" spans="1:4" ht="15.75" thickBot="1" x14ac:dyDescent="0.3">
      <c r="A83" s="24"/>
      <c r="B83" s="25" t="s">
        <v>102</v>
      </c>
      <c r="C83" s="25" t="s">
        <v>13</v>
      </c>
      <c r="D83" s="43">
        <f>D80</f>
        <v>530135.68999999994</v>
      </c>
    </row>
    <row r="84" spans="1:4" ht="15.75" thickBot="1" x14ac:dyDescent="0.3">
      <c r="A84" s="24"/>
      <c r="B84" s="25" t="s">
        <v>103</v>
      </c>
      <c r="C84" s="25" t="s">
        <v>13</v>
      </c>
      <c r="D84" s="43">
        <v>0</v>
      </c>
    </row>
    <row r="85" spans="1:4" ht="15.75" thickBot="1" x14ac:dyDescent="0.3">
      <c r="A85" s="24"/>
      <c r="B85" s="29" t="s">
        <v>104</v>
      </c>
      <c r="C85" s="25" t="s">
        <v>13</v>
      </c>
      <c r="D85" s="39">
        <v>0</v>
      </c>
    </row>
    <row r="86" spans="1:4" ht="15.75" thickBot="1" x14ac:dyDescent="0.3">
      <c r="A86" s="40" t="s">
        <v>105</v>
      </c>
      <c r="B86" s="41" t="s">
        <v>93</v>
      </c>
      <c r="C86" s="42" t="s">
        <v>47</v>
      </c>
      <c r="D86" s="41" t="s">
        <v>106</v>
      </c>
    </row>
    <row r="87" spans="1:4" ht="15.75" thickBot="1" x14ac:dyDescent="0.3">
      <c r="A87" s="24"/>
      <c r="B87" s="29" t="s">
        <v>95</v>
      </c>
      <c r="C87" s="25" t="s">
        <v>47</v>
      </c>
      <c r="D87" s="29" t="s">
        <v>107</v>
      </c>
    </row>
    <row r="88" spans="1:4" ht="15.75" thickBot="1" x14ac:dyDescent="0.3">
      <c r="A88" s="24"/>
      <c r="B88" s="29" t="s">
        <v>97</v>
      </c>
      <c r="C88" s="25" t="s">
        <v>107</v>
      </c>
      <c r="D88" s="44">
        <v>5571.88</v>
      </c>
    </row>
    <row r="89" spans="1:4" ht="15.75" thickBot="1" x14ac:dyDescent="0.3">
      <c r="A89" s="24"/>
      <c r="B89" s="29" t="s">
        <v>98</v>
      </c>
      <c r="C89" s="25" t="s">
        <v>13</v>
      </c>
      <c r="D89" s="44">
        <f>610.95+264.47+56874.57-737.11</f>
        <v>57012.88</v>
      </c>
    </row>
    <row r="90" spans="1:4" ht="15.75" thickBot="1" x14ac:dyDescent="0.3">
      <c r="A90" s="24"/>
      <c r="B90" s="25" t="s">
        <v>99</v>
      </c>
      <c r="C90" s="25" t="s">
        <v>13</v>
      </c>
      <c r="D90" s="45">
        <f>7904.31+64477.5</f>
        <v>72381.81</v>
      </c>
    </row>
    <row r="91" spans="1:4" ht="15.75" thickBot="1" x14ac:dyDescent="0.3">
      <c r="A91" s="24"/>
      <c r="B91" s="25" t="s">
        <v>100</v>
      </c>
      <c r="C91" s="25" t="s">
        <v>13</v>
      </c>
      <c r="D91" s="45">
        <v>0</v>
      </c>
    </row>
    <row r="92" spans="1:4" ht="15.75" thickBot="1" x14ac:dyDescent="0.3">
      <c r="A92" s="24"/>
      <c r="B92" s="25" t="s">
        <v>101</v>
      </c>
      <c r="C92" s="25" t="s">
        <v>13</v>
      </c>
      <c r="D92" s="45">
        <v>73163.48</v>
      </c>
    </row>
    <row r="93" spans="1:4" ht="15.75" thickBot="1" x14ac:dyDescent="0.3">
      <c r="A93" s="24"/>
      <c r="B93" s="25" t="s">
        <v>102</v>
      </c>
      <c r="C93" s="25" t="s">
        <v>13</v>
      </c>
      <c r="D93" s="45">
        <f>D90</f>
        <v>72381.81</v>
      </c>
    </row>
    <row r="94" spans="1:4" ht="15.75" thickBot="1" x14ac:dyDescent="0.3">
      <c r="A94" s="24"/>
      <c r="B94" s="25" t="s">
        <v>103</v>
      </c>
      <c r="C94" s="25" t="s">
        <v>13</v>
      </c>
      <c r="D94" s="45">
        <v>0</v>
      </c>
    </row>
    <row r="95" spans="1:4" ht="15.75" thickBot="1" x14ac:dyDescent="0.3">
      <c r="A95" s="24"/>
      <c r="B95" s="29" t="s">
        <v>104</v>
      </c>
      <c r="C95" s="25" t="s">
        <v>13</v>
      </c>
      <c r="D95" s="44">
        <v>0</v>
      </c>
    </row>
    <row r="96" spans="1:4" ht="15.75" thickBot="1" x14ac:dyDescent="0.3">
      <c r="A96" s="40" t="s">
        <v>108</v>
      </c>
      <c r="B96" s="41" t="s">
        <v>93</v>
      </c>
      <c r="C96" s="42" t="s">
        <v>47</v>
      </c>
      <c r="D96" s="41" t="s">
        <v>109</v>
      </c>
    </row>
    <row r="97" spans="1:4" ht="15.75" thickBot="1" x14ac:dyDescent="0.3">
      <c r="A97" s="24"/>
      <c r="B97" s="29" t="s">
        <v>95</v>
      </c>
      <c r="C97" s="25" t="s">
        <v>47</v>
      </c>
      <c r="D97" s="29" t="s">
        <v>107</v>
      </c>
    </row>
    <row r="98" spans="1:4" ht="15.75" thickBot="1" x14ac:dyDescent="0.3">
      <c r="A98" s="24"/>
      <c r="B98" s="29" t="s">
        <v>97</v>
      </c>
      <c r="C98" s="25" t="s">
        <v>107</v>
      </c>
      <c r="D98" s="44">
        <v>3837.6469999999999</v>
      </c>
    </row>
    <row r="99" spans="1:4" ht="15.75" thickBot="1" x14ac:dyDescent="0.3">
      <c r="A99" s="24"/>
      <c r="B99" s="29" t="s">
        <v>98</v>
      </c>
      <c r="C99" s="25" t="s">
        <v>13</v>
      </c>
      <c r="D99" s="44">
        <f>269210.65-980.35+6715.95+267.56</f>
        <v>275213.81000000006</v>
      </c>
    </row>
    <row r="100" spans="1:4" ht="15.75" thickBot="1" x14ac:dyDescent="0.3">
      <c r="A100" s="24"/>
      <c r="B100" s="25" t="s">
        <v>99</v>
      </c>
      <c r="C100" s="25" t="s">
        <v>13</v>
      </c>
      <c r="D100" s="45">
        <f>297623.74+10381.67</f>
        <v>308005.40999999997</v>
      </c>
    </row>
    <row r="101" spans="1:4" ht="15.75" thickBot="1" x14ac:dyDescent="0.3">
      <c r="A101" s="24"/>
      <c r="B101" s="25" t="s">
        <v>100</v>
      </c>
      <c r="C101" s="25" t="s">
        <v>13</v>
      </c>
      <c r="D101" s="45">
        <v>0</v>
      </c>
    </row>
    <row r="102" spans="1:4" ht="15.75" thickBot="1" x14ac:dyDescent="0.3">
      <c r="A102" s="24"/>
      <c r="B102" s="25" t="s">
        <v>101</v>
      </c>
      <c r="C102" s="25" t="s">
        <v>13</v>
      </c>
      <c r="D102" s="45">
        <v>409429.46</v>
      </c>
    </row>
    <row r="103" spans="1:4" ht="15.75" thickBot="1" x14ac:dyDescent="0.3">
      <c r="A103" s="24"/>
      <c r="B103" s="25" t="s">
        <v>102</v>
      </c>
      <c r="C103" s="25" t="s">
        <v>13</v>
      </c>
      <c r="D103" s="45">
        <f>D100</f>
        <v>308005.40999999997</v>
      </c>
    </row>
    <row r="104" spans="1:4" ht="15.75" thickBot="1" x14ac:dyDescent="0.3">
      <c r="A104" s="24"/>
      <c r="B104" s="25" t="s">
        <v>103</v>
      </c>
      <c r="C104" s="25" t="s">
        <v>13</v>
      </c>
      <c r="D104" s="45">
        <v>0</v>
      </c>
    </row>
    <row r="105" spans="1:4" ht="15.75" thickBot="1" x14ac:dyDescent="0.3">
      <c r="A105" s="24"/>
      <c r="B105" s="29" t="s">
        <v>104</v>
      </c>
      <c r="C105" s="25" t="s">
        <v>13</v>
      </c>
      <c r="D105" s="44">
        <v>0</v>
      </c>
    </row>
    <row r="106" spans="1:4" ht="15.75" thickBot="1" x14ac:dyDescent="0.3">
      <c r="A106" s="40" t="s">
        <v>110</v>
      </c>
      <c r="B106" s="41" t="s">
        <v>93</v>
      </c>
      <c r="C106" s="42" t="s">
        <v>47</v>
      </c>
      <c r="D106" s="41" t="s">
        <v>111</v>
      </c>
    </row>
    <row r="107" spans="1:4" ht="15.75" thickBot="1" x14ac:dyDescent="0.3">
      <c r="A107" s="24"/>
      <c r="B107" s="29" t="s">
        <v>95</v>
      </c>
      <c r="C107" s="25" t="s">
        <v>47</v>
      </c>
      <c r="D107" s="29" t="s">
        <v>107</v>
      </c>
    </row>
    <row r="108" spans="1:4" ht="15.75" thickBot="1" x14ac:dyDescent="0.3">
      <c r="A108" s="24"/>
      <c r="B108" s="29" t="s">
        <v>97</v>
      </c>
      <c r="C108" s="25" t="s">
        <v>107</v>
      </c>
      <c r="D108" s="39">
        <v>9409.5205999999998</v>
      </c>
    </row>
    <row r="109" spans="1:4" ht="15.75" thickBot="1" x14ac:dyDescent="0.3">
      <c r="A109" s="24"/>
      <c r="B109" s="29" t="s">
        <v>98</v>
      </c>
      <c r="C109" s="25" t="s">
        <v>13</v>
      </c>
      <c r="D109" s="39">
        <f>99675.55-1384.11</f>
        <v>98291.44</v>
      </c>
    </row>
    <row r="110" spans="1:4" ht="15.75" thickBot="1" x14ac:dyDescent="0.3">
      <c r="A110" s="24"/>
      <c r="B110" s="25" t="s">
        <v>99</v>
      </c>
      <c r="C110" s="25" t="s">
        <v>13</v>
      </c>
      <c r="D110" s="43">
        <v>120063.07</v>
      </c>
    </row>
    <row r="111" spans="1:4" ht="15.75" thickBot="1" x14ac:dyDescent="0.3">
      <c r="A111" s="24"/>
      <c r="B111" s="25" t="s">
        <v>100</v>
      </c>
      <c r="C111" s="25" t="s">
        <v>13</v>
      </c>
      <c r="D111" s="43">
        <v>0</v>
      </c>
    </row>
    <row r="112" spans="1:4" ht="15.75" thickBot="1" x14ac:dyDescent="0.3">
      <c r="A112" s="24"/>
      <c r="B112" s="25" t="s">
        <v>101</v>
      </c>
      <c r="C112" s="25" t="s">
        <v>13</v>
      </c>
      <c r="D112" s="43">
        <v>195737.26</v>
      </c>
    </row>
    <row r="113" spans="1:4" ht="15.75" thickBot="1" x14ac:dyDescent="0.3">
      <c r="A113" s="24"/>
      <c r="B113" s="25" t="s">
        <v>102</v>
      </c>
      <c r="C113" s="25" t="s">
        <v>13</v>
      </c>
      <c r="D113" s="43">
        <f>D110</f>
        <v>120063.07</v>
      </c>
    </row>
    <row r="114" spans="1:4" ht="15.75" thickBot="1" x14ac:dyDescent="0.3">
      <c r="A114" s="24"/>
      <c r="B114" s="25" t="s">
        <v>103</v>
      </c>
      <c r="C114" s="25" t="s">
        <v>13</v>
      </c>
      <c r="D114" s="43">
        <v>0</v>
      </c>
    </row>
    <row r="115" spans="1:4" ht="15.75" thickBot="1" x14ac:dyDescent="0.3">
      <c r="A115" s="24"/>
      <c r="B115" s="29" t="s">
        <v>104</v>
      </c>
      <c r="C115" s="25" t="s">
        <v>13</v>
      </c>
      <c r="D115" s="39">
        <v>0</v>
      </c>
    </row>
    <row r="116" spans="1:4" x14ac:dyDescent="0.25">
      <c r="A116" s="46"/>
      <c r="B116" s="47"/>
      <c r="C116" s="48"/>
      <c r="D116" s="49"/>
    </row>
    <row r="117" spans="1:4" ht="15.75" thickBot="1" x14ac:dyDescent="0.3">
      <c r="A117" s="8" t="s">
        <v>112</v>
      </c>
      <c r="B117" s="2"/>
      <c r="C117" s="2"/>
      <c r="D117" s="2"/>
    </row>
    <row r="118" spans="1:4" ht="15.75" thickBot="1" x14ac:dyDescent="0.3">
      <c r="A118" s="22" t="s">
        <v>113</v>
      </c>
      <c r="B118" s="33" t="s">
        <v>73</v>
      </c>
      <c r="C118" s="32" t="s">
        <v>114</v>
      </c>
      <c r="D118" s="33">
        <v>0</v>
      </c>
    </row>
    <row r="119" spans="1:4" ht="15.75" thickBot="1" x14ac:dyDescent="0.3">
      <c r="A119" s="24" t="s">
        <v>115</v>
      </c>
      <c r="B119" s="29" t="s">
        <v>75</v>
      </c>
      <c r="C119" s="25" t="s">
        <v>114</v>
      </c>
      <c r="D119" s="29">
        <v>0</v>
      </c>
    </row>
    <row r="120" spans="1:4" ht="15.75" thickBot="1" x14ac:dyDescent="0.3">
      <c r="A120" s="24" t="s">
        <v>116</v>
      </c>
      <c r="B120" s="29" t="s">
        <v>77</v>
      </c>
      <c r="C120" s="25" t="s">
        <v>114</v>
      </c>
      <c r="D120" s="29">
        <v>0</v>
      </c>
    </row>
    <row r="121" spans="1:4" ht="15.75" thickBot="1" x14ac:dyDescent="0.3">
      <c r="A121" s="24" t="s">
        <v>117</v>
      </c>
      <c r="B121" s="29" t="s">
        <v>79</v>
      </c>
      <c r="C121" s="25" t="s">
        <v>13</v>
      </c>
      <c r="D121" s="39">
        <v>0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118</v>
      </c>
      <c r="B123" s="2"/>
      <c r="C123" s="2"/>
      <c r="D123" s="2"/>
    </row>
    <row r="124" spans="1:4" ht="15.75" thickBot="1" x14ac:dyDescent="0.3">
      <c r="A124" s="34">
        <v>48</v>
      </c>
      <c r="B124" s="33" t="s">
        <v>119</v>
      </c>
      <c r="C124" s="32" t="s">
        <v>114</v>
      </c>
      <c r="D124" s="33">
        <v>0</v>
      </c>
    </row>
    <row r="125" spans="1:4" ht="15.75" thickBot="1" x14ac:dyDescent="0.3">
      <c r="A125" s="50">
        <v>49</v>
      </c>
      <c r="B125" s="29" t="s">
        <v>120</v>
      </c>
      <c r="C125" s="25" t="s">
        <v>114</v>
      </c>
      <c r="D125" s="29">
        <v>0</v>
      </c>
    </row>
    <row r="126" spans="1:4" ht="15.75" thickBot="1" x14ac:dyDescent="0.3">
      <c r="A126" s="51">
        <v>50</v>
      </c>
      <c r="B126" s="52" t="s">
        <v>121</v>
      </c>
      <c r="C126" s="53" t="s">
        <v>13</v>
      </c>
      <c r="D126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topLeftCell="A49" workbookViewId="0">
      <selection activeCell="D60" sqref="D60:D63"/>
    </sheetView>
  </sheetViews>
  <sheetFormatPr defaultRowHeight="15" x14ac:dyDescent="0.25"/>
  <cols>
    <col min="2" max="2" width="73.140625" customWidth="1"/>
    <col min="3" max="3" width="13.5703125" customWidth="1"/>
    <col min="4" max="4" width="56.71093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291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292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167116.82999999999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167116.82999999999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1123110.78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672191.49+35572.62</f>
        <v>707764.11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384277.65+20869.02</f>
        <v>405146.67000000004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1030070.88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618348.83+346130.41+56441.64</f>
        <v>1020920.88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9150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D20-D15</f>
        <v>862954.05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413884.06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413884.06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293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151</v>
      </c>
    </row>
    <row r="54" spans="1:4" ht="15.75" thickBot="1" x14ac:dyDescent="0.3">
      <c r="A54" s="24"/>
      <c r="B54" s="25" t="s">
        <v>51</v>
      </c>
      <c r="C54" s="25" t="s">
        <v>47</v>
      </c>
      <c r="D54" s="55" t="s">
        <v>65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287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294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295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65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3808212347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299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298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3807000276</v>
      </c>
    </row>
    <row r="64" spans="1:4" x14ac:dyDescent="0.25">
      <c r="A64" s="2"/>
      <c r="B64" s="2"/>
      <c r="C64" s="2"/>
      <c r="D64" s="2"/>
    </row>
    <row r="65" spans="1:4" ht="15.75" thickBot="1" x14ac:dyDescent="0.3">
      <c r="A65" s="8" t="s">
        <v>71</v>
      </c>
      <c r="B65" s="2"/>
      <c r="C65" s="2"/>
      <c r="D65" s="2"/>
    </row>
    <row r="66" spans="1:4" ht="15.75" thickBot="1" x14ac:dyDescent="0.3">
      <c r="A66" s="22" t="s">
        <v>72</v>
      </c>
      <c r="B66" s="32" t="s">
        <v>73</v>
      </c>
      <c r="C66" s="32" t="s">
        <v>47</v>
      </c>
      <c r="D66" s="33">
        <v>0</v>
      </c>
    </row>
    <row r="67" spans="1:4" ht="15.75" thickBot="1" x14ac:dyDescent="0.3">
      <c r="A67" s="24" t="s">
        <v>74</v>
      </c>
      <c r="B67" s="25" t="s">
        <v>75</v>
      </c>
      <c r="C67" s="25" t="s">
        <v>47</v>
      </c>
      <c r="D67" s="29">
        <v>0</v>
      </c>
    </row>
    <row r="68" spans="1:4" ht="15.75" thickBot="1" x14ac:dyDescent="0.3">
      <c r="A68" s="24" t="s">
        <v>76</v>
      </c>
      <c r="B68" s="25" t="s">
        <v>77</v>
      </c>
      <c r="C68" s="25" t="s">
        <v>47</v>
      </c>
      <c r="D68" s="29">
        <v>0</v>
      </c>
    </row>
    <row r="69" spans="1:4" ht="15.75" thickBot="1" x14ac:dyDescent="0.3">
      <c r="A69" s="22" t="s">
        <v>78</v>
      </c>
      <c r="B69" s="34" t="s">
        <v>79</v>
      </c>
      <c r="C69" s="34" t="s">
        <v>13</v>
      </c>
      <c r="D69" s="35">
        <v>0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80</v>
      </c>
      <c r="B71" s="2"/>
      <c r="C71" s="2"/>
      <c r="D71" s="2"/>
    </row>
    <row r="72" spans="1:4" ht="15.75" thickBot="1" x14ac:dyDescent="0.3">
      <c r="A72" s="36" t="s">
        <v>81</v>
      </c>
      <c r="B72" s="33" t="s">
        <v>82</v>
      </c>
      <c r="C72" s="32" t="s">
        <v>13</v>
      </c>
      <c r="D72" s="37">
        <f>-(D74+D73)</f>
        <v>52817.889999999956</v>
      </c>
    </row>
    <row r="73" spans="1:4" ht="15.75" thickBot="1" x14ac:dyDescent="0.3">
      <c r="A73" s="38" t="s">
        <v>83</v>
      </c>
      <c r="B73" s="25" t="s">
        <v>84</v>
      </c>
      <c r="C73" s="25" t="s">
        <v>13</v>
      </c>
      <c r="D73" s="39">
        <f>-(134307.62+5081.93+9053.58+4008.15+110.17+701.08)</f>
        <v>-153262.52999999997</v>
      </c>
    </row>
    <row r="74" spans="1:4" ht="15.75" thickBot="1" x14ac:dyDescent="0.3">
      <c r="A74" s="38" t="s">
        <v>85</v>
      </c>
      <c r="B74" s="25" t="s">
        <v>86</v>
      </c>
      <c r="C74" s="25" t="s">
        <v>13</v>
      </c>
      <c r="D74" s="39">
        <f>22077.56+7132.4+50711.3+19547.36+133.91+842.11</f>
        <v>100444.64000000001</v>
      </c>
    </row>
    <row r="75" spans="1:4" ht="15.75" thickBot="1" x14ac:dyDescent="0.3">
      <c r="A75" s="38" t="s">
        <v>87</v>
      </c>
      <c r="B75" s="29" t="s">
        <v>88</v>
      </c>
      <c r="C75" s="25" t="s">
        <v>13</v>
      </c>
      <c r="D75" s="39">
        <f>D77+D76</f>
        <v>157870.37</v>
      </c>
    </row>
    <row r="76" spans="1:4" ht="15.75" thickBot="1" x14ac:dyDescent="0.3">
      <c r="A76" s="38" t="s">
        <v>89</v>
      </c>
      <c r="B76" s="25" t="s">
        <v>84</v>
      </c>
      <c r="C76" s="25" t="s">
        <v>13</v>
      </c>
      <c r="D76" s="39">
        <f>-(15.74+12645.64+8239.29+2924.34+5420.75+4924.85)</f>
        <v>-34170.61</v>
      </c>
    </row>
    <row r="77" spans="1:4" ht="15.75" thickBot="1" x14ac:dyDescent="0.3">
      <c r="A77" s="38" t="s">
        <v>90</v>
      </c>
      <c r="B77" s="25" t="s">
        <v>86</v>
      </c>
      <c r="C77" s="25" t="s">
        <v>13</v>
      </c>
      <c r="D77" s="39">
        <f>125378.19+4563.46+41909.18+19474.05+73.47+642.63</f>
        <v>192040.98</v>
      </c>
    </row>
    <row r="78" spans="1:4" x14ac:dyDescent="0.25">
      <c r="A78" s="2"/>
      <c r="B78" s="2"/>
      <c r="C78" s="2"/>
      <c r="D78" s="2"/>
    </row>
    <row r="79" spans="1:4" ht="15.75" thickBot="1" x14ac:dyDescent="0.3">
      <c r="A79" s="8" t="s">
        <v>91</v>
      </c>
      <c r="B79" s="2"/>
      <c r="C79" s="2"/>
      <c r="D79" s="2"/>
    </row>
    <row r="80" spans="1:4" ht="15.75" thickBot="1" x14ac:dyDescent="0.3">
      <c r="A80" s="40" t="s">
        <v>92</v>
      </c>
      <c r="B80" s="41" t="s">
        <v>93</v>
      </c>
      <c r="C80" s="42" t="s">
        <v>47</v>
      </c>
      <c r="D80" s="41" t="s">
        <v>94</v>
      </c>
    </row>
    <row r="81" spans="1:4" ht="15.75" thickBot="1" x14ac:dyDescent="0.3">
      <c r="A81" s="24"/>
      <c r="B81" s="29" t="s">
        <v>95</v>
      </c>
      <c r="C81" s="25" t="s">
        <v>47</v>
      </c>
      <c r="D81" s="29" t="s">
        <v>96</v>
      </c>
    </row>
    <row r="82" spans="1:4" ht="15.75" thickBot="1" x14ac:dyDescent="0.3">
      <c r="A82" s="24"/>
      <c r="B82" s="29" t="s">
        <v>97</v>
      </c>
      <c r="C82" s="25" t="s">
        <v>96</v>
      </c>
      <c r="D82" s="39">
        <v>478.49270000000001</v>
      </c>
    </row>
    <row r="83" spans="1:4" ht="15.75" thickBot="1" x14ac:dyDescent="0.3">
      <c r="A83" s="24"/>
      <c r="B83" s="29" t="s">
        <v>98</v>
      </c>
      <c r="C83" s="25" t="s">
        <v>13</v>
      </c>
      <c r="D83" s="39">
        <f>477773.15+54543.49</f>
        <v>532316.64</v>
      </c>
    </row>
    <row r="84" spans="1:4" ht="15.75" thickBot="1" x14ac:dyDescent="0.3">
      <c r="A84" s="24"/>
      <c r="B84" s="25" t="s">
        <v>99</v>
      </c>
      <c r="C84" s="25" t="s">
        <v>13</v>
      </c>
      <c r="D84" s="43">
        <f>294724.13</f>
        <v>294724.13</v>
      </c>
    </row>
    <row r="85" spans="1:4" ht="15.75" thickBot="1" x14ac:dyDescent="0.3">
      <c r="A85" s="24"/>
      <c r="B85" s="25" t="s">
        <v>100</v>
      </c>
      <c r="C85" s="25" t="s">
        <v>13</v>
      </c>
      <c r="D85" s="43">
        <f>D83-D84</f>
        <v>237592.51</v>
      </c>
    </row>
    <row r="86" spans="1:4" ht="15.75" thickBot="1" x14ac:dyDescent="0.3">
      <c r="A86" s="24"/>
      <c r="B86" s="25" t="s">
        <v>101</v>
      </c>
      <c r="C86" s="25" t="s">
        <v>13</v>
      </c>
      <c r="D86" s="43">
        <v>528710.81999999995</v>
      </c>
    </row>
    <row r="87" spans="1:4" ht="15.75" thickBot="1" x14ac:dyDescent="0.3">
      <c r="A87" s="24"/>
      <c r="B87" s="25" t="s">
        <v>102</v>
      </c>
      <c r="C87" s="25" t="s">
        <v>13</v>
      </c>
      <c r="D87" s="43">
        <f>D84</f>
        <v>294724.13</v>
      </c>
    </row>
    <row r="88" spans="1:4" ht="15.75" thickBot="1" x14ac:dyDescent="0.3">
      <c r="A88" s="24"/>
      <c r="B88" s="25" t="s">
        <v>103</v>
      </c>
      <c r="C88" s="25" t="s">
        <v>13</v>
      </c>
      <c r="D88" s="43">
        <f>D85</f>
        <v>237592.51</v>
      </c>
    </row>
    <row r="89" spans="1:4" ht="15.75" thickBot="1" x14ac:dyDescent="0.3">
      <c r="A89" s="24"/>
      <c r="B89" s="29" t="s">
        <v>104</v>
      </c>
      <c r="C89" s="25" t="s">
        <v>13</v>
      </c>
      <c r="D89" s="39">
        <v>0</v>
      </c>
    </row>
    <row r="90" spans="1:4" ht="15.75" thickBot="1" x14ac:dyDescent="0.3">
      <c r="A90" s="40" t="s">
        <v>105</v>
      </c>
      <c r="B90" s="41" t="s">
        <v>93</v>
      </c>
      <c r="C90" s="42" t="s">
        <v>47</v>
      </c>
      <c r="D90" s="41" t="s">
        <v>106</v>
      </c>
    </row>
    <row r="91" spans="1:4" ht="15.75" thickBot="1" x14ac:dyDescent="0.3">
      <c r="A91" s="24"/>
      <c r="B91" s="29" t="s">
        <v>95</v>
      </c>
      <c r="C91" s="25" t="s">
        <v>47</v>
      </c>
      <c r="D91" s="29" t="s">
        <v>107</v>
      </c>
    </row>
    <row r="92" spans="1:4" ht="15.75" thickBot="1" x14ac:dyDescent="0.3">
      <c r="A92" s="24"/>
      <c r="B92" s="29" t="s">
        <v>97</v>
      </c>
      <c r="C92" s="25" t="s">
        <v>107</v>
      </c>
      <c r="D92" s="44">
        <v>6331.7632000000003</v>
      </c>
    </row>
    <row r="93" spans="1:4" ht="15.75" thickBot="1" x14ac:dyDescent="0.3">
      <c r="A93" s="24"/>
      <c r="B93" s="29" t="s">
        <v>98</v>
      </c>
      <c r="C93" s="25" t="s">
        <v>13</v>
      </c>
      <c r="D93" s="44">
        <f>64448.94-16954.54+907.63+962.77</f>
        <v>49364.799999999996</v>
      </c>
    </row>
    <row r="94" spans="1:4" ht="15.75" thickBot="1" x14ac:dyDescent="0.3">
      <c r="A94" s="24"/>
      <c r="B94" s="25" t="s">
        <v>99</v>
      </c>
      <c r="C94" s="25" t="s">
        <v>13</v>
      </c>
      <c r="D94" s="45">
        <f>57627.05+7241.42</f>
        <v>64868.47</v>
      </c>
    </row>
    <row r="95" spans="1:4" ht="15.75" thickBot="1" x14ac:dyDescent="0.3">
      <c r="A95" s="24"/>
      <c r="B95" s="25" t="s">
        <v>100</v>
      </c>
      <c r="C95" s="25" t="s">
        <v>13</v>
      </c>
      <c r="D95" s="45">
        <v>0</v>
      </c>
    </row>
    <row r="96" spans="1:4" ht="15.75" thickBot="1" x14ac:dyDescent="0.3">
      <c r="A96" s="24"/>
      <c r="B96" s="25" t="s">
        <v>101</v>
      </c>
      <c r="C96" s="25" t="s">
        <v>13</v>
      </c>
      <c r="D96" s="45">
        <v>49820.6</v>
      </c>
    </row>
    <row r="97" spans="1:4" ht="15.75" thickBot="1" x14ac:dyDescent="0.3">
      <c r="A97" s="24"/>
      <c r="B97" s="25" t="s">
        <v>102</v>
      </c>
      <c r="C97" s="25" t="s">
        <v>13</v>
      </c>
      <c r="D97" s="45">
        <f>D94</f>
        <v>64868.47</v>
      </c>
    </row>
    <row r="98" spans="1:4" ht="15.75" thickBot="1" x14ac:dyDescent="0.3">
      <c r="A98" s="24"/>
      <c r="B98" s="25" t="s">
        <v>103</v>
      </c>
      <c r="C98" s="25" t="s">
        <v>13</v>
      </c>
      <c r="D98" s="45">
        <v>0</v>
      </c>
    </row>
    <row r="99" spans="1:4" ht="15.75" thickBot="1" x14ac:dyDescent="0.3">
      <c r="A99" s="24"/>
      <c r="B99" s="29" t="s">
        <v>104</v>
      </c>
      <c r="C99" s="25" t="s">
        <v>13</v>
      </c>
      <c r="D99" s="44">
        <v>0</v>
      </c>
    </row>
    <row r="100" spans="1:4" ht="15.75" thickBot="1" x14ac:dyDescent="0.3">
      <c r="A100" s="40" t="s">
        <v>108</v>
      </c>
      <c r="B100" s="41" t="s">
        <v>93</v>
      </c>
      <c r="C100" s="42" t="s">
        <v>47</v>
      </c>
      <c r="D100" s="41" t="s">
        <v>109</v>
      </c>
    </row>
    <row r="101" spans="1:4" ht="15.75" thickBot="1" x14ac:dyDescent="0.3">
      <c r="A101" s="24"/>
      <c r="B101" s="29" t="s">
        <v>95</v>
      </c>
      <c r="C101" s="25" t="s">
        <v>47</v>
      </c>
      <c r="D101" s="29" t="s">
        <v>107</v>
      </c>
    </row>
    <row r="102" spans="1:4" ht="15.75" thickBot="1" x14ac:dyDescent="0.3">
      <c r="A102" s="24"/>
      <c r="B102" s="29" t="s">
        <v>97</v>
      </c>
      <c r="C102" s="25" t="s">
        <v>107</v>
      </c>
      <c r="D102" s="44">
        <v>4275.2790999999997</v>
      </c>
    </row>
    <row r="103" spans="1:4" ht="15.75" thickBot="1" x14ac:dyDescent="0.3">
      <c r="A103" s="24"/>
      <c r="B103" s="29" t="s">
        <v>98</v>
      </c>
      <c r="C103" s="25" t="s">
        <v>13</v>
      </c>
      <c r="D103" s="44">
        <f>299565.88-21690.8+5598.93+1335.62</f>
        <v>284809.63</v>
      </c>
    </row>
    <row r="104" spans="1:4" ht="15.75" thickBot="1" x14ac:dyDescent="0.3">
      <c r="A104" s="24"/>
      <c r="B104" s="25" t="s">
        <v>99</v>
      </c>
      <c r="C104" s="25" t="s">
        <v>13</v>
      </c>
      <c r="D104" s="45">
        <f>285862.91+11357.8</f>
        <v>297220.70999999996</v>
      </c>
    </row>
    <row r="105" spans="1:4" ht="15.75" thickBot="1" x14ac:dyDescent="0.3">
      <c r="A105" s="24"/>
      <c r="B105" s="25" t="s">
        <v>100</v>
      </c>
      <c r="C105" s="25" t="s">
        <v>13</v>
      </c>
      <c r="D105" s="45">
        <v>0</v>
      </c>
    </row>
    <row r="106" spans="1:4" ht="15.75" thickBot="1" x14ac:dyDescent="0.3">
      <c r="A106" s="24"/>
      <c r="B106" s="25" t="s">
        <v>101</v>
      </c>
      <c r="C106" s="25" t="s">
        <v>13</v>
      </c>
      <c r="D106" s="45">
        <v>285790.53000000003</v>
      </c>
    </row>
    <row r="107" spans="1:4" ht="15.75" thickBot="1" x14ac:dyDescent="0.3">
      <c r="A107" s="24"/>
      <c r="B107" s="25" t="s">
        <v>102</v>
      </c>
      <c r="C107" s="25" t="s">
        <v>13</v>
      </c>
      <c r="D107" s="45">
        <f>D104</f>
        <v>297220.70999999996</v>
      </c>
    </row>
    <row r="108" spans="1:4" ht="15.75" thickBot="1" x14ac:dyDescent="0.3">
      <c r="A108" s="24"/>
      <c r="B108" s="25" t="s">
        <v>103</v>
      </c>
      <c r="C108" s="25" t="s">
        <v>13</v>
      </c>
      <c r="D108" s="45">
        <v>0</v>
      </c>
    </row>
    <row r="109" spans="1:4" ht="15.75" thickBot="1" x14ac:dyDescent="0.3">
      <c r="A109" s="24"/>
      <c r="B109" s="29" t="s">
        <v>104</v>
      </c>
      <c r="C109" s="25" t="s">
        <v>13</v>
      </c>
      <c r="D109" s="44">
        <v>0</v>
      </c>
    </row>
    <row r="110" spans="1:4" ht="15.75" thickBot="1" x14ac:dyDescent="0.3">
      <c r="A110" s="40" t="s">
        <v>110</v>
      </c>
      <c r="B110" s="41" t="s">
        <v>93</v>
      </c>
      <c r="C110" s="42" t="s">
        <v>47</v>
      </c>
      <c r="D110" s="41" t="s">
        <v>111</v>
      </c>
    </row>
    <row r="111" spans="1:4" ht="15.75" thickBot="1" x14ac:dyDescent="0.3">
      <c r="A111" s="24"/>
      <c r="B111" s="29" t="s">
        <v>95</v>
      </c>
      <c r="C111" s="25" t="s">
        <v>47</v>
      </c>
      <c r="D111" s="29" t="s">
        <v>107</v>
      </c>
    </row>
    <row r="112" spans="1:4" ht="15.75" thickBot="1" x14ac:dyDescent="0.3">
      <c r="A112" s="24"/>
      <c r="B112" s="29" t="s">
        <v>97</v>
      </c>
      <c r="C112" s="25" t="s">
        <v>107</v>
      </c>
      <c r="D112" s="39">
        <v>10607.0362</v>
      </c>
    </row>
    <row r="113" spans="1:4" ht="15.75" thickBot="1" x14ac:dyDescent="0.3">
      <c r="A113" s="24"/>
      <c r="B113" s="29" t="s">
        <v>98</v>
      </c>
      <c r="C113" s="25" t="s">
        <v>13</v>
      </c>
      <c r="D113" s="39">
        <f>111839.2+3480.67</f>
        <v>115319.87</v>
      </c>
    </row>
    <row r="114" spans="1:4" ht="15.75" thickBot="1" x14ac:dyDescent="0.3">
      <c r="A114" s="24"/>
      <c r="B114" s="25" t="s">
        <v>99</v>
      </c>
      <c r="C114" s="25" t="s">
        <v>13</v>
      </c>
      <c r="D114" s="43">
        <v>107348.03</v>
      </c>
    </row>
    <row r="115" spans="1:4" ht="15.75" thickBot="1" x14ac:dyDescent="0.3">
      <c r="A115" s="24"/>
      <c r="B115" s="25" t="s">
        <v>100</v>
      </c>
      <c r="C115" s="25" t="s">
        <v>13</v>
      </c>
      <c r="D115" s="43">
        <f>D113-D114</f>
        <v>7971.8399999999965</v>
      </c>
    </row>
    <row r="116" spans="1:4" ht="15.75" thickBot="1" x14ac:dyDescent="0.3">
      <c r="A116" s="24"/>
      <c r="B116" s="25" t="s">
        <v>101</v>
      </c>
      <c r="C116" s="25" t="s">
        <v>13</v>
      </c>
      <c r="D116" s="43">
        <v>95960.18</v>
      </c>
    </row>
    <row r="117" spans="1:4" ht="15.75" thickBot="1" x14ac:dyDescent="0.3">
      <c r="A117" s="24"/>
      <c r="B117" s="25" t="s">
        <v>102</v>
      </c>
      <c r="C117" s="25" t="s">
        <v>13</v>
      </c>
      <c r="D117" s="43">
        <f>D114</f>
        <v>107348.03</v>
      </c>
    </row>
    <row r="118" spans="1:4" ht="15.75" thickBot="1" x14ac:dyDescent="0.3">
      <c r="A118" s="24"/>
      <c r="B118" s="25" t="s">
        <v>103</v>
      </c>
      <c r="C118" s="25" t="s">
        <v>13</v>
      </c>
      <c r="D118" s="43">
        <f>D115</f>
        <v>7971.8399999999965</v>
      </c>
    </row>
    <row r="119" spans="1:4" ht="15.75" thickBot="1" x14ac:dyDescent="0.3">
      <c r="A119" s="24"/>
      <c r="B119" s="29" t="s">
        <v>104</v>
      </c>
      <c r="C119" s="25" t="s">
        <v>13</v>
      </c>
      <c r="D119" s="39">
        <v>0</v>
      </c>
    </row>
    <row r="120" spans="1:4" x14ac:dyDescent="0.25">
      <c r="A120" s="46"/>
      <c r="B120" s="47"/>
      <c r="C120" s="48"/>
      <c r="D120" s="49"/>
    </row>
    <row r="121" spans="1:4" ht="15.75" thickBot="1" x14ac:dyDescent="0.3">
      <c r="A121" s="8" t="s">
        <v>112</v>
      </c>
      <c r="B121" s="2"/>
      <c r="C121" s="2"/>
      <c r="D121" s="2"/>
    </row>
    <row r="122" spans="1:4" ht="15.75" thickBot="1" x14ac:dyDescent="0.3">
      <c r="A122" s="22" t="s">
        <v>113</v>
      </c>
      <c r="B122" s="33" t="s">
        <v>73</v>
      </c>
      <c r="C122" s="32" t="s">
        <v>114</v>
      </c>
      <c r="D122" s="33">
        <v>0</v>
      </c>
    </row>
    <row r="123" spans="1:4" ht="15.75" thickBot="1" x14ac:dyDescent="0.3">
      <c r="A123" s="24" t="s">
        <v>115</v>
      </c>
      <c r="B123" s="29" t="s">
        <v>75</v>
      </c>
      <c r="C123" s="25" t="s">
        <v>114</v>
      </c>
      <c r="D123" s="29">
        <v>0</v>
      </c>
    </row>
    <row r="124" spans="1:4" ht="15.75" thickBot="1" x14ac:dyDescent="0.3">
      <c r="A124" s="24" t="s">
        <v>116</v>
      </c>
      <c r="B124" s="29" t="s">
        <v>77</v>
      </c>
      <c r="C124" s="25" t="s">
        <v>114</v>
      </c>
      <c r="D124" s="29">
        <v>0</v>
      </c>
    </row>
    <row r="125" spans="1:4" ht="15.75" thickBot="1" x14ac:dyDescent="0.3">
      <c r="A125" s="24" t="s">
        <v>117</v>
      </c>
      <c r="B125" s="29" t="s">
        <v>79</v>
      </c>
      <c r="C125" s="25" t="s">
        <v>13</v>
      </c>
      <c r="D125" s="39">
        <v>0</v>
      </c>
    </row>
    <row r="126" spans="1:4" x14ac:dyDescent="0.25">
      <c r="A126" s="2"/>
      <c r="B126" s="2"/>
      <c r="C126" s="2"/>
      <c r="D126" s="2"/>
    </row>
    <row r="127" spans="1:4" ht="15.75" thickBot="1" x14ac:dyDescent="0.3">
      <c r="A127" s="8" t="s">
        <v>118</v>
      </c>
      <c r="B127" s="2"/>
      <c r="C127" s="2"/>
      <c r="D127" s="2"/>
    </row>
    <row r="128" spans="1:4" ht="15.75" thickBot="1" x14ac:dyDescent="0.3">
      <c r="A128" s="34">
        <v>48</v>
      </c>
      <c r="B128" s="33" t="s">
        <v>119</v>
      </c>
      <c r="C128" s="32" t="s">
        <v>114</v>
      </c>
      <c r="D128" s="33">
        <v>2</v>
      </c>
    </row>
    <row r="129" spans="1:4" ht="15.75" thickBot="1" x14ac:dyDescent="0.3">
      <c r="A129" s="50">
        <v>49</v>
      </c>
      <c r="B129" s="29" t="s">
        <v>120</v>
      </c>
      <c r="C129" s="25" t="s">
        <v>114</v>
      </c>
      <c r="D129" s="29">
        <v>2</v>
      </c>
    </row>
    <row r="130" spans="1:4" ht="15.75" thickBot="1" x14ac:dyDescent="0.3">
      <c r="A130" s="51">
        <v>50</v>
      </c>
      <c r="B130" s="52" t="s">
        <v>121</v>
      </c>
      <c r="C130" s="53" t="s">
        <v>13</v>
      </c>
      <c r="D130" s="56">
        <f>21000+90570.33</f>
        <v>111570.33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topLeftCell="A43" workbookViewId="0">
      <selection activeCell="D56" sqref="D56:D59"/>
    </sheetView>
  </sheetViews>
  <sheetFormatPr defaultRowHeight="15" x14ac:dyDescent="0.25"/>
  <cols>
    <col min="2" max="2" width="73.28515625" customWidth="1"/>
    <col min="3" max="3" width="12.28515625" customWidth="1"/>
    <col min="4" max="4" width="56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296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297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307133.46000000002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307133.46000000002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601635.27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398178.96+12893.07</f>
        <v>411072.03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157702.56+18128.16+4532.52</f>
        <v>180363.24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590523.1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391007.83+153446.61+18857.25+18061.41</f>
        <v>581373.1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9150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D20-D15</f>
        <v>283389.63999999996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368910.65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368910.65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134</v>
      </c>
    </row>
    <row r="54" spans="1:4" ht="15.75" thickBot="1" x14ac:dyDescent="0.3">
      <c r="A54" s="24"/>
      <c r="B54" s="25" t="s">
        <v>51</v>
      </c>
      <c r="C54" s="25" t="s">
        <v>47</v>
      </c>
      <c r="D54" s="55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68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133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3808170471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152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153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3811096740</v>
      </c>
    </row>
    <row r="64" spans="1:4" x14ac:dyDescent="0.25">
      <c r="A64" s="2"/>
      <c r="B64" s="2"/>
      <c r="C64" s="2"/>
      <c r="D64" s="2"/>
    </row>
    <row r="65" spans="1:4" ht="15.75" thickBot="1" x14ac:dyDescent="0.3">
      <c r="A65" s="8" t="s">
        <v>71</v>
      </c>
      <c r="B65" s="2"/>
      <c r="C65" s="2"/>
      <c r="D65" s="2"/>
    </row>
    <row r="66" spans="1:4" ht="15.75" thickBot="1" x14ac:dyDescent="0.3">
      <c r="A66" s="22" t="s">
        <v>72</v>
      </c>
      <c r="B66" s="32" t="s">
        <v>73</v>
      </c>
      <c r="C66" s="32" t="s">
        <v>47</v>
      </c>
      <c r="D66" s="33">
        <v>0</v>
      </c>
    </row>
    <row r="67" spans="1:4" ht="15.75" thickBot="1" x14ac:dyDescent="0.3">
      <c r="A67" s="24" t="s">
        <v>74</v>
      </c>
      <c r="B67" s="25" t="s">
        <v>75</v>
      </c>
      <c r="C67" s="25" t="s">
        <v>47</v>
      </c>
      <c r="D67" s="29">
        <v>0</v>
      </c>
    </row>
    <row r="68" spans="1:4" ht="15.75" thickBot="1" x14ac:dyDescent="0.3">
      <c r="A68" s="24" t="s">
        <v>76</v>
      </c>
      <c r="B68" s="25" t="s">
        <v>77</v>
      </c>
      <c r="C68" s="25" t="s">
        <v>47</v>
      </c>
      <c r="D68" s="29">
        <v>0</v>
      </c>
    </row>
    <row r="69" spans="1:4" ht="15.75" thickBot="1" x14ac:dyDescent="0.3">
      <c r="A69" s="22" t="s">
        <v>78</v>
      </c>
      <c r="B69" s="34" t="s">
        <v>79</v>
      </c>
      <c r="C69" s="34" t="s">
        <v>13</v>
      </c>
      <c r="D69" s="35">
        <v>0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80</v>
      </c>
      <c r="B71" s="2"/>
      <c r="C71" s="2"/>
      <c r="D71" s="2"/>
    </row>
    <row r="72" spans="1:4" ht="15.75" thickBot="1" x14ac:dyDescent="0.3">
      <c r="A72" s="36" t="s">
        <v>81</v>
      </c>
      <c r="B72" s="33" t="s">
        <v>82</v>
      </c>
      <c r="C72" s="32" t="s">
        <v>13</v>
      </c>
      <c r="D72" s="37">
        <f>D74+D73</f>
        <v>57135.939999999995</v>
      </c>
    </row>
    <row r="73" spans="1:4" ht="15.75" thickBot="1" x14ac:dyDescent="0.3">
      <c r="A73" s="38" t="s">
        <v>83</v>
      </c>
      <c r="B73" s="25" t="s">
        <v>84</v>
      </c>
      <c r="C73" s="25" t="s">
        <v>13</v>
      </c>
      <c r="D73" s="39">
        <f>-(14713.07+3167.74+7507.11+4245.28+361.99+287.44)</f>
        <v>-30282.629999999997</v>
      </c>
    </row>
    <row r="74" spans="1:4" ht="15.75" thickBot="1" x14ac:dyDescent="0.3">
      <c r="A74" s="38" t="s">
        <v>85</v>
      </c>
      <c r="B74" s="25" t="s">
        <v>86</v>
      </c>
      <c r="C74" s="25" t="s">
        <v>13</v>
      </c>
      <c r="D74" s="39">
        <f>33692.34+7226.9+32334.35+13101.29+156.76+906.93</f>
        <v>87418.569999999992</v>
      </c>
    </row>
    <row r="75" spans="1:4" ht="15.75" thickBot="1" x14ac:dyDescent="0.3">
      <c r="A75" s="38" t="s">
        <v>87</v>
      </c>
      <c r="B75" s="29" t="s">
        <v>88</v>
      </c>
      <c r="C75" s="25" t="s">
        <v>13</v>
      </c>
      <c r="D75" s="39">
        <f>D77+D76</f>
        <v>54058.750000000015</v>
      </c>
    </row>
    <row r="76" spans="1:4" ht="15.75" thickBot="1" x14ac:dyDescent="0.3">
      <c r="A76" s="38" t="s">
        <v>89</v>
      </c>
      <c r="B76" s="25" t="s">
        <v>84</v>
      </c>
      <c r="C76" s="25" t="s">
        <v>13</v>
      </c>
      <c r="D76" s="39">
        <f>-(19070.14+1534.43+12179.3+2866.87+1466.2+878.85)</f>
        <v>-37995.789999999994</v>
      </c>
    </row>
    <row r="77" spans="1:4" ht="15.75" thickBot="1" x14ac:dyDescent="0.3">
      <c r="A77" s="38" t="s">
        <v>90</v>
      </c>
      <c r="B77" s="25" t="s">
        <v>86</v>
      </c>
      <c r="C77" s="25" t="s">
        <v>13</v>
      </c>
      <c r="D77" s="39">
        <f>31336.78+8143.35+37623.91+14103.8+115.58+731.12</f>
        <v>92054.540000000008</v>
      </c>
    </row>
    <row r="78" spans="1:4" x14ac:dyDescent="0.25">
      <c r="A78" s="2"/>
      <c r="B78" s="2"/>
      <c r="C78" s="2"/>
      <c r="D78" s="2"/>
    </row>
    <row r="79" spans="1:4" ht="15.75" thickBot="1" x14ac:dyDescent="0.3">
      <c r="A79" s="8" t="s">
        <v>91</v>
      </c>
      <c r="B79" s="2"/>
      <c r="C79" s="2"/>
      <c r="D79" s="2"/>
    </row>
    <row r="80" spans="1:4" ht="15.75" thickBot="1" x14ac:dyDescent="0.3">
      <c r="A80" s="40" t="s">
        <v>92</v>
      </c>
      <c r="B80" s="41" t="s">
        <v>93</v>
      </c>
      <c r="C80" s="42" t="s">
        <v>47</v>
      </c>
      <c r="D80" s="41" t="s">
        <v>94</v>
      </c>
    </row>
    <row r="81" spans="1:4" ht="15.75" thickBot="1" x14ac:dyDescent="0.3">
      <c r="A81" s="24"/>
      <c r="B81" s="29" t="s">
        <v>95</v>
      </c>
      <c r="C81" s="25" t="s">
        <v>47</v>
      </c>
      <c r="D81" s="29" t="s">
        <v>96</v>
      </c>
    </row>
    <row r="82" spans="1:4" ht="15.75" thickBot="1" x14ac:dyDescent="0.3">
      <c r="A82" s="24"/>
      <c r="B82" s="29" t="s">
        <v>97</v>
      </c>
      <c r="C82" s="25" t="s">
        <v>96</v>
      </c>
      <c r="D82" s="39">
        <v>539.43240000000003</v>
      </c>
    </row>
    <row r="83" spans="1:4" ht="15.75" thickBot="1" x14ac:dyDescent="0.3">
      <c r="A83" s="24"/>
      <c r="B83" s="29" t="s">
        <v>98</v>
      </c>
      <c r="C83" s="25" t="s">
        <v>13</v>
      </c>
      <c r="D83" s="39">
        <f>538617.16-56770.25</f>
        <v>481846.91000000003</v>
      </c>
    </row>
    <row r="84" spans="1:4" ht="15.75" thickBot="1" x14ac:dyDescent="0.3">
      <c r="A84" s="24"/>
      <c r="B84" s="25" t="s">
        <v>99</v>
      </c>
      <c r="C84" s="25" t="s">
        <v>13</v>
      </c>
      <c r="D84" s="43">
        <v>488559.54</v>
      </c>
    </row>
    <row r="85" spans="1:4" ht="15.75" thickBot="1" x14ac:dyDescent="0.3">
      <c r="A85" s="24"/>
      <c r="B85" s="25" t="s">
        <v>100</v>
      </c>
      <c r="C85" s="25" t="s">
        <v>13</v>
      </c>
      <c r="D85" s="43">
        <v>0</v>
      </c>
    </row>
    <row r="86" spans="1:4" ht="15.75" thickBot="1" x14ac:dyDescent="0.3">
      <c r="A86" s="24"/>
      <c r="B86" s="25" t="s">
        <v>101</v>
      </c>
      <c r="C86" s="25" t="s">
        <v>13</v>
      </c>
      <c r="D86" s="43">
        <v>404147.29</v>
      </c>
    </row>
    <row r="87" spans="1:4" ht="15.75" thickBot="1" x14ac:dyDescent="0.3">
      <c r="A87" s="24"/>
      <c r="B87" s="25" t="s">
        <v>102</v>
      </c>
      <c r="C87" s="25" t="s">
        <v>13</v>
      </c>
      <c r="D87" s="43">
        <f>D84</f>
        <v>488559.54</v>
      </c>
    </row>
    <row r="88" spans="1:4" ht="15.75" thickBot="1" x14ac:dyDescent="0.3">
      <c r="A88" s="24"/>
      <c r="B88" s="25" t="s">
        <v>103</v>
      </c>
      <c r="C88" s="25" t="s">
        <v>13</v>
      </c>
      <c r="D88" s="43">
        <v>0</v>
      </c>
    </row>
    <row r="89" spans="1:4" ht="15.75" thickBot="1" x14ac:dyDescent="0.3">
      <c r="A89" s="24"/>
      <c r="B89" s="29" t="s">
        <v>104</v>
      </c>
      <c r="C89" s="25" t="s">
        <v>13</v>
      </c>
      <c r="D89" s="39">
        <v>0</v>
      </c>
    </row>
    <row r="90" spans="1:4" ht="15.75" thickBot="1" x14ac:dyDescent="0.3">
      <c r="A90" s="40" t="s">
        <v>105</v>
      </c>
      <c r="B90" s="41" t="s">
        <v>93</v>
      </c>
      <c r="C90" s="42" t="s">
        <v>47</v>
      </c>
      <c r="D90" s="41" t="s">
        <v>106</v>
      </c>
    </row>
    <row r="91" spans="1:4" ht="15.75" thickBot="1" x14ac:dyDescent="0.3">
      <c r="A91" s="24"/>
      <c r="B91" s="29" t="s">
        <v>95</v>
      </c>
      <c r="C91" s="25" t="s">
        <v>47</v>
      </c>
      <c r="D91" s="29" t="s">
        <v>107</v>
      </c>
    </row>
    <row r="92" spans="1:4" ht="15.75" thickBot="1" x14ac:dyDescent="0.3">
      <c r="A92" s="24"/>
      <c r="B92" s="29" t="s">
        <v>97</v>
      </c>
      <c r="C92" s="25" t="s">
        <v>107</v>
      </c>
      <c r="D92" s="44">
        <v>4981.4822000000004</v>
      </c>
    </row>
    <row r="93" spans="1:4" ht="15.75" thickBot="1" x14ac:dyDescent="0.3">
      <c r="A93" s="24"/>
      <c r="B93" s="29" t="s">
        <v>98</v>
      </c>
      <c r="C93" s="25" t="s">
        <v>13</v>
      </c>
      <c r="D93" s="44">
        <f>50744.49+263.39+917.16+176.67</f>
        <v>52101.71</v>
      </c>
    </row>
    <row r="94" spans="1:4" ht="15.75" thickBot="1" x14ac:dyDescent="0.3">
      <c r="A94" s="24"/>
      <c r="B94" s="25" t="s">
        <v>99</v>
      </c>
      <c r="C94" s="25" t="s">
        <v>13</v>
      </c>
      <c r="D94" s="45">
        <f>48458.12+2239.22</f>
        <v>50697.340000000004</v>
      </c>
    </row>
    <row r="95" spans="1:4" ht="15.75" thickBot="1" x14ac:dyDescent="0.3">
      <c r="A95" s="24"/>
      <c r="B95" s="25" t="s">
        <v>100</v>
      </c>
      <c r="C95" s="25" t="s">
        <v>13</v>
      </c>
      <c r="D95" s="45">
        <f>D93-D94</f>
        <v>1404.3699999999953</v>
      </c>
    </row>
    <row r="96" spans="1:4" ht="15.75" thickBot="1" x14ac:dyDescent="0.3">
      <c r="A96" s="24"/>
      <c r="B96" s="25" t="s">
        <v>101</v>
      </c>
      <c r="C96" s="25" t="s">
        <v>13</v>
      </c>
      <c r="D96" s="45">
        <v>86752.65</v>
      </c>
    </row>
    <row r="97" spans="1:4" ht="15.75" thickBot="1" x14ac:dyDescent="0.3">
      <c r="A97" s="24"/>
      <c r="B97" s="25" t="s">
        <v>102</v>
      </c>
      <c r="C97" s="25" t="s">
        <v>13</v>
      </c>
      <c r="D97" s="45">
        <f>D94</f>
        <v>50697.340000000004</v>
      </c>
    </row>
    <row r="98" spans="1:4" ht="15.75" thickBot="1" x14ac:dyDescent="0.3">
      <c r="A98" s="24"/>
      <c r="B98" s="25" t="s">
        <v>103</v>
      </c>
      <c r="C98" s="25" t="s">
        <v>13</v>
      </c>
      <c r="D98" s="45">
        <f>D95</f>
        <v>1404.3699999999953</v>
      </c>
    </row>
    <row r="99" spans="1:4" ht="15.75" thickBot="1" x14ac:dyDescent="0.3">
      <c r="A99" s="24"/>
      <c r="B99" s="29" t="s">
        <v>104</v>
      </c>
      <c r="C99" s="25" t="s">
        <v>13</v>
      </c>
      <c r="D99" s="44">
        <v>0</v>
      </c>
    </row>
    <row r="100" spans="1:4" ht="15.75" thickBot="1" x14ac:dyDescent="0.3">
      <c r="A100" s="40" t="s">
        <v>108</v>
      </c>
      <c r="B100" s="41" t="s">
        <v>93</v>
      </c>
      <c r="C100" s="42" t="s">
        <v>47</v>
      </c>
      <c r="D100" s="41" t="s">
        <v>109</v>
      </c>
    </row>
    <row r="101" spans="1:4" ht="15.75" thickBot="1" x14ac:dyDescent="0.3">
      <c r="A101" s="24"/>
      <c r="B101" s="29" t="s">
        <v>95</v>
      </c>
      <c r="C101" s="25" t="s">
        <v>47</v>
      </c>
      <c r="D101" s="29" t="s">
        <v>107</v>
      </c>
    </row>
    <row r="102" spans="1:4" ht="15.75" thickBot="1" x14ac:dyDescent="0.3">
      <c r="A102" s="24"/>
      <c r="B102" s="29" t="s">
        <v>97</v>
      </c>
      <c r="C102" s="25" t="s">
        <v>107</v>
      </c>
      <c r="D102" s="44">
        <v>3484.0513999999998</v>
      </c>
    </row>
    <row r="103" spans="1:4" ht="15.75" thickBot="1" x14ac:dyDescent="0.3">
      <c r="A103" s="24"/>
      <c r="B103" s="29" t="s">
        <v>98</v>
      </c>
      <c r="C103" s="25" t="s">
        <v>13</v>
      </c>
      <c r="D103" s="44">
        <f>243856.96-11269.18+5553+412.2</f>
        <v>238552.98</v>
      </c>
    </row>
    <row r="104" spans="1:4" ht="15.75" thickBot="1" x14ac:dyDescent="0.3">
      <c r="A104" s="24"/>
      <c r="B104" s="25" t="s">
        <v>99</v>
      </c>
      <c r="C104" s="25" t="s">
        <v>13</v>
      </c>
      <c r="D104" s="45">
        <f>231970.41+6732.42</f>
        <v>238702.83000000002</v>
      </c>
    </row>
    <row r="105" spans="1:4" ht="15.75" thickBot="1" x14ac:dyDescent="0.3">
      <c r="A105" s="24"/>
      <c r="B105" s="25" t="s">
        <v>100</v>
      </c>
      <c r="C105" s="25" t="s">
        <v>13</v>
      </c>
      <c r="D105" s="45">
        <v>0</v>
      </c>
    </row>
    <row r="106" spans="1:4" ht="15.75" thickBot="1" x14ac:dyDescent="0.3">
      <c r="A106" s="24"/>
      <c r="B106" s="25" t="s">
        <v>101</v>
      </c>
      <c r="C106" s="25" t="s">
        <v>13</v>
      </c>
      <c r="D106" s="45">
        <v>324889.3</v>
      </c>
    </row>
    <row r="107" spans="1:4" ht="15.75" thickBot="1" x14ac:dyDescent="0.3">
      <c r="A107" s="24"/>
      <c r="B107" s="25" t="s">
        <v>102</v>
      </c>
      <c r="C107" s="25" t="s">
        <v>13</v>
      </c>
      <c r="D107" s="45">
        <f>D104</f>
        <v>238702.83000000002</v>
      </c>
    </row>
    <row r="108" spans="1:4" ht="15.75" thickBot="1" x14ac:dyDescent="0.3">
      <c r="A108" s="24"/>
      <c r="B108" s="25" t="s">
        <v>103</v>
      </c>
      <c r="C108" s="25" t="s">
        <v>13</v>
      </c>
      <c r="D108" s="45">
        <v>0</v>
      </c>
    </row>
    <row r="109" spans="1:4" ht="15.75" thickBot="1" x14ac:dyDescent="0.3">
      <c r="A109" s="24"/>
      <c r="B109" s="29" t="s">
        <v>104</v>
      </c>
      <c r="C109" s="25" t="s">
        <v>13</v>
      </c>
      <c r="D109" s="44">
        <v>0</v>
      </c>
    </row>
    <row r="110" spans="1:4" ht="15.75" thickBot="1" x14ac:dyDescent="0.3">
      <c r="A110" s="40" t="s">
        <v>110</v>
      </c>
      <c r="B110" s="41" t="s">
        <v>93</v>
      </c>
      <c r="C110" s="42" t="s">
        <v>47</v>
      </c>
      <c r="D110" s="41" t="s">
        <v>111</v>
      </c>
    </row>
    <row r="111" spans="1:4" ht="15.75" thickBot="1" x14ac:dyDescent="0.3">
      <c r="A111" s="24"/>
      <c r="B111" s="29" t="s">
        <v>95</v>
      </c>
      <c r="C111" s="25" t="s">
        <v>47</v>
      </c>
      <c r="D111" s="29" t="s">
        <v>107</v>
      </c>
    </row>
    <row r="112" spans="1:4" ht="15.75" thickBot="1" x14ac:dyDescent="0.3">
      <c r="A112" s="24"/>
      <c r="B112" s="29" t="s">
        <v>97</v>
      </c>
      <c r="C112" s="25" t="s">
        <v>107</v>
      </c>
      <c r="D112" s="39">
        <v>8321.5283999999992</v>
      </c>
    </row>
    <row r="113" spans="1:4" ht="15.75" thickBot="1" x14ac:dyDescent="0.3">
      <c r="A113" s="24"/>
      <c r="B113" s="29" t="s">
        <v>98</v>
      </c>
      <c r="C113" s="25" t="s">
        <v>13</v>
      </c>
      <c r="D113" s="39">
        <f>87755.38-3266.67</f>
        <v>84488.71</v>
      </c>
    </row>
    <row r="114" spans="1:4" ht="15.75" thickBot="1" x14ac:dyDescent="0.3">
      <c r="A114" s="24"/>
      <c r="B114" s="25" t="s">
        <v>99</v>
      </c>
      <c r="C114" s="25" t="s">
        <v>13</v>
      </c>
      <c r="D114" s="43">
        <v>82107.789999999994</v>
      </c>
    </row>
    <row r="115" spans="1:4" ht="15.75" thickBot="1" x14ac:dyDescent="0.3">
      <c r="A115" s="24"/>
      <c r="B115" s="25" t="s">
        <v>100</v>
      </c>
      <c r="C115" s="25" t="s">
        <v>13</v>
      </c>
      <c r="D115" s="43">
        <f>D113-D114</f>
        <v>2380.9200000000128</v>
      </c>
    </row>
    <row r="116" spans="1:4" ht="15.75" thickBot="1" x14ac:dyDescent="0.3">
      <c r="A116" s="24"/>
      <c r="B116" s="25" t="s">
        <v>101</v>
      </c>
      <c r="C116" s="25" t="s">
        <v>13</v>
      </c>
      <c r="D116" s="43">
        <v>151661.82999999999</v>
      </c>
    </row>
    <row r="117" spans="1:4" ht="15.75" thickBot="1" x14ac:dyDescent="0.3">
      <c r="A117" s="24"/>
      <c r="B117" s="25" t="s">
        <v>102</v>
      </c>
      <c r="C117" s="25" t="s">
        <v>13</v>
      </c>
      <c r="D117" s="43">
        <f>D114</f>
        <v>82107.789999999994</v>
      </c>
    </row>
    <row r="118" spans="1:4" ht="15.75" thickBot="1" x14ac:dyDescent="0.3">
      <c r="A118" s="24"/>
      <c r="B118" s="25" t="s">
        <v>103</v>
      </c>
      <c r="C118" s="25" t="s">
        <v>13</v>
      </c>
      <c r="D118" s="43">
        <f>D115</f>
        <v>2380.9200000000128</v>
      </c>
    </row>
    <row r="119" spans="1:4" ht="15.75" thickBot="1" x14ac:dyDescent="0.3">
      <c r="A119" s="24"/>
      <c r="B119" s="29" t="s">
        <v>104</v>
      </c>
      <c r="C119" s="25" t="s">
        <v>13</v>
      </c>
      <c r="D119" s="39">
        <v>0</v>
      </c>
    </row>
    <row r="120" spans="1:4" x14ac:dyDescent="0.25">
      <c r="A120" s="46"/>
      <c r="B120" s="47"/>
      <c r="C120" s="48"/>
      <c r="D120" s="49"/>
    </row>
    <row r="121" spans="1:4" ht="15.75" thickBot="1" x14ac:dyDescent="0.3">
      <c r="A121" s="8" t="s">
        <v>112</v>
      </c>
      <c r="B121" s="2"/>
      <c r="C121" s="2"/>
      <c r="D121" s="2"/>
    </row>
    <row r="122" spans="1:4" ht="15.75" thickBot="1" x14ac:dyDescent="0.3">
      <c r="A122" s="22" t="s">
        <v>113</v>
      </c>
      <c r="B122" s="33" t="s">
        <v>73</v>
      </c>
      <c r="C122" s="32" t="s">
        <v>114</v>
      </c>
      <c r="D122" s="33">
        <v>0</v>
      </c>
    </row>
    <row r="123" spans="1:4" ht="15.75" thickBot="1" x14ac:dyDescent="0.3">
      <c r="A123" s="24" t="s">
        <v>115</v>
      </c>
      <c r="B123" s="29" t="s">
        <v>75</v>
      </c>
      <c r="C123" s="25" t="s">
        <v>114</v>
      </c>
      <c r="D123" s="29">
        <v>0</v>
      </c>
    </row>
    <row r="124" spans="1:4" ht="15.75" thickBot="1" x14ac:dyDescent="0.3">
      <c r="A124" s="24" t="s">
        <v>116</v>
      </c>
      <c r="B124" s="29" t="s">
        <v>77</v>
      </c>
      <c r="C124" s="25" t="s">
        <v>114</v>
      </c>
      <c r="D124" s="29">
        <v>0</v>
      </c>
    </row>
    <row r="125" spans="1:4" ht="15.75" thickBot="1" x14ac:dyDescent="0.3">
      <c r="A125" s="24" t="s">
        <v>117</v>
      </c>
      <c r="B125" s="29" t="s">
        <v>79</v>
      </c>
      <c r="C125" s="25" t="s">
        <v>13</v>
      </c>
      <c r="D125" s="39">
        <v>0</v>
      </c>
    </row>
    <row r="126" spans="1:4" x14ac:dyDescent="0.25">
      <c r="A126" s="2"/>
      <c r="B126" s="2"/>
      <c r="C126" s="2"/>
      <c r="D126" s="2"/>
    </row>
    <row r="127" spans="1:4" ht="15.75" thickBot="1" x14ac:dyDescent="0.3">
      <c r="A127" s="8" t="s">
        <v>118</v>
      </c>
      <c r="B127" s="2"/>
      <c r="C127" s="2"/>
      <c r="D127" s="2"/>
    </row>
    <row r="128" spans="1:4" ht="15.75" thickBot="1" x14ac:dyDescent="0.3">
      <c r="A128" s="34">
        <v>48</v>
      </c>
      <c r="B128" s="33" t="s">
        <v>119</v>
      </c>
      <c r="C128" s="32" t="s">
        <v>114</v>
      </c>
      <c r="D128" s="33">
        <v>0</v>
      </c>
    </row>
    <row r="129" spans="1:4" ht="15.75" thickBot="1" x14ac:dyDescent="0.3">
      <c r="A129" s="50">
        <v>49</v>
      </c>
      <c r="B129" s="29" t="s">
        <v>120</v>
      </c>
      <c r="C129" s="25" t="s">
        <v>114</v>
      </c>
      <c r="D129" s="29">
        <v>0</v>
      </c>
    </row>
    <row r="130" spans="1:4" ht="15.75" thickBot="1" x14ac:dyDescent="0.3">
      <c r="A130" s="51">
        <v>50</v>
      </c>
      <c r="B130" s="52" t="s">
        <v>121</v>
      </c>
      <c r="C130" s="53" t="s">
        <v>13</v>
      </c>
      <c r="D130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2"/>
  <sheetViews>
    <sheetView workbookViewId="0">
      <selection sqref="A1:D122"/>
    </sheetView>
  </sheetViews>
  <sheetFormatPr defaultRowHeight="15" x14ac:dyDescent="0.25"/>
  <cols>
    <col min="2" max="2" width="73" customWidth="1"/>
    <col min="3" max="3" width="11.5703125" customWidth="1"/>
    <col min="4" max="4" width="58.71093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300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301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126040.43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126040.43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589408.41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386212.4+32521.08</f>
        <v>418733.48000000004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147589.99+12884.94</f>
        <v>160474.93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577392.18000000005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381374.62+145480.38+41387.18</f>
        <v>568242.18000000005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9150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D20-D15</f>
        <v>451351.75000000006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264817.51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264817.51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302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298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3807000276</v>
      </c>
    </row>
    <row r="56" spans="1:4" x14ac:dyDescent="0.25">
      <c r="A56" s="2"/>
      <c r="B56" s="2"/>
      <c r="C56" s="2"/>
      <c r="D56" s="2"/>
    </row>
    <row r="57" spans="1:4" ht="15.75" thickBot="1" x14ac:dyDescent="0.3">
      <c r="A57" s="8" t="s">
        <v>71</v>
      </c>
      <c r="B57" s="2"/>
      <c r="C57" s="2"/>
      <c r="D57" s="2"/>
    </row>
    <row r="58" spans="1:4" ht="15.75" thickBot="1" x14ac:dyDescent="0.3">
      <c r="A58" s="22" t="s">
        <v>72</v>
      </c>
      <c r="B58" s="32" t="s">
        <v>73</v>
      </c>
      <c r="C58" s="32" t="s">
        <v>47</v>
      </c>
      <c r="D58" s="33">
        <v>0</v>
      </c>
    </row>
    <row r="59" spans="1:4" ht="15.75" thickBot="1" x14ac:dyDescent="0.3">
      <c r="A59" s="24" t="s">
        <v>74</v>
      </c>
      <c r="B59" s="25" t="s">
        <v>75</v>
      </c>
      <c r="C59" s="25" t="s">
        <v>47</v>
      </c>
      <c r="D59" s="29">
        <v>0</v>
      </c>
    </row>
    <row r="60" spans="1:4" ht="15.75" thickBot="1" x14ac:dyDescent="0.3">
      <c r="A60" s="24" t="s">
        <v>76</v>
      </c>
      <c r="B60" s="25" t="s">
        <v>77</v>
      </c>
      <c r="C60" s="25" t="s">
        <v>47</v>
      </c>
      <c r="D60" s="29">
        <v>0</v>
      </c>
    </row>
    <row r="61" spans="1:4" ht="15.75" thickBot="1" x14ac:dyDescent="0.3">
      <c r="A61" s="22" t="s">
        <v>78</v>
      </c>
      <c r="B61" s="34" t="s">
        <v>79</v>
      </c>
      <c r="C61" s="34" t="s">
        <v>13</v>
      </c>
      <c r="D61" s="35">
        <v>0</v>
      </c>
    </row>
    <row r="62" spans="1:4" x14ac:dyDescent="0.25">
      <c r="A62" s="2"/>
      <c r="B62" s="2"/>
      <c r="C62" s="2"/>
      <c r="D62" s="2"/>
    </row>
    <row r="63" spans="1:4" ht="15.75" thickBot="1" x14ac:dyDescent="0.3">
      <c r="A63" s="8" t="s">
        <v>80</v>
      </c>
      <c r="B63" s="2"/>
      <c r="C63" s="2"/>
      <c r="D63" s="2"/>
    </row>
    <row r="64" spans="1:4" ht="15.75" thickBot="1" x14ac:dyDescent="0.3">
      <c r="A64" s="36" t="s">
        <v>81</v>
      </c>
      <c r="B64" s="33" t="s">
        <v>82</v>
      </c>
      <c r="C64" s="32" t="s">
        <v>13</v>
      </c>
      <c r="D64" s="37">
        <f>D66+D65</f>
        <v>34173.5</v>
      </c>
    </row>
    <row r="65" spans="1:4" ht="15.75" thickBot="1" x14ac:dyDescent="0.3">
      <c r="A65" s="38" t="s">
        <v>83</v>
      </c>
      <c r="B65" s="25" t="s">
        <v>84</v>
      </c>
      <c r="C65" s="25" t="s">
        <v>13</v>
      </c>
      <c r="D65" s="39">
        <f>-(41189.09+2053.52+18223.28+1893.74+59.5+37.89)</f>
        <v>-63457.01999999999</v>
      </c>
    </row>
    <row r="66" spans="1:4" ht="15.75" thickBot="1" x14ac:dyDescent="0.3">
      <c r="A66" s="38" t="s">
        <v>85</v>
      </c>
      <c r="B66" s="25" t="s">
        <v>86</v>
      </c>
      <c r="C66" s="25" t="s">
        <v>13</v>
      </c>
      <c r="D66" s="39">
        <f>30986.53+9354.47+38239.87+18097.47+185.01+767.17</f>
        <v>97630.51999999999</v>
      </c>
    </row>
    <row r="67" spans="1:4" ht="15.75" thickBot="1" x14ac:dyDescent="0.3">
      <c r="A67" s="38" t="s">
        <v>87</v>
      </c>
      <c r="B67" s="29" t="s">
        <v>88</v>
      </c>
      <c r="C67" s="25" t="s">
        <v>13</v>
      </c>
      <c r="D67" s="39">
        <f>D69+D68</f>
        <v>184419.56</v>
      </c>
    </row>
    <row r="68" spans="1:4" ht="15.75" thickBot="1" x14ac:dyDescent="0.3">
      <c r="A68" s="38" t="s">
        <v>89</v>
      </c>
      <c r="B68" s="25" t="s">
        <v>84</v>
      </c>
      <c r="C68" s="25" t="s">
        <v>13</v>
      </c>
      <c r="D68" s="39">
        <f>-(1327.2+2941.92+2595.24+2178.59+3531.99+2518.01)</f>
        <v>-15092.95</v>
      </c>
    </row>
    <row r="69" spans="1:4" ht="15.75" thickBot="1" x14ac:dyDescent="0.3">
      <c r="A69" s="38" t="s">
        <v>90</v>
      </c>
      <c r="B69" s="25" t="s">
        <v>86</v>
      </c>
      <c r="C69" s="25" t="s">
        <v>13</v>
      </c>
      <c r="D69" s="39">
        <f>121075.26+8983.64+52731.03+16580.04+116.41+26.13</f>
        <v>199512.51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91</v>
      </c>
      <c r="B71" s="2"/>
      <c r="C71" s="2"/>
      <c r="D71" s="2"/>
    </row>
    <row r="72" spans="1:4" ht="15.75" thickBot="1" x14ac:dyDescent="0.3">
      <c r="A72" s="40" t="s">
        <v>92</v>
      </c>
      <c r="B72" s="41" t="s">
        <v>93</v>
      </c>
      <c r="C72" s="42" t="s">
        <v>47</v>
      </c>
      <c r="D72" s="41" t="s">
        <v>94</v>
      </c>
    </row>
    <row r="73" spans="1:4" ht="15.75" thickBot="1" x14ac:dyDescent="0.3">
      <c r="A73" s="24"/>
      <c r="B73" s="29" t="s">
        <v>95</v>
      </c>
      <c r="C73" s="25" t="s">
        <v>47</v>
      </c>
      <c r="D73" s="29" t="s">
        <v>96</v>
      </c>
    </row>
    <row r="74" spans="1:4" ht="15.75" thickBot="1" x14ac:dyDescent="0.3">
      <c r="A74" s="24"/>
      <c r="B74" s="29" t="s">
        <v>97</v>
      </c>
      <c r="C74" s="25" t="s">
        <v>96</v>
      </c>
      <c r="D74" s="39">
        <v>444.07589999999999</v>
      </c>
    </row>
    <row r="75" spans="1:4" ht="15.75" thickBot="1" x14ac:dyDescent="0.3">
      <c r="A75" s="24"/>
      <c r="B75" s="29" t="s">
        <v>98</v>
      </c>
      <c r="C75" s="25" t="s">
        <v>13</v>
      </c>
      <c r="D75" s="39">
        <f>440819.54+4869.68</f>
        <v>445689.22</v>
      </c>
    </row>
    <row r="76" spans="1:4" ht="15.75" thickBot="1" x14ac:dyDescent="0.3">
      <c r="A76" s="24"/>
      <c r="B76" s="25" t="s">
        <v>99</v>
      </c>
      <c r="C76" s="25" t="s">
        <v>13</v>
      </c>
      <c r="D76" s="43">
        <v>315738.59999999998</v>
      </c>
    </row>
    <row r="77" spans="1:4" ht="15.75" thickBot="1" x14ac:dyDescent="0.3">
      <c r="A77" s="24"/>
      <c r="B77" s="25" t="s">
        <v>100</v>
      </c>
      <c r="C77" s="25" t="s">
        <v>13</v>
      </c>
      <c r="D77" s="43">
        <f>D75-D76</f>
        <v>129950.62</v>
      </c>
    </row>
    <row r="78" spans="1:4" ht="15.75" thickBot="1" x14ac:dyDescent="0.3">
      <c r="A78" s="24"/>
      <c r="B78" s="25" t="s">
        <v>101</v>
      </c>
      <c r="C78" s="25" t="s">
        <v>13</v>
      </c>
      <c r="D78" s="43">
        <v>440682.25</v>
      </c>
    </row>
    <row r="79" spans="1:4" ht="15.75" thickBot="1" x14ac:dyDescent="0.3">
      <c r="A79" s="24"/>
      <c r="B79" s="25" t="s">
        <v>102</v>
      </c>
      <c r="C79" s="25" t="s">
        <v>13</v>
      </c>
      <c r="D79" s="43">
        <f>D76</f>
        <v>315738.59999999998</v>
      </c>
    </row>
    <row r="80" spans="1:4" ht="15.75" thickBot="1" x14ac:dyDescent="0.3">
      <c r="A80" s="24"/>
      <c r="B80" s="25" t="s">
        <v>103</v>
      </c>
      <c r="C80" s="25" t="s">
        <v>13</v>
      </c>
      <c r="D80" s="43">
        <f>D77</f>
        <v>129950.62</v>
      </c>
    </row>
    <row r="81" spans="1:4" ht="15.75" thickBot="1" x14ac:dyDescent="0.3">
      <c r="A81" s="24"/>
      <c r="B81" s="29" t="s">
        <v>104</v>
      </c>
      <c r="C81" s="25" t="s">
        <v>13</v>
      </c>
      <c r="D81" s="39">
        <v>0</v>
      </c>
    </row>
    <row r="82" spans="1:4" ht="15.75" thickBot="1" x14ac:dyDescent="0.3">
      <c r="A82" s="40" t="s">
        <v>105</v>
      </c>
      <c r="B82" s="41" t="s">
        <v>93</v>
      </c>
      <c r="C82" s="42" t="s">
        <v>47</v>
      </c>
      <c r="D82" s="41" t="s">
        <v>106</v>
      </c>
    </row>
    <row r="83" spans="1:4" ht="15.75" thickBot="1" x14ac:dyDescent="0.3">
      <c r="A83" s="24"/>
      <c r="B83" s="29" t="s">
        <v>95</v>
      </c>
      <c r="C83" s="25" t="s">
        <v>47</v>
      </c>
      <c r="D83" s="29" t="s">
        <v>107</v>
      </c>
    </row>
    <row r="84" spans="1:4" ht="15.75" thickBot="1" x14ac:dyDescent="0.3">
      <c r="A84" s="24"/>
      <c r="B84" s="29" t="s">
        <v>97</v>
      </c>
      <c r="C84" s="25" t="s">
        <v>107</v>
      </c>
      <c r="D84" s="44">
        <v>5057.5551999999998</v>
      </c>
    </row>
    <row r="85" spans="1:4" ht="15.75" thickBot="1" x14ac:dyDescent="0.3">
      <c r="A85" s="24"/>
      <c r="B85" s="29" t="s">
        <v>98</v>
      </c>
      <c r="C85" s="25" t="s">
        <v>13</v>
      </c>
      <c r="D85" s="44">
        <f>51490.92-331.16+857.93+321.8</f>
        <v>52339.49</v>
      </c>
    </row>
    <row r="86" spans="1:4" ht="15.75" thickBot="1" x14ac:dyDescent="0.3">
      <c r="A86" s="24"/>
      <c r="B86" s="25" t="s">
        <v>99</v>
      </c>
      <c r="C86" s="25" t="s">
        <v>13</v>
      </c>
      <c r="D86" s="45">
        <f>52418.99+4720.82</f>
        <v>57139.81</v>
      </c>
    </row>
    <row r="87" spans="1:4" ht="15.75" thickBot="1" x14ac:dyDescent="0.3">
      <c r="A87" s="24"/>
      <c r="B87" s="25" t="s">
        <v>100</v>
      </c>
      <c r="C87" s="25" t="s">
        <v>13</v>
      </c>
      <c r="D87" s="45">
        <v>0</v>
      </c>
    </row>
    <row r="88" spans="1:4" ht="15.75" thickBot="1" x14ac:dyDescent="0.3">
      <c r="A88" s="24"/>
      <c r="B88" s="25" t="s">
        <v>101</v>
      </c>
      <c r="C88" s="25" t="s">
        <v>13</v>
      </c>
      <c r="D88" s="45">
        <v>69348.08</v>
      </c>
    </row>
    <row r="89" spans="1:4" ht="15.75" thickBot="1" x14ac:dyDescent="0.3">
      <c r="A89" s="24"/>
      <c r="B89" s="25" t="s">
        <v>102</v>
      </c>
      <c r="C89" s="25" t="s">
        <v>13</v>
      </c>
      <c r="D89" s="45">
        <f>D86</f>
        <v>57139.81</v>
      </c>
    </row>
    <row r="90" spans="1:4" ht="15.75" thickBot="1" x14ac:dyDescent="0.3">
      <c r="A90" s="24"/>
      <c r="B90" s="25" t="s">
        <v>103</v>
      </c>
      <c r="C90" s="25" t="s">
        <v>13</v>
      </c>
      <c r="D90" s="45">
        <v>0</v>
      </c>
    </row>
    <row r="91" spans="1:4" ht="15.75" thickBot="1" x14ac:dyDescent="0.3">
      <c r="A91" s="24"/>
      <c r="B91" s="29" t="s">
        <v>104</v>
      </c>
      <c r="C91" s="25" t="s">
        <v>13</v>
      </c>
      <c r="D91" s="44">
        <v>0</v>
      </c>
    </row>
    <row r="92" spans="1:4" ht="15.75" thickBot="1" x14ac:dyDescent="0.3">
      <c r="A92" s="40" t="s">
        <v>108</v>
      </c>
      <c r="B92" s="41" t="s">
        <v>93</v>
      </c>
      <c r="C92" s="42" t="s">
        <v>47</v>
      </c>
      <c r="D92" s="41" t="s">
        <v>109</v>
      </c>
    </row>
    <row r="93" spans="1:4" ht="15.75" thickBot="1" x14ac:dyDescent="0.3">
      <c r="A93" s="24"/>
      <c r="B93" s="29" t="s">
        <v>95</v>
      </c>
      <c r="C93" s="25" t="s">
        <v>47</v>
      </c>
      <c r="D93" s="29" t="s">
        <v>107</v>
      </c>
    </row>
    <row r="94" spans="1:4" ht="15.75" thickBot="1" x14ac:dyDescent="0.3">
      <c r="A94" s="24"/>
      <c r="B94" s="29" t="s">
        <v>97</v>
      </c>
      <c r="C94" s="25" t="s">
        <v>107</v>
      </c>
      <c r="D94" s="44">
        <v>3435.5019000000002</v>
      </c>
    </row>
    <row r="95" spans="1:4" ht="15.75" thickBot="1" x14ac:dyDescent="0.3">
      <c r="A95" s="24"/>
      <c r="B95" s="29" t="s">
        <v>98</v>
      </c>
      <c r="C95" s="25" t="s">
        <v>13</v>
      </c>
      <c r="D95" s="44">
        <f>287209.76+1213.51+575.57</f>
        <v>288998.84000000003</v>
      </c>
    </row>
    <row r="96" spans="1:4" ht="15.75" thickBot="1" x14ac:dyDescent="0.3">
      <c r="A96" s="24"/>
      <c r="B96" s="25" t="s">
        <v>99</v>
      </c>
      <c r="C96" s="25" t="s">
        <v>13</v>
      </c>
      <c r="D96" s="45">
        <f>258304.07+3796.73</f>
        <v>262100.80000000002</v>
      </c>
    </row>
    <row r="97" spans="1:4" ht="15.75" thickBot="1" x14ac:dyDescent="0.3">
      <c r="A97" s="24"/>
      <c r="B97" s="25" t="s">
        <v>100</v>
      </c>
      <c r="C97" s="25" t="s">
        <v>13</v>
      </c>
      <c r="D97" s="45">
        <f>D95-D96</f>
        <v>26898.040000000008</v>
      </c>
    </row>
    <row r="98" spans="1:4" ht="15.75" thickBot="1" x14ac:dyDescent="0.3">
      <c r="A98" s="24"/>
      <c r="B98" s="25" t="s">
        <v>101</v>
      </c>
      <c r="C98" s="25" t="s">
        <v>13</v>
      </c>
      <c r="D98" s="45">
        <v>287971.39</v>
      </c>
    </row>
    <row r="99" spans="1:4" ht="15.75" thickBot="1" x14ac:dyDescent="0.3">
      <c r="A99" s="24"/>
      <c r="B99" s="25" t="s">
        <v>102</v>
      </c>
      <c r="C99" s="25" t="s">
        <v>13</v>
      </c>
      <c r="D99" s="45">
        <f>D96</f>
        <v>262100.80000000002</v>
      </c>
    </row>
    <row r="100" spans="1:4" ht="15.75" thickBot="1" x14ac:dyDescent="0.3">
      <c r="A100" s="24"/>
      <c r="B100" s="25" t="s">
        <v>103</v>
      </c>
      <c r="C100" s="25" t="s">
        <v>13</v>
      </c>
      <c r="D100" s="45">
        <f>D97</f>
        <v>26898.040000000008</v>
      </c>
    </row>
    <row r="101" spans="1:4" ht="15.75" thickBot="1" x14ac:dyDescent="0.3">
      <c r="A101" s="24"/>
      <c r="B101" s="29" t="s">
        <v>104</v>
      </c>
      <c r="C101" s="25" t="s">
        <v>13</v>
      </c>
      <c r="D101" s="44">
        <v>0</v>
      </c>
    </row>
    <row r="102" spans="1:4" ht="15.75" thickBot="1" x14ac:dyDescent="0.3">
      <c r="A102" s="40" t="s">
        <v>110</v>
      </c>
      <c r="B102" s="41" t="s">
        <v>93</v>
      </c>
      <c r="C102" s="42" t="s">
        <v>47</v>
      </c>
      <c r="D102" s="41" t="s">
        <v>111</v>
      </c>
    </row>
    <row r="103" spans="1:4" ht="15.75" thickBot="1" x14ac:dyDescent="0.3">
      <c r="A103" s="24"/>
      <c r="B103" s="29" t="s">
        <v>95</v>
      </c>
      <c r="C103" s="25" t="s">
        <v>47</v>
      </c>
      <c r="D103" s="29" t="s">
        <v>107</v>
      </c>
    </row>
    <row r="104" spans="1:4" ht="15.75" thickBot="1" x14ac:dyDescent="0.3">
      <c r="A104" s="24"/>
      <c r="B104" s="29" t="s">
        <v>97</v>
      </c>
      <c r="C104" s="25" t="s">
        <v>107</v>
      </c>
      <c r="D104" s="39">
        <v>8493.0498000000007</v>
      </c>
    </row>
    <row r="105" spans="1:4" ht="15.75" thickBot="1" x14ac:dyDescent="0.3">
      <c r="A105" s="24"/>
      <c r="B105" s="29" t="s">
        <v>98</v>
      </c>
      <c r="C105" s="25" t="s">
        <v>13</v>
      </c>
      <c r="D105" s="39">
        <f>89597.86+5.52</f>
        <v>89603.38</v>
      </c>
    </row>
    <row r="106" spans="1:4" ht="15.75" thickBot="1" x14ac:dyDescent="0.3">
      <c r="A106" s="24"/>
      <c r="B106" s="25" t="s">
        <v>99</v>
      </c>
      <c r="C106" s="25" t="s">
        <v>13</v>
      </c>
      <c r="D106" s="43">
        <v>91405.66</v>
      </c>
    </row>
    <row r="107" spans="1:4" ht="15.75" thickBot="1" x14ac:dyDescent="0.3">
      <c r="A107" s="24"/>
      <c r="B107" s="25" t="s">
        <v>100</v>
      </c>
      <c r="C107" s="25" t="s">
        <v>13</v>
      </c>
      <c r="D107" s="43">
        <v>0</v>
      </c>
    </row>
    <row r="108" spans="1:4" ht="15.75" thickBot="1" x14ac:dyDescent="0.3">
      <c r="A108" s="24"/>
      <c r="B108" s="25" t="s">
        <v>101</v>
      </c>
      <c r="C108" s="25" t="s">
        <v>13</v>
      </c>
      <c r="D108" s="43">
        <v>121373.95</v>
      </c>
    </row>
    <row r="109" spans="1:4" ht="15.75" thickBot="1" x14ac:dyDescent="0.3">
      <c r="A109" s="24"/>
      <c r="B109" s="25" t="s">
        <v>102</v>
      </c>
      <c r="C109" s="25" t="s">
        <v>13</v>
      </c>
      <c r="D109" s="43">
        <f>D106</f>
        <v>91405.66</v>
      </c>
    </row>
    <row r="110" spans="1:4" ht="15.75" thickBot="1" x14ac:dyDescent="0.3">
      <c r="A110" s="24"/>
      <c r="B110" s="25" t="s">
        <v>103</v>
      </c>
      <c r="C110" s="25" t="s">
        <v>13</v>
      </c>
      <c r="D110" s="43">
        <v>0</v>
      </c>
    </row>
    <row r="111" spans="1:4" ht="15.75" thickBot="1" x14ac:dyDescent="0.3">
      <c r="A111" s="24"/>
      <c r="B111" s="29" t="s">
        <v>104</v>
      </c>
      <c r="C111" s="25" t="s">
        <v>13</v>
      </c>
      <c r="D111" s="39">
        <v>0</v>
      </c>
    </row>
    <row r="112" spans="1:4" x14ac:dyDescent="0.25">
      <c r="A112" s="46"/>
      <c r="B112" s="47"/>
      <c r="C112" s="48"/>
      <c r="D112" s="49"/>
    </row>
    <row r="113" spans="1:4" ht="15.75" thickBot="1" x14ac:dyDescent="0.3">
      <c r="A113" s="8" t="s">
        <v>112</v>
      </c>
      <c r="B113" s="2"/>
      <c r="C113" s="2"/>
      <c r="D113" s="2"/>
    </row>
    <row r="114" spans="1:4" ht="15.75" thickBot="1" x14ac:dyDescent="0.3">
      <c r="A114" s="22" t="s">
        <v>113</v>
      </c>
      <c r="B114" s="33" t="s">
        <v>73</v>
      </c>
      <c r="C114" s="32" t="s">
        <v>114</v>
      </c>
      <c r="D114" s="33">
        <v>0</v>
      </c>
    </row>
    <row r="115" spans="1:4" ht="15.75" thickBot="1" x14ac:dyDescent="0.3">
      <c r="A115" s="24" t="s">
        <v>115</v>
      </c>
      <c r="B115" s="29" t="s">
        <v>75</v>
      </c>
      <c r="C115" s="25" t="s">
        <v>114</v>
      </c>
      <c r="D115" s="29">
        <v>0</v>
      </c>
    </row>
    <row r="116" spans="1:4" ht="15.75" thickBot="1" x14ac:dyDescent="0.3">
      <c r="A116" s="24" t="s">
        <v>116</v>
      </c>
      <c r="B116" s="29" t="s">
        <v>77</v>
      </c>
      <c r="C116" s="25" t="s">
        <v>114</v>
      </c>
      <c r="D116" s="29">
        <v>0</v>
      </c>
    </row>
    <row r="117" spans="1:4" ht="15.75" thickBot="1" x14ac:dyDescent="0.3">
      <c r="A117" s="24" t="s">
        <v>117</v>
      </c>
      <c r="B117" s="29" t="s">
        <v>79</v>
      </c>
      <c r="C117" s="25" t="s">
        <v>13</v>
      </c>
      <c r="D117" s="39">
        <v>0</v>
      </c>
    </row>
    <row r="118" spans="1:4" x14ac:dyDescent="0.25">
      <c r="A118" s="2"/>
      <c r="B118" s="2"/>
      <c r="C118" s="2"/>
      <c r="D118" s="2"/>
    </row>
    <row r="119" spans="1:4" ht="15.75" thickBot="1" x14ac:dyDescent="0.3">
      <c r="A119" s="8" t="s">
        <v>118</v>
      </c>
      <c r="B119" s="2"/>
      <c r="C119" s="2"/>
      <c r="D119" s="2"/>
    </row>
    <row r="120" spans="1:4" ht="15.75" thickBot="1" x14ac:dyDescent="0.3">
      <c r="A120" s="34">
        <v>48</v>
      </c>
      <c r="B120" s="33" t="s">
        <v>119</v>
      </c>
      <c r="C120" s="32" t="s">
        <v>114</v>
      </c>
      <c r="D120" s="33">
        <v>3</v>
      </c>
    </row>
    <row r="121" spans="1:4" ht="15.75" thickBot="1" x14ac:dyDescent="0.3">
      <c r="A121" s="50">
        <v>49</v>
      </c>
      <c r="B121" s="29" t="s">
        <v>120</v>
      </c>
      <c r="C121" s="25" t="s">
        <v>114</v>
      </c>
      <c r="D121" s="29">
        <v>2</v>
      </c>
    </row>
    <row r="122" spans="1:4" ht="15.75" thickBot="1" x14ac:dyDescent="0.3">
      <c r="A122" s="51">
        <v>50</v>
      </c>
      <c r="B122" s="52" t="s">
        <v>121</v>
      </c>
      <c r="C122" s="53" t="s">
        <v>13</v>
      </c>
      <c r="D122" s="56">
        <f>47718+39143.43</f>
        <v>86861.43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2"/>
  <sheetViews>
    <sheetView workbookViewId="0">
      <selection sqref="A1:D122"/>
    </sheetView>
  </sheetViews>
  <sheetFormatPr defaultRowHeight="15" x14ac:dyDescent="0.25"/>
  <cols>
    <col min="2" max="2" width="73.28515625" customWidth="1"/>
    <col min="3" max="3" width="12.140625" customWidth="1"/>
    <col min="4" max="4" width="54.28515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303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304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72702.240000000005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72702.240000000005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376874.85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254731.2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96198.72+18744.93</f>
        <v>114943.65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382917.74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259023.19+98093.38+16651.17</f>
        <v>373767.74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9150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D20-D15</f>
        <v>310215.5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41709.279999999999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41709.279999999999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132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3808170471</v>
      </c>
    </row>
    <row r="56" spans="1:4" x14ac:dyDescent="0.25">
      <c r="A56" s="2"/>
      <c r="B56" s="2"/>
      <c r="C56" s="2"/>
      <c r="D56" s="2"/>
    </row>
    <row r="57" spans="1:4" ht="15.75" thickBot="1" x14ac:dyDescent="0.3">
      <c r="A57" s="8" t="s">
        <v>71</v>
      </c>
      <c r="B57" s="2"/>
      <c r="C57" s="2"/>
      <c r="D57" s="2"/>
    </row>
    <row r="58" spans="1:4" ht="15.75" thickBot="1" x14ac:dyDescent="0.3">
      <c r="A58" s="22" t="s">
        <v>72</v>
      </c>
      <c r="B58" s="32" t="s">
        <v>73</v>
      </c>
      <c r="C58" s="32" t="s">
        <v>47</v>
      </c>
      <c r="D58" s="33">
        <v>0</v>
      </c>
    </row>
    <row r="59" spans="1:4" ht="15.75" thickBot="1" x14ac:dyDescent="0.3">
      <c r="A59" s="24" t="s">
        <v>74</v>
      </c>
      <c r="B59" s="25" t="s">
        <v>75</v>
      </c>
      <c r="C59" s="25" t="s">
        <v>47</v>
      </c>
      <c r="D59" s="29">
        <v>0</v>
      </c>
    </row>
    <row r="60" spans="1:4" ht="15.75" thickBot="1" x14ac:dyDescent="0.3">
      <c r="A60" s="24" t="s">
        <v>76</v>
      </c>
      <c r="B60" s="25" t="s">
        <v>77</v>
      </c>
      <c r="C60" s="25" t="s">
        <v>47</v>
      </c>
      <c r="D60" s="29">
        <v>0</v>
      </c>
    </row>
    <row r="61" spans="1:4" ht="15.75" thickBot="1" x14ac:dyDescent="0.3">
      <c r="A61" s="22" t="s">
        <v>78</v>
      </c>
      <c r="B61" s="34" t="s">
        <v>79</v>
      </c>
      <c r="C61" s="34" t="s">
        <v>13</v>
      </c>
      <c r="D61" s="35">
        <v>0</v>
      </c>
    </row>
    <row r="62" spans="1:4" x14ac:dyDescent="0.25">
      <c r="A62" s="2"/>
      <c r="B62" s="2"/>
      <c r="C62" s="2"/>
      <c r="D62" s="2"/>
    </row>
    <row r="63" spans="1:4" ht="15.75" thickBot="1" x14ac:dyDescent="0.3">
      <c r="A63" s="8" t="s">
        <v>80</v>
      </c>
      <c r="B63" s="2"/>
      <c r="C63" s="2"/>
      <c r="D63" s="2"/>
    </row>
    <row r="64" spans="1:4" ht="15.75" thickBot="1" x14ac:dyDescent="0.3">
      <c r="A64" s="36" t="s">
        <v>81</v>
      </c>
      <c r="B64" s="33" t="s">
        <v>82</v>
      </c>
      <c r="C64" s="32" t="s">
        <v>13</v>
      </c>
      <c r="D64" s="37">
        <f>D66+D65</f>
        <v>250170.56</v>
      </c>
    </row>
    <row r="65" spans="1:4" ht="15.75" thickBot="1" x14ac:dyDescent="0.3">
      <c r="A65" s="38" t="s">
        <v>83</v>
      </c>
      <c r="B65" s="25" t="s">
        <v>84</v>
      </c>
      <c r="C65" s="25" t="s">
        <v>13</v>
      </c>
      <c r="D65" s="39">
        <f>-(1683.58+3906.05+4980.31+3306.24+2.14+15.05)</f>
        <v>-13893.369999999999</v>
      </c>
    </row>
    <row r="66" spans="1:4" ht="15.75" thickBot="1" x14ac:dyDescent="0.3">
      <c r="A66" s="38" t="s">
        <v>85</v>
      </c>
      <c r="B66" s="25" t="s">
        <v>86</v>
      </c>
      <c r="C66" s="25" t="s">
        <v>13</v>
      </c>
      <c r="D66" s="39">
        <f>109539.91+17240.74+103319.69+33035.61+92.04+835.94</f>
        <v>264063.93</v>
      </c>
    </row>
    <row r="67" spans="1:4" ht="15.75" thickBot="1" x14ac:dyDescent="0.3">
      <c r="A67" s="38" t="s">
        <v>87</v>
      </c>
      <c r="B67" s="29" t="s">
        <v>88</v>
      </c>
      <c r="C67" s="25" t="s">
        <v>13</v>
      </c>
      <c r="D67" s="39">
        <f>D69+D68</f>
        <v>305871.37999999995</v>
      </c>
    </row>
    <row r="68" spans="1:4" ht="15.75" thickBot="1" x14ac:dyDescent="0.3">
      <c r="A68" s="38" t="s">
        <v>89</v>
      </c>
      <c r="B68" s="25" t="s">
        <v>84</v>
      </c>
      <c r="C68" s="25" t="s">
        <v>13</v>
      </c>
      <c r="D68" s="39">
        <f>-(3139.78+68.79+2407.21+2642.73+3310.95)</f>
        <v>-11569.46</v>
      </c>
    </row>
    <row r="69" spans="1:4" ht="15.75" thickBot="1" x14ac:dyDescent="0.3">
      <c r="A69" s="38" t="s">
        <v>90</v>
      </c>
      <c r="B69" s="25" t="s">
        <v>86</v>
      </c>
      <c r="C69" s="25" t="s">
        <v>13</v>
      </c>
      <c r="D69" s="39">
        <f>160281.68+19334.35+104239.23+33543.74+4.1+37.74</f>
        <v>317440.83999999997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91</v>
      </c>
      <c r="B71" s="2"/>
      <c r="C71" s="2"/>
      <c r="D71" s="2"/>
    </row>
    <row r="72" spans="1:4" ht="15.75" thickBot="1" x14ac:dyDescent="0.3">
      <c r="A72" s="40" t="s">
        <v>92</v>
      </c>
      <c r="B72" s="41" t="s">
        <v>93</v>
      </c>
      <c r="C72" s="42" t="s">
        <v>47</v>
      </c>
      <c r="D72" s="41" t="s">
        <v>94</v>
      </c>
    </row>
    <row r="73" spans="1:4" ht="15.75" thickBot="1" x14ac:dyDescent="0.3">
      <c r="A73" s="24"/>
      <c r="B73" s="29" t="s">
        <v>95</v>
      </c>
      <c r="C73" s="25" t="s">
        <v>47</v>
      </c>
      <c r="D73" s="29" t="s">
        <v>96</v>
      </c>
    </row>
    <row r="74" spans="1:4" ht="15.75" thickBot="1" x14ac:dyDescent="0.3">
      <c r="A74" s="24"/>
      <c r="B74" s="29" t="s">
        <v>97</v>
      </c>
      <c r="C74" s="25" t="s">
        <v>96</v>
      </c>
      <c r="D74" s="39">
        <v>407.06470000000002</v>
      </c>
    </row>
    <row r="75" spans="1:4" ht="15.75" thickBot="1" x14ac:dyDescent="0.3">
      <c r="A75" s="24"/>
      <c r="B75" s="29" t="s">
        <v>98</v>
      </c>
      <c r="C75" s="25" t="s">
        <v>13</v>
      </c>
      <c r="D75" s="39">
        <f>403180.23-22166.97</f>
        <v>381013.26</v>
      </c>
    </row>
    <row r="76" spans="1:4" ht="15.75" thickBot="1" x14ac:dyDescent="0.3">
      <c r="A76" s="24"/>
      <c r="B76" s="25" t="s">
        <v>99</v>
      </c>
      <c r="C76" s="25" t="s">
        <v>13</v>
      </c>
      <c r="D76" s="43">
        <v>328587.90999999997</v>
      </c>
    </row>
    <row r="77" spans="1:4" ht="15.75" thickBot="1" x14ac:dyDescent="0.3">
      <c r="A77" s="24"/>
      <c r="B77" s="25" t="s">
        <v>100</v>
      </c>
      <c r="C77" s="25" t="s">
        <v>13</v>
      </c>
      <c r="D77" s="43">
        <f>D75-D76</f>
        <v>52425.350000000035</v>
      </c>
    </row>
    <row r="78" spans="1:4" ht="15.75" thickBot="1" x14ac:dyDescent="0.3">
      <c r="A78" s="24"/>
      <c r="B78" s="25" t="s">
        <v>101</v>
      </c>
      <c r="C78" s="25" t="s">
        <v>13</v>
      </c>
      <c r="D78" s="43">
        <v>379281.7</v>
      </c>
    </row>
    <row r="79" spans="1:4" ht="15.75" thickBot="1" x14ac:dyDescent="0.3">
      <c r="A79" s="24"/>
      <c r="B79" s="25" t="s">
        <v>102</v>
      </c>
      <c r="C79" s="25" t="s">
        <v>13</v>
      </c>
      <c r="D79" s="43">
        <f>D76</f>
        <v>328587.90999999997</v>
      </c>
    </row>
    <row r="80" spans="1:4" ht="15.75" thickBot="1" x14ac:dyDescent="0.3">
      <c r="A80" s="24"/>
      <c r="B80" s="25" t="s">
        <v>103</v>
      </c>
      <c r="C80" s="25" t="s">
        <v>13</v>
      </c>
      <c r="D80" s="43">
        <f>D77</f>
        <v>52425.350000000035</v>
      </c>
    </row>
    <row r="81" spans="1:4" ht="15.75" thickBot="1" x14ac:dyDescent="0.3">
      <c r="A81" s="24"/>
      <c r="B81" s="29" t="s">
        <v>104</v>
      </c>
      <c r="C81" s="25" t="s">
        <v>13</v>
      </c>
      <c r="D81" s="39">
        <v>0</v>
      </c>
    </row>
    <row r="82" spans="1:4" ht="15.75" thickBot="1" x14ac:dyDescent="0.3">
      <c r="A82" s="40" t="s">
        <v>105</v>
      </c>
      <c r="B82" s="41" t="s">
        <v>93</v>
      </c>
      <c r="C82" s="42" t="s">
        <v>47</v>
      </c>
      <c r="D82" s="41" t="s">
        <v>106</v>
      </c>
    </row>
    <row r="83" spans="1:4" ht="15.75" thickBot="1" x14ac:dyDescent="0.3">
      <c r="A83" s="24"/>
      <c r="B83" s="29" t="s">
        <v>95</v>
      </c>
      <c r="C83" s="25" t="s">
        <v>47</v>
      </c>
      <c r="D83" s="29" t="s">
        <v>107</v>
      </c>
    </row>
    <row r="84" spans="1:4" ht="15.75" thickBot="1" x14ac:dyDescent="0.3">
      <c r="A84" s="24"/>
      <c r="B84" s="29" t="s">
        <v>97</v>
      </c>
      <c r="C84" s="25" t="s">
        <v>107</v>
      </c>
      <c r="D84" s="44">
        <v>3893.8609000000001</v>
      </c>
    </row>
    <row r="85" spans="1:4" ht="15.75" thickBot="1" x14ac:dyDescent="0.3">
      <c r="A85" s="24"/>
      <c r="B85" s="29" t="s">
        <v>98</v>
      </c>
      <c r="C85" s="25" t="s">
        <v>13</v>
      </c>
      <c r="D85" s="44">
        <f>53612.95-8453.96+355.66</f>
        <v>45514.65</v>
      </c>
    </row>
    <row r="86" spans="1:4" ht="15.75" thickBot="1" x14ac:dyDescent="0.3">
      <c r="A86" s="24"/>
      <c r="B86" s="25" t="s">
        <v>99</v>
      </c>
      <c r="C86" s="25" t="s">
        <v>13</v>
      </c>
      <c r="D86" s="45">
        <f>42299.11+3084.19</f>
        <v>45383.3</v>
      </c>
    </row>
    <row r="87" spans="1:4" ht="15.75" thickBot="1" x14ac:dyDescent="0.3">
      <c r="A87" s="24"/>
      <c r="B87" s="25" t="s">
        <v>100</v>
      </c>
      <c r="C87" s="25" t="s">
        <v>13</v>
      </c>
      <c r="D87" s="45">
        <f>D85-D86</f>
        <v>131.34999999999854</v>
      </c>
    </row>
    <row r="88" spans="1:4" ht="15.75" thickBot="1" x14ac:dyDescent="0.3">
      <c r="A88" s="24"/>
      <c r="B88" s="25" t="s">
        <v>101</v>
      </c>
      <c r="C88" s="25" t="s">
        <v>13</v>
      </c>
      <c r="D88" s="45">
        <v>53618.3</v>
      </c>
    </row>
    <row r="89" spans="1:4" ht="15.75" thickBot="1" x14ac:dyDescent="0.3">
      <c r="A89" s="24"/>
      <c r="B89" s="25" t="s">
        <v>102</v>
      </c>
      <c r="C89" s="25" t="s">
        <v>13</v>
      </c>
      <c r="D89" s="45">
        <f>D86</f>
        <v>45383.3</v>
      </c>
    </row>
    <row r="90" spans="1:4" ht="15.75" thickBot="1" x14ac:dyDescent="0.3">
      <c r="A90" s="24"/>
      <c r="B90" s="25" t="s">
        <v>103</v>
      </c>
      <c r="C90" s="25" t="s">
        <v>13</v>
      </c>
      <c r="D90" s="45">
        <f>D87</f>
        <v>131.34999999999854</v>
      </c>
    </row>
    <row r="91" spans="1:4" ht="15.75" thickBot="1" x14ac:dyDescent="0.3">
      <c r="A91" s="24"/>
      <c r="B91" s="29" t="s">
        <v>104</v>
      </c>
      <c r="C91" s="25" t="s">
        <v>13</v>
      </c>
      <c r="D91" s="44">
        <v>0</v>
      </c>
    </row>
    <row r="92" spans="1:4" ht="15.75" thickBot="1" x14ac:dyDescent="0.3">
      <c r="A92" s="40" t="s">
        <v>108</v>
      </c>
      <c r="B92" s="41" t="s">
        <v>93</v>
      </c>
      <c r="C92" s="42" t="s">
        <v>47</v>
      </c>
      <c r="D92" s="41" t="s">
        <v>109</v>
      </c>
    </row>
    <row r="93" spans="1:4" ht="15.75" thickBot="1" x14ac:dyDescent="0.3">
      <c r="A93" s="24"/>
      <c r="B93" s="29" t="s">
        <v>95</v>
      </c>
      <c r="C93" s="25" t="s">
        <v>47</v>
      </c>
      <c r="D93" s="29" t="s">
        <v>107</v>
      </c>
    </row>
    <row r="94" spans="1:4" ht="15.75" thickBot="1" x14ac:dyDescent="0.3">
      <c r="A94" s="24"/>
      <c r="B94" s="29" t="s">
        <v>97</v>
      </c>
      <c r="C94" s="25" t="s">
        <v>107</v>
      </c>
      <c r="D94" s="44">
        <v>2735.8397</v>
      </c>
    </row>
    <row r="95" spans="1:4" ht="15.75" thickBot="1" x14ac:dyDescent="0.3">
      <c r="A95" s="24"/>
      <c r="B95" s="29" t="s">
        <v>98</v>
      </c>
      <c r="C95" s="25" t="s">
        <v>13</v>
      </c>
      <c r="D95" s="44">
        <f>226958.54-25434.54+355.67</f>
        <v>201879.67</v>
      </c>
    </row>
    <row r="96" spans="1:4" ht="15.75" thickBot="1" x14ac:dyDescent="0.3">
      <c r="A96" s="24"/>
      <c r="B96" s="25" t="s">
        <v>99</v>
      </c>
      <c r="C96" s="25" t="s">
        <v>13</v>
      </c>
      <c r="D96" s="45">
        <f>195692.94+4449.77</f>
        <v>200142.71</v>
      </c>
    </row>
    <row r="97" spans="1:4" ht="15.75" thickBot="1" x14ac:dyDescent="0.3">
      <c r="A97" s="24"/>
      <c r="B97" s="25" t="s">
        <v>100</v>
      </c>
      <c r="C97" s="25" t="s">
        <v>13</v>
      </c>
      <c r="D97" s="45">
        <f>D95-D96</f>
        <v>1736.960000000021</v>
      </c>
    </row>
    <row r="98" spans="1:4" ht="15.75" thickBot="1" x14ac:dyDescent="0.3">
      <c r="A98" s="24"/>
      <c r="B98" s="25" t="s">
        <v>101</v>
      </c>
      <c r="C98" s="25" t="s">
        <v>13</v>
      </c>
      <c r="D98" s="45">
        <v>227475.98</v>
      </c>
    </row>
    <row r="99" spans="1:4" ht="15.75" thickBot="1" x14ac:dyDescent="0.3">
      <c r="A99" s="24"/>
      <c r="B99" s="25" t="s">
        <v>102</v>
      </c>
      <c r="C99" s="25" t="s">
        <v>13</v>
      </c>
      <c r="D99" s="45">
        <f>D96</f>
        <v>200142.71</v>
      </c>
    </row>
    <row r="100" spans="1:4" ht="15.75" thickBot="1" x14ac:dyDescent="0.3">
      <c r="A100" s="24"/>
      <c r="B100" s="25" t="s">
        <v>103</v>
      </c>
      <c r="C100" s="25" t="s">
        <v>13</v>
      </c>
      <c r="D100" s="45">
        <f>D97</f>
        <v>1736.960000000021</v>
      </c>
    </row>
    <row r="101" spans="1:4" ht="15.75" thickBot="1" x14ac:dyDescent="0.3">
      <c r="A101" s="24"/>
      <c r="B101" s="29" t="s">
        <v>104</v>
      </c>
      <c r="C101" s="25" t="s">
        <v>13</v>
      </c>
      <c r="D101" s="44">
        <v>0</v>
      </c>
    </row>
    <row r="102" spans="1:4" ht="15.75" thickBot="1" x14ac:dyDescent="0.3">
      <c r="A102" s="40" t="s">
        <v>110</v>
      </c>
      <c r="B102" s="41" t="s">
        <v>93</v>
      </c>
      <c r="C102" s="42" t="s">
        <v>47</v>
      </c>
      <c r="D102" s="41" t="s">
        <v>111</v>
      </c>
    </row>
    <row r="103" spans="1:4" ht="15.75" thickBot="1" x14ac:dyDescent="0.3">
      <c r="A103" s="24"/>
      <c r="B103" s="29" t="s">
        <v>95</v>
      </c>
      <c r="C103" s="25" t="s">
        <v>47</v>
      </c>
      <c r="D103" s="29" t="s">
        <v>107</v>
      </c>
    </row>
    <row r="104" spans="1:4" ht="15.75" thickBot="1" x14ac:dyDescent="0.3">
      <c r="A104" s="24"/>
      <c r="B104" s="29" t="s">
        <v>97</v>
      </c>
      <c r="C104" s="25" t="s">
        <v>107</v>
      </c>
      <c r="D104" s="39">
        <v>6629.6965</v>
      </c>
    </row>
    <row r="105" spans="1:4" ht="15.75" thickBot="1" x14ac:dyDescent="0.3">
      <c r="A105" s="24"/>
      <c r="B105" s="29" t="s">
        <v>98</v>
      </c>
      <c r="C105" s="25" t="s">
        <v>13</v>
      </c>
      <c r="D105" s="39">
        <f>69895.86-11794.1</f>
        <v>58101.760000000002</v>
      </c>
    </row>
    <row r="106" spans="1:4" ht="15.75" thickBot="1" x14ac:dyDescent="0.3">
      <c r="A106" s="24"/>
      <c r="B106" s="25" t="s">
        <v>99</v>
      </c>
      <c r="C106" s="25" t="s">
        <v>13</v>
      </c>
      <c r="D106" s="43">
        <v>56694.6</v>
      </c>
    </row>
    <row r="107" spans="1:4" ht="15.75" thickBot="1" x14ac:dyDescent="0.3">
      <c r="A107" s="24"/>
      <c r="B107" s="25" t="s">
        <v>100</v>
      </c>
      <c r="C107" s="25" t="s">
        <v>13</v>
      </c>
      <c r="D107" s="43">
        <f>D105-D106</f>
        <v>1407.1600000000035</v>
      </c>
    </row>
    <row r="108" spans="1:4" ht="15.75" thickBot="1" x14ac:dyDescent="0.3">
      <c r="A108" s="24"/>
      <c r="B108" s="25" t="s">
        <v>101</v>
      </c>
      <c r="C108" s="25" t="s">
        <v>13</v>
      </c>
      <c r="D108" s="43">
        <v>88295.4</v>
      </c>
    </row>
    <row r="109" spans="1:4" ht="15.75" thickBot="1" x14ac:dyDescent="0.3">
      <c r="A109" s="24"/>
      <c r="B109" s="25" t="s">
        <v>102</v>
      </c>
      <c r="C109" s="25" t="s">
        <v>13</v>
      </c>
      <c r="D109" s="43">
        <f>D106</f>
        <v>56694.6</v>
      </c>
    </row>
    <row r="110" spans="1:4" ht="15.75" thickBot="1" x14ac:dyDescent="0.3">
      <c r="A110" s="24"/>
      <c r="B110" s="25" t="s">
        <v>103</v>
      </c>
      <c r="C110" s="25" t="s">
        <v>13</v>
      </c>
      <c r="D110" s="43">
        <f>D107</f>
        <v>1407.1600000000035</v>
      </c>
    </row>
    <row r="111" spans="1:4" ht="15.75" thickBot="1" x14ac:dyDescent="0.3">
      <c r="A111" s="24"/>
      <c r="B111" s="29" t="s">
        <v>104</v>
      </c>
      <c r="C111" s="25" t="s">
        <v>13</v>
      </c>
      <c r="D111" s="39">
        <v>0</v>
      </c>
    </row>
    <row r="112" spans="1:4" x14ac:dyDescent="0.25">
      <c r="A112" s="46"/>
      <c r="B112" s="47"/>
      <c r="C112" s="48"/>
      <c r="D112" s="49"/>
    </row>
    <row r="113" spans="1:4" ht="15.75" thickBot="1" x14ac:dyDescent="0.3">
      <c r="A113" s="8" t="s">
        <v>112</v>
      </c>
      <c r="B113" s="2"/>
      <c r="C113" s="2"/>
      <c r="D113" s="2"/>
    </row>
    <row r="114" spans="1:4" ht="15.75" thickBot="1" x14ac:dyDescent="0.3">
      <c r="A114" s="22" t="s">
        <v>113</v>
      </c>
      <c r="B114" s="33" t="s">
        <v>73</v>
      </c>
      <c r="C114" s="32" t="s">
        <v>114</v>
      </c>
      <c r="D114" s="33">
        <v>0</v>
      </c>
    </row>
    <row r="115" spans="1:4" ht="15.75" thickBot="1" x14ac:dyDescent="0.3">
      <c r="A115" s="24" t="s">
        <v>115</v>
      </c>
      <c r="B115" s="29" t="s">
        <v>75</v>
      </c>
      <c r="C115" s="25" t="s">
        <v>114</v>
      </c>
      <c r="D115" s="29">
        <v>0</v>
      </c>
    </row>
    <row r="116" spans="1:4" ht="15.75" thickBot="1" x14ac:dyDescent="0.3">
      <c r="A116" s="24" t="s">
        <v>116</v>
      </c>
      <c r="B116" s="29" t="s">
        <v>77</v>
      </c>
      <c r="C116" s="25" t="s">
        <v>114</v>
      </c>
      <c r="D116" s="29">
        <v>0</v>
      </c>
    </row>
    <row r="117" spans="1:4" ht="15.75" thickBot="1" x14ac:dyDescent="0.3">
      <c r="A117" s="24" t="s">
        <v>117</v>
      </c>
      <c r="B117" s="29" t="s">
        <v>79</v>
      </c>
      <c r="C117" s="25" t="s">
        <v>13</v>
      </c>
      <c r="D117" s="39">
        <v>0</v>
      </c>
    </row>
    <row r="118" spans="1:4" x14ac:dyDescent="0.25">
      <c r="A118" s="2"/>
      <c r="B118" s="2"/>
      <c r="C118" s="2"/>
      <c r="D118" s="2"/>
    </row>
    <row r="119" spans="1:4" ht="15.75" thickBot="1" x14ac:dyDescent="0.3">
      <c r="A119" s="8" t="s">
        <v>118</v>
      </c>
      <c r="B119" s="2"/>
      <c r="C119" s="2"/>
      <c r="D119" s="2"/>
    </row>
    <row r="120" spans="1:4" ht="15.75" thickBot="1" x14ac:dyDescent="0.3">
      <c r="A120" s="34">
        <v>48</v>
      </c>
      <c r="B120" s="33" t="s">
        <v>119</v>
      </c>
      <c r="C120" s="32" t="s">
        <v>114</v>
      </c>
      <c r="D120" s="33">
        <v>2</v>
      </c>
    </row>
    <row r="121" spans="1:4" ht="15.75" thickBot="1" x14ac:dyDescent="0.3">
      <c r="A121" s="50">
        <v>49</v>
      </c>
      <c r="B121" s="29" t="s">
        <v>120</v>
      </c>
      <c r="C121" s="25" t="s">
        <v>114</v>
      </c>
      <c r="D121" s="29">
        <v>1</v>
      </c>
    </row>
    <row r="122" spans="1:4" ht="15.75" thickBot="1" x14ac:dyDescent="0.3">
      <c r="A122" s="51">
        <v>50</v>
      </c>
      <c r="B122" s="52" t="s">
        <v>121</v>
      </c>
      <c r="C122" s="53" t="s">
        <v>13</v>
      </c>
      <c r="D122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52" workbookViewId="0">
      <selection activeCell="A57" sqref="A57"/>
    </sheetView>
  </sheetViews>
  <sheetFormatPr defaultRowHeight="15" x14ac:dyDescent="0.25"/>
  <cols>
    <col min="2" max="2" width="67.7109375" customWidth="1"/>
    <col min="3" max="3" width="13.7109375" customWidth="1"/>
    <col min="4" max="4" width="55.42578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305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306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40450.620000000003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40450.620000000003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581583.46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381108+24391.96</f>
        <v>405499.96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145639.2+9084.3</f>
        <v>154723.5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562762.62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373715.41+143860.37</f>
        <v>517575.77999999997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32436.84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12750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D20+D14</f>
        <v>603213.24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230427.37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230427.37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132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3808170471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143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134</v>
      </c>
    </row>
    <row r="58" spans="1:4" ht="15.75" thickBot="1" x14ac:dyDescent="0.3">
      <c r="A58" s="24"/>
      <c r="B58" s="25" t="s">
        <v>51</v>
      </c>
      <c r="C58" s="25" t="s">
        <v>47</v>
      </c>
      <c r="D58" s="55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68</v>
      </c>
    </row>
    <row r="60" spans="1:4" x14ac:dyDescent="0.25">
      <c r="A60" s="2"/>
      <c r="B60" s="2"/>
      <c r="C60" s="2"/>
      <c r="D60" s="2"/>
    </row>
    <row r="61" spans="1:4" ht="15.75" thickBot="1" x14ac:dyDescent="0.3">
      <c r="A61" s="8" t="s">
        <v>71</v>
      </c>
      <c r="B61" s="2"/>
      <c r="C61" s="2"/>
      <c r="D61" s="2"/>
    </row>
    <row r="62" spans="1:4" ht="15.75" thickBot="1" x14ac:dyDescent="0.3">
      <c r="A62" s="22" t="s">
        <v>72</v>
      </c>
      <c r="B62" s="32" t="s">
        <v>73</v>
      </c>
      <c r="C62" s="32" t="s">
        <v>47</v>
      </c>
      <c r="D62" s="33">
        <v>0</v>
      </c>
    </row>
    <row r="63" spans="1:4" ht="15.75" thickBot="1" x14ac:dyDescent="0.3">
      <c r="A63" s="24" t="s">
        <v>74</v>
      </c>
      <c r="B63" s="25" t="s">
        <v>75</v>
      </c>
      <c r="C63" s="25" t="s">
        <v>47</v>
      </c>
      <c r="D63" s="29">
        <v>0</v>
      </c>
    </row>
    <row r="64" spans="1:4" ht="15.75" thickBot="1" x14ac:dyDescent="0.3">
      <c r="A64" s="24" t="s">
        <v>76</v>
      </c>
      <c r="B64" s="25" t="s">
        <v>77</v>
      </c>
      <c r="C64" s="25" t="s">
        <v>47</v>
      </c>
      <c r="D64" s="29">
        <v>0</v>
      </c>
    </row>
    <row r="65" spans="1:4" ht="15.75" thickBot="1" x14ac:dyDescent="0.3">
      <c r="A65" s="22" t="s">
        <v>78</v>
      </c>
      <c r="B65" s="34" t="s">
        <v>79</v>
      </c>
      <c r="C65" s="34" t="s">
        <v>13</v>
      </c>
      <c r="D65" s="35">
        <v>0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80</v>
      </c>
      <c r="B67" s="2"/>
      <c r="C67" s="2"/>
      <c r="D67" s="2"/>
    </row>
    <row r="68" spans="1:4" ht="15.75" thickBot="1" x14ac:dyDescent="0.3">
      <c r="A68" s="36" t="s">
        <v>81</v>
      </c>
      <c r="B68" s="33" t="s">
        <v>82</v>
      </c>
      <c r="C68" s="32" t="s">
        <v>13</v>
      </c>
      <c r="D68" s="37">
        <f>D70-D69</f>
        <v>130671.91</v>
      </c>
    </row>
    <row r="69" spans="1:4" ht="15.75" thickBot="1" x14ac:dyDescent="0.3">
      <c r="A69" s="38" t="s">
        <v>83</v>
      </c>
      <c r="B69" s="25" t="s">
        <v>84</v>
      </c>
      <c r="C69" s="25" t="s">
        <v>13</v>
      </c>
      <c r="D69" s="39">
        <f>38224.78+1805.78+6713.24+1776.66+17.33+2383.58</f>
        <v>50921.37</v>
      </c>
    </row>
    <row r="70" spans="1:4" ht="15.75" thickBot="1" x14ac:dyDescent="0.3">
      <c r="A70" s="38" t="s">
        <v>85</v>
      </c>
      <c r="B70" s="25" t="s">
        <v>86</v>
      </c>
      <c r="C70" s="25" t="s">
        <v>13</v>
      </c>
      <c r="D70" s="39">
        <f>87448.05+11697.79+59203.42+22394.5+77.4+772.12</f>
        <v>181593.28</v>
      </c>
    </row>
    <row r="71" spans="1:4" ht="15.75" thickBot="1" x14ac:dyDescent="0.3">
      <c r="A71" s="38" t="s">
        <v>87</v>
      </c>
      <c r="B71" s="29" t="s">
        <v>88</v>
      </c>
      <c r="C71" s="25" t="s">
        <v>13</v>
      </c>
      <c r="D71" s="39">
        <f>D73-D72</f>
        <v>246149.28000000003</v>
      </c>
    </row>
    <row r="72" spans="1:4" ht="15.75" thickBot="1" x14ac:dyDescent="0.3">
      <c r="A72" s="38" t="s">
        <v>89</v>
      </c>
      <c r="B72" s="25" t="s">
        <v>84</v>
      </c>
      <c r="C72" s="25" t="s">
        <v>13</v>
      </c>
      <c r="D72" s="39">
        <f>10415.67+2342.14+8490.12+3736.35+2782.32+5145.01</f>
        <v>32911.61</v>
      </c>
    </row>
    <row r="73" spans="1:4" ht="15.75" thickBot="1" x14ac:dyDescent="0.3">
      <c r="A73" s="38" t="s">
        <v>90</v>
      </c>
      <c r="B73" s="25" t="s">
        <v>86</v>
      </c>
      <c r="C73" s="25" t="s">
        <v>13</v>
      </c>
      <c r="D73" s="39">
        <f>147038.32+17888.07+81361.22+31398.66+116.31+1258.31</f>
        <v>279060.89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91</v>
      </c>
      <c r="B75" s="2"/>
      <c r="C75" s="2"/>
      <c r="D75" s="2"/>
    </row>
    <row r="76" spans="1:4" ht="15.75" thickBot="1" x14ac:dyDescent="0.3">
      <c r="A76" s="40" t="s">
        <v>92</v>
      </c>
      <c r="B76" s="41" t="s">
        <v>93</v>
      </c>
      <c r="C76" s="42" t="s">
        <v>47</v>
      </c>
      <c r="D76" s="41" t="s">
        <v>94</v>
      </c>
    </row>
    <row r="77" spans="1:4" ht="15.75" thickBot="1" x14ac:dyDescent="0.3">
      <c r="A77" s="24"/>
      <c r="B77" s="29" t="s">
        <v>95</v>
      </c>
      <c r="C77" s="25" t="s">
        <v>47</v>
      </c>
      <c r="D77" s="29" t="s">
        <v>96</v>
      </c>
    </row>
    <row r="78" spans="1:4" ht="15.75" thickBot="1" x14ac:dyDescent="0.3">
      <c r="A78" s="24"/>
      <c r="B78" s="29" t="s">
        <v>97</v>
      </c>
      <c r="C78" s="25" t="s">
        <v>96</v>
      </c>
      <c r="D78" s="39">
        <v>500.88240000000002</v>
      </c>
    </row>
    <row r="79" spans="1:4" ht="15.75" thickBot="1" x14ac:dyDescent="0.3">
      <c r="A79" s="24"/>
      <c r="B79" s="29" t="s">
        <v>98</v>
      </c>
      <c r="C79" s="25" t="s">
        <v>13</v>
      </c>
      <c r="D79" s="39">
        <f>500133.94-182.02</f>
        <v>499951.92</v>
      </c>
    </row>
    <row r="80" spans="1:4" ht="15.75" thickBot="1" x14ac:dyDescent="0.3">
      <c r="A80" s="24"/>
      <c r="B80" s="25" t="s">
        <v>99</v>
      </c>
      <c r="C80" s="25" t="s">
        <v>13</v>
      </c>
      <c r="D80" s="43">
        <v>412552.54</v>
      </c>
    </row>
    <row r="81" spans="1:4" ht="15.75" thickBot="1" x14ac:dyDescent="0.3">
      <c r="A81" s="24"/>
      <c r="B81" s="25" t="s">
        <v>100</v>
      </c>
      <c r="C81" s="25" t="s">
        <v>13</v>
      </c>
      <c r="D81" s="43">
        <f>D79-D80</f>
        <v>87399.38</v>
      </c>
    </row>
    <row r="82" spans="1:4" ht="15.75" thickBot="1" x14ac:dyDescent="0.3">
      <c r="A82" s="24"/>
      <c r="B82" s="25" t="s">
        <v>101</v>
      </c>
      <c r="C82" s="25" t="s">
        <v>13</v>
      </c>
      <c r="D82" s="43">
        <v>497238.8</v>
      </c>
    </row>
    <row r="83" spans="1:4" ht="15.75" thickBot="1" x14ac:dyDescent="0.3">
      <c r="A83" s="24"/>
      <c r="B83" s="25" t="s">
        <v>102</v>
      </c>
      <c r="C83" s="25" t="s">
        <v>13</v>
      </c>
      <c r="D83" s="43">
        <f>D80</f>
        <v>412552.54</v>
      </c>
    </row>
    <row r="84" spans="1:4" ht="15.75" thickBot="1" x14ac:dyDescent="0.3">
      <c r="A84" s="24"/>
      <c r="B84" s="25" t="s">
        <v>103</v>
      </c>
      <c r="C84" s="25" t="s">
        <v>13</v>
      </c>
      <c r="D84" s="43">
        <f>D81</f>
        <v>87399.38</v>
      </c>
    </row>
    <row r="85" spans="1:4" ht="15.75" thickBot="1" x14ac:dyDescent="0.3">
      <c r="A85" s="24"/>
      <c r="B85" s="29" t="s">
        <v>104</v>
      </c>
      <c r="C85" s="25" t="s">
        <v>13</v>
      </c>
      <c r="D85" s="39">
        <v>0</v>
      </c>
    </row>
    <row r="86" spans="1:4" ht="15.75" thickBot="1" x14ac:dyDescent="0.3">
      <c r="A86" s="40" t="s">
        <v>105</v>
      </c>
      <c r="B86" s="41" t="s">
        <v>93</v>
      </c>
      <c r="C86" s="42" t="s">
        <v>47</v>
      </c>
      <c r="D86" s="41" t="s">
        <v>106</v>
      </c>
    </row>
    <row r="87" spans="1:4" ht="15.75" thickBot="1" x14ac:dyDescent="0.3">
      <c r="A87" s="24"/>
      <c r="B87" s="29" t="s">
        <v>95</v>
      </c>
      <c r="C87" s="25" t="s">
        <v>47</v>
      </c>
      <c r="D87" s="29" t="s">
        <v>107</v>
      </c>
    </row>
    <row r="88" spans="1:4" ht="15.75" thickBot="1" x14ac:dyDescent="0.3">
      <c r="A88" s="24"/>
      <c r="B88" s="29" t="s">
        <v>97</v>
      </c>
      <c r="C88" s="25" t="s">
        <v>107</v>
      </c>
      <c r="D88" s="44">
        <v>5918.6544999999996</v>
      </c>
    </row>
    <row r="89" spans="1:4" ht="15.75" thickBot="1" x14ac:dyDescent="0.3">
      <c r="A89" s="24"/>
      <c r="B89" s="29" t="s">
        <v>98</v>
      </c>
      <c r="C89" s="25" t="s">
        <v>13</v>
      </c>
      <c r="D89" s="44">
        <f>60278.82-1229.59+565.02+329.89</f>
        <v>59944.14</v>
      </c>
    </row>
    <row r="90" spans="1:4" ht="15.75" thickBot="1" x14ac:dyDescent="0.3">
      <c r="A90" s="24"/>
      <c r="B90" s="25" t="s">
        <v>99</v>
      </c>
      <c r="C90" s="25" t="s">
        <v>13</v>
      </c>
      <c r="D90" s="45">
        <f>53395.31+3620.99</f>
        <v>57016.299999999996</v>
      </c>
    </row>
    <row r="91" spans="1:4" ht="15.75" thickBot="1" x14ac:dyDescent="0.3">
      <c r="A91" s="24"/>
      <c r="B91" s="25" t="s">
        <v>100</v>
      </c>
      <c r="C91" s="25" t="s">
        <v>13</v>
      </c>
      <c r="D91" s="45">
        <f>D89-D90</f>
        <v>2927.8400000000038</v>
      </c>
    </row>
    <row r="92" spans="1:4" ht="15.75" thickBot="1" x14ac:dyDescent="0.3">
      <c r="A92" s="24"/>
      <c r="B92" s="25" t="s">
        <v>101</v>
      </c>
      <c r="C92" s="25" t="s">
        <v>13</v>
      </c>
      <c r="D92" s="45">
        <v>86647.58</v>
      </c>
    </row>
    <row r="93" spans="1:4" ht="15.75" thickBot="1" x14ac:dyDescent="0.3">
      <c r="A93" s="24"/>
      <c r="B93" s="25" t="s">
        <v>102</v>
      </c>
      <c r="C93" s="25" t="s">
        <v>13</v>
      </c>
      <c r="D93" s="45">
        <f>D90</f>
        <v>57016.299999999996</v>
      </c>
    </row>
    <row r="94" spans="1:4" ht="15.75" thickBot="1" x14ac:dyDescent="0.3">
      <c r="A94" s="24"/>
      <c r="B94" s="25" t="s">
        <v>103</v>
      </c>
      <c r="C94" s="25" t="s">
        <v>13</v>
      </c>
      <c r="D94" s="45">
        <f>D91</f>
        <v>2927.8400000000038</v>
      </c>
    </row>
    <row r="95" spans="1:4" ht="15.75" thickBot="1" x14ac:dyDescent="0.3">
      <c r="A95" s="24"/>
      <c r="B95" s="29" t="s">
        <v>104</v>
      </c>
      <c r="C95" s="25" t="s">
        <v>13</v>
      </c>
      <c r="D95" s="44">
        <v>0</v>
      </c>
    </row>
    <row r="96" spans="1:4" ht="15.75" thickBot="1" x14ac:dyDescent="0.3">
      <c r="A96" s="40" t="s">
        <v>108</v>
      </c>
      <c r="B96" s="41" t="s">
        <v>93</v>
      </c>
      <c r="C96" s="42" t="s">
        <v>47</v>
      </c>
      <c r="D96" s="41" t="s">
        <v>109</v>
      </c>
    </row>
    <row r="97" spans="1:4" ht="15.75" thickBot="1" x14ac:dyDescent="0.3">
      <c r="A97" s="24"/>
      <c r="B97" s="29" t="s">
        <v>95</v>
      </c>
      <c r="C97" s="25" t="s">
        <v>47</v>
      </c>
      <c r="D97" s="29" t="s">
        <v>107</v>
      </c>
    </row>
    <row r="98" spans="1:4" ht="15.75" thickBot="1" x14ac:dyDescent="0.3">
      <c r="A98" s="24"/>
      <c r="B98" s="29" t="s">
        <v>97</v>
      </c>
      <c r="C98" s="25" t="s">
        <v>107</v>
      </c>
      <c r="D98" s="44">
        <v>3939.8166999999999</v>
      </c>
    </row>
    <row r="99" spans="1:4" ht="15.75" thickBot="1" x14ac:dyDescent="0.3">
      <c r="A99" s="24"/>
      <c r="B99" s="29" t="s">
        <v>98</v>
      </c>
      <c r="C99" s="25" t="s">
        <v>13</v>
      </c>
      <c r="D99" s="44">
        <f>276311.82-3302.62+6208.55+3596.36</f>
        <v>282814.11</v>
      </c>
    </row>
    <row r="100" spans="1:4" ht="15.75" thickBot="1" x14ac:dyDescent="0.3">
      <c r="A100" s="24"/>
      <c r="B100" s="25" t="s">
        <v>99</v>
      </c>
      <c r="C100" s="25" t="s">
        <v>13</v>
      </c>
      <c r="D100" s="45">
        <f>252628.28+12080.15</f>
        <v>264708.43</v>
      </c>
    </row>
    <row r="101" spans="1:4" ht="15.75" thickBot="1" x14ac:dyDescent="0.3">
      <c r="A101" s="24"/>
      <c r="B101" s="25" t="s">
        <v>100</v>
      </c>
      <c r="C101" s="25" t="s">
        <v>13</v>
      </c>
      <c r="D101" s="45">
        <f>D99-D100</f>
        <v>18105.679999999993</v>
      </c>
    </row>
    <row r="102" spans="1:4" ht="15.75" thickBot="1" x14ac:dyDescent="0.3">
      <c r="A102" s="24"/>
      <c r="B102" s="25" t="s">
        <v>101</v>
      </c>
      <c r="C102" s="25" t="s">
        <v>13</v>
      </c>
      <c r="D102" s="45">
        <v>291850.40999999997</v>
      </c>
    </row>
    <row r="103" spans="1:4" ht="15.75" thickBot="1" x14ac:dyDescent="0.3">
      <c r="A103" s="24"/>
      <c r="B103" s="25" t="s">
        <v>102</v>
      </c>
      <c r="C103" s="25" t="s">
        <v>13</v>
      </c>
      <c r="D103" s="45">
        <f>D100</f>
        <v>264708.43</v>
      </c>
    </row>
    <row r="104" spans="1:4" ht="15.75" thickBot="1" x14ac:dyDescent="0.3">
      <c r="A104" s="24"/>
      <c r="B104" s="25" t="s">
        <v>103</v>
      </c>
      <c r="C104" s="25" t="s">
        <v>13</v>
      </c>
      <c r="D104" s="45">
        <f>D101</f>
        <v>18105.679999999993</v>
      </c>
    </row>
    <row r="105" spans="1:4" ht="15.75" thickBot="1" x14ac:dyDescent="0.3">
      <c r="A105" s="24"/>
      <c r="B105" s="29" t="s">
        <v>104</v>
      </c>
      <c r="C105" s="25" t="s">
        <v>13</v>
      </c>
      <c r="D105" s="44">
        <v>0</v>
      </c>
    </row>
    <row r="106" spans="1:4" ht="15.75" thickBot="1" x14ac:dyDescent="0.3">
      <c r="A106" s="40" t="s">
        <v>110</v>
      </c>
      <c r="B106" s="41" t="s">
        <v>93</v>
      </c>
      <c r="C106" s="42" t="s">
        <v>47</v>
      </c>
      <c r="D106" s="41" t="s">
        <v>111</v>
      </c>
    </row>
    <row r="107" spans="1:4" ht="15.75" thickBot="1" x14ac:dyDescent="0.3">
      <c r="A107" s="24"/>
      <c r="B107" s="29" t="s">
        <v>95</v>
      </c>
      <c r="C107" s="25" t="s">
        <v>47</v>
      </c>
      <c r="D107" s="29" t="s">
        <v>107</v>
      </c>
    </row>
    <row r="108" spans="1:4" ht="15.75" thickBot="1" x14ac:dyDescent="0.3">
      <c r="A108" s="24"/>
      <c r="B108" s="29" t="s">
        <v>97</v>
      </c>
      <c r="C108" s="25" t="s">
        <v>107</v>
      </c>
      <c r="D108" s="39">
        <v>9858.4647999999997</v>
      </c>
    </row>
    <row r="109" spans="1:4" ht="15.75" thickBot="1" x14ac:dyDescent="0.3">
      <c r="A109" s="24"/>
      <c r="B109" s="29" t="s">
        <v>98</v>
      </c>
      <c r="C109" s="25" t="s">
        <v>13</v>
      </c>
      <c r="D109" s="39">
        <f>104126.65-557.93</f>
        <v>103568.72</v>
      </c>
    </row>
    <row r="110" spans="1:4" ht="15.75" thickBot="1" x14ac:dyDescent="0.3">
      <c r="A110" s="24"/>
      <c r="B110" s="25" t="s">
        <v>99</v>
      </c>
      <c r="C110" s="25" t="s">
        <v>13</v>
      </c>
      <c r="D110" s="43">
        <v>96524.25</v>
      </c>
    </row>
    <row r="111" spans="1:4" ht="15.75" thickBot="1" x14ac:dyDescent="0.3">
      <c r="A111" s="24"/>
      <c r="B111" s="25" t="s">
        <v>100</v>
      </c>
      <c r="C111" s="25" t="s">
        <v>13</v>
      </c>
      <c r="D111" s="43">
        <f>D109-D110</f>
        <v>7044.4700000000012</v>
      </c>
    </row>
    <row r="112" spans="1:4" ht="15.75" thickBot="1" x14ac:dyDescent="0.3">
      <c r="A112" s="24"/>
      <c r="B112" s="25" t="s">
        <v>101</v>
      </c>
      <c r="C112" s="25" t="s">
        <v>13</v>
      </c>
      <c r="D112" s="43">
        <v>132619.54999999999</v>
      </c>
    </row>
    <row r="113" spans="1:4" ht="15.75" thickBot="1" x14ac:dyDescent="0.3">
      <c r="A113" s="24"/>
      <c r="B113" s="25" t="s">
        <v>102</v>
      </c>
      <c r="C113" s="25" t="s">
        <v>13</v>
      </c>
      <c r="D113" s="43">
        <f>D110</f>
        <v>96524.25</v>
      </c>
    </row>
    <row r="114" spans="1:4" ht="15.75" thickBot="1" x14ac:dyDescent="0.3">
      <c r="A114" s="24"/>
      <c r="B114" s="25" t="s">
        <v>103</v>
      </c>
      <c r="C114" s="25" t="s">
        <v>13</v>
      </c>
      <c r="D114" s="43">
        <f>D111</f>
        <v>7044.4700000000012</v>
      </c>
    </row>
    <row r="115" spans="1:4" ht="15.75" thickBot="1" x14ac:dyDescent="0.3">
      <c r="A115" s="24"/>
      <c r="B115" s="29" t="s">
        <v>104</v>
      </c>
      <c r="C115" s="25" t="s">
        <v>13</v>
      </c>
      <c r="D115" s="39">
        <v>0</v>
      </c>
    </row>
    <row r="116" spans="1:4" x14ac:dyDescent="0.25">
      <c r="A116" s="46"/>
      <c r="B116" s="47"/>
      <c r="C116" s="48"/>
      <c r="D116" s="49"/>
    </row>
    <row r="117" spans="1:4" ht="15.75" thickBot="1" x14ac:dyDescent="0.3">
      <c r="A117" s="8" t="s">
        <v>112</v>
      </c>
      <c r="B117" s="2"/>
      <c r="C117" s="2"/>
      <c r="D117" s="2"/>
    </row>
    <row r="118" spans="1:4" ht="15.75" thickBot="1" x14ac:dyDescent="0.3">
      <c r="A118" s="22" t="s">
        <v>113</v>
      </c>
      <c r="B118" s="33" t="s">
        <v>73</v>
      </c>
      <c r="C118" s="32" t="s">
        <v>114</v>
      </c>
      <c r="D118" s="33">
        <v>0</v>
      </c>
    </row>
    <row r="119" spans="1:4" ht="15.75" thickBot="1" x14ac:dyDescent="0.3">
      <c r="A119" s="24" t="s">
        <v>115</v>
      </c>
      <c r="B119" s="29" t="s">
        <v>75</v>
      </c>
      <c r="C119" s="25" t="s">
        <v>114</v>
      </c>
      <c r="D119" s="29">
        <v>0</v>
      </c>
    </row>
    <row r="120" spans="1:4" ht="15.75" thickBot="1" x14ac:dyDescent="0.3">
      <c r="A120" s="24" t="s">
        <v>116</v>
      </c>
      <c r="B120" s="29" t="s">
        <v>77</v>
      </c>
      <c r="C120" s="25" t="s">
        <v>114</v>
      </c>
      <c r="D120" s="29">
        <v>0</v>
      </c>
    </row>
    <row r="121" spans="1:4" ht="15.75" thickBot="1" x14ac:dyDescent="0.3">
      <c r="A121" s="24" t="s">
        <v>117</v>
      </c>
      <c r="B121" s="29" t="s">
        <v>79</v>
      </c>
      <c r="C121" s="25" t="s">
        <v>13</v>
      </c>
      <c r="D121" s="39">
        <v>0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118</v>
      </c>
      <c r="B123" s="2"/>
      <c r="C123" s="2"/>
      <c r="D123" s="2"/>
    </row>
    <row r="124" spans="1:4" ht="15.75" thickBot="1" x14ac:dyDescent="0.3">
      <c r="A124" s="34">
        <v>48</v>
      </c>
      <c r="B124" s="33" t="s">
        <v>119</v>
      </c>
      <c r="C124" s="32" t="s">
        <v>114</v>
      </c>
      <c r="D124" s="33">
        <v>0</v>
      </c>
    </row>
    <row r="125" spans="1:4" ht="15.75" thickBot="1" x14ac:dyDescent="0.3">
      <c r="A125" s="50">
        <v>49</v>
      </c>
      <c r="B125" s="29" t="s">
        <v>120</v>
      </c>
      <c r="C125" s="25" t="s">
        <v>114</v>
      </c>
      <c r="D125" s="29">
        <v>1</v>
      </c>
    </row>
    <row r="126" spans="1:4" ht="15.75" thickBot="1" x14ac:dyDescent="0.3">
      <c r="A126" s="51">
        <v>50</v>
      </c>
      <c r="B126" s="52" t="s">
        <v>121</v>
      </c>
      <c r="C126" s="53" t="s">
        <v>13</v>
      </c>
      <c r="D126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workbookViewId="0">
      <selection sqref="A1:D135"/>
    </sheetView>
  </sheetViews>
  <sheetFormatPr defaultRowHeight="15" x14ac:dyDescent="0.25"/>
  <cols>
    <col min="2" max="2" width="66.5703125" customWidth="1"/>
    <col min="3" max="3" width="14" customWidth="1"/>
    <col min="4" max="4" width="59.71093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307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308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2690.25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2690.25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584491.96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396883.2+20912.08</f>
        <v>417795.28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151667.76+7228.92</f>
        <v>158896.68000000002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560789.56999999995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376995.16+144019.97+33024.44</f>
        <v>554039.57000000007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6750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D20+D14</f>
        <v>563479.81999999995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123640.05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123640.05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132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3808170471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143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134</v>
      </c>
    </row>
    <row r="58" spans="1:4" ht="15.75" thickBot="1" x14ac:dyDescent="0.3">
      <c r="A58" s="24"/>
      <c r="B58" s="25" t="s">
        <v>51</v>
      </c>
      <c r="C58" s="25" t="s">
        <v>47</v>
      </c>
      <c r="D58" s="55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68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146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70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3811171757</v>
      </c>
    </row>
    <row r="64" spans="1:4" ht="15.75" thickBot="1" x14ac:dyDescent="0.3">
      <c r="A64" s="24" t="s">
        <v>66</v>
      </c>
      <c r="B64" s="27" t="s">
        <v>46</v>
      </c>
      <c r="C64" s="27" t="s">
        <v>47</v>
      </c>
      <c r="D64" s="28" t="s">
        <v>309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310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65</v>
      </c>
    </row>
    <row r="67" spans="1:4" ht="15.75" thickBot="1" x14ac:dyDescent="0.3">
      <c r="A67" s="24"/>
      <c r="B67" s="25" t="s">
        <v>53</v>
      </c>
      <c r="C67" s="25" t="s">
        <v>47</v>
      </c>
      <c r="D67" s="30">
        <v>3812140511</v>
      </c>
    </row>
    <row r="68" spans="1:4" x14ac:dyDescent="0.25">
      <c r="A68" s="2"/>
      <c r="B68" s="2"/>
      <c r="C68" s="2"/>
      <c r="D68" s="2"/>
    </row>
    <row r="69" spans="1:4" ht="15.75" thickBot="1" x14ac:dyDescent="0.3">
      <c r="A69" s="8" t="s">
        <v>71</v>
      </c>
      <c r="B69" s="2"/>
      <c r="C69" s="2"/>
      <c r="D69" s="2"/>
    </row>
    <row r="70" spans="1:4" ht="15.75" thickBot="1" x14ac:dyDescent="0.3">
      <c r="A70" s="22" t="s">
        <v>72</v>
      </c>
      <c r="B70" s="32" t="s">
        <v>73</v>
      </c>
      <c r="C70" s="32" t="s">
        <v>47</v>
      </c>
      <c r="D70" s="33">
        <v>0</v>
      </c>
    </row>
    <row r="71" spans="1:4" ht="15.75" thickBot="1" x14ac:dyDescent="0.3">
      <c r="A71" s="24" t="s">
        <v>74</v>
      </c>
      <c r="B71" s="25" t="s">
        <v>75</v>
      </c>
      <c r="C71" s="25" t="s">
        <v>47</v>
      </c>
      <c r="D71" s="29">
        <v>0</v>
      </c>
    </row>
    <row r="72" spans="1:4" ht="15.75" thickBot="1" x14ac:dyDescent="0.3">
      <c r="A72" s="24" t="s">
        <v>76</v>
      </c>
      <c r="B72" s="25" t="s">
        <v>77</v>
      </c>
      <c r="C72" s="25" t="s">
        <v>47</v>
      </c>
      <c r="D72" s="29">
        <v>0</v>
      </c>
    </row>
    <row r="73" spans="1:4" ht="15.75" thickBot="1" x14ac:dyDescent="0.3">
      <c r="A73" s="22" t="s">
        <v>78</v>
      </c>
      <c r="B73" s="34" t="s">
        <v>79</v>
      </c>
      <c r="C73" s="34" t="s">
        <v>13</v>
      </c>
      <c r="D73" s="35">
        <v>0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80</v>
      </c>
      <c r="B75" s="2"/>
      <c r="C75" s="2"/>
      <c r="D75" s="2"/>
    </row>
    <row r="76" spans="1:4" ht="15.75" thickBot="1" x14ac:dyDescent="0.3">
      <c r="A76" s="36" t="s">
        <v>81</v>
      </c>
      <c r="B76" s="33" t="s">
        <v>82</v>
      </c>
      <c r="C76" s="32" t="s">
        <v>13</v>
      </c>
      <c r="D76" s="37">
        <f>D78-D77</f>
        <v>166293.49000000002</v>
      </c>
    </row>
    <row r="77" spans="1:4" ht="15.75" thickBot="1" x14ac:dyDescent="0.3">
      <c r="A77" s="38" t="s">
        <v>83</v>
      </c>
      <c r="B77" s="25" t="s">
        <v>84</v>
      </c>
      <c r="C77" s="25" t="s">
        <v>13</v>
      </c>
      <c r="D77" s="39">
        <f>47332.3+515.12+2590.17+556.45+230.13+4471.83</f>
        <v>55696</v>
      </c>
    </row>
    <row r="78" spans="1:4" ht="15.75" thickBot="1" x14ac:dyDescent="0.3">
      <c r="A78" s="38" t="s">
        <v>85</v>
      </c>
      <c r="B78" s="25" t="s">
        <v>86</v>
      </c>
      <c r="C78" s="25" t="s">
        <v>13</v>
      </c>
      <c r="D78" s="39">
        <f>51007.05+23814.08+102028.51+44381.85+85.72+672.28</f>
        <v>221989.49000000002</v>
      </c>
    </row>
    <row r="79" spans="1:4" ht="15.75" thickBot="1" x14ac:dyDescent="0.3">
      <c r="A79" s="38" t="s">
        <v>87</v>
      </c>
      <c r="B79" s="29" t="s">
        <v>88</v>
      </c>
      <c r="C79" s="25" t="s">
        <v>13</v>
      </c>
      <c r="D79" s="39">
        <f>D81-D80</f>
        <v>146396.52999999997</v>
      </c>
    </row>
    <row r="80" spans="1:4" ht="15.75" thickBot="1" x14ac:dyDescent="0.3">
      <c r="A80" s="38" t="s">
        <v>89</v>
      </c>
      <c r="B80" s="25" t="s">
        <v>84</v>
      </c>
      <c r="C80" s="25" t="s">
        <v>13</v>
      </c>
      <c r="D80" s="39">
        <f>27014.21+1878.59+5373.9+3183.77+1983.92+3466.68</f>
        <v>42901.069999999992</v>
      </c>
    </row>
    <row r="81" spans="1:4" ht="15.75" thickBot="1" x14ac:dyDescent="0.3">
      <c r="A81" s="38" t="s">
        <v>90</v>
      </c>
      <c r="B81" s="25" t="s">
        <v>86</v>
      </c>
      <c r="C81" s="25" t="s">
        <v>13</v>
      </c>
      <c r="D81" s="39">
        <f>66835.89+14830.24+77031.79+29722.71+96.19+780.78</f>
        <v>189297.59999999998</v>
      </c>
    </row>
    <row r="82" spans="1:4" x14ac:dyDescent="0.25">
      <c r="A82" s="2"/>
      <c r="B82" s="2"/>
      <c r="C82" s="2"/>
      <c r="D82" s="2"/>
    </row>
    <row r="83" spans="1:4" ht="15.75" thickBot="1" x14ac:dyDescent="0.3">
      <c r="A83" s="8" t="s">
        <v>91</v>
      </c>
      <c r="B83" s="2"/>
      <c r="C83" s="2"/>
      <c r="D83" s="2"/>
    </row>
    <row r="84" spans="1:4" ht="15.75" thickBot="1" x14ac:dyDescent="0.3">
      <c r="A84" s="40" t="s">
        <v>92</v>
      </c>
      <c r="B84" s="41" t="s">
        <v>93</v>
      </c>
      <c r="C84" s="42" t="s">
        <v>47</v>
      </c>
      <c r="D84" s="41" t="s">
        <v>94</v>
      </c>
    </row>
    <row r="85" spans="1:4" ht="15.75" thickBot="1" x14ac:dyDescent="0.3">
      <c r="A85" s="24"/>
      <c r="B85" s="29" t="s">
        <v>95</v>
      </c>
      <c r="C85" s="25" t="s">
        <v>47</v>
      </c>
      <c r="D85" s="29" t="s">
        <v>96</v>
      </c>
    </row>
    <row r="86" spans="1:4" ht="15.75" thickBot="1" x14ac:dyDescent="0.3">
      <c r="A86" s="24"/>
      <c r="B86" s="29" t="s">
        <v>97</v>
      </c>
      <c r="C86" s="25" t="s">
        <v>96</v>
      </c>
      <c r="D86" s="39">
        <v>479.09710000000001</v>
      </c>
    </row>
    <row r="87" spans="1:4" ht="15.75" thickBot="1" x14ac:dyDescent="0.3">
      <c r="A87" s="24"/>
      <c r="B87" s="29" t="s">
        <v>98</v>
      </c>
      <c r="C87" s="25" t="s">
        <v>13</v>
      </c>
      <c r="D87" s="39">
        <f>478377.51-53199.67</f>
        <v>425177.84</v>
      </c>
    </row>
    <row r="88" spans="1:4" ht="15.75" thickBot="1" x14ac:dyDescent="0.3">
      <c r="A88" s="24"/>
      <c r="B88" s="25" t="s">
        <v>99</v>
      </c>
      <c r="C88" s="25" t="s">
        <v>13</v>
      </c>
      <c r="D88" s="43">
        <v>389030.91</v>
      </c>
    </row>
    <row r="89" spans="1:4" ht="15.75" thickBot="1" x14ac:dyDescent="0.3">
      <c r="A89" s="24"/>
      <c r="B89" s="25" t="s">
        <v>100</v>
      </c>
      <c r="C89" s="25" t="s">
        <v>13</v>
      </c>
      <c r="D89" s="43">
        <f>D87-D88</f>
        <v>36146.930000000051</v>
      </c>
    </row>
    <row r="90" spans="1:4" ht="15.75" thickBot="1" x14ac:dyDescent="0.3">
      <c r="A90" s="24"/>
      <c r="B90" s="25" t="s">
        <v>101</v>
      </c>
      <c r="C90" s="25" t="s">
        <v>13</v>
      </c>
      <c r="D90" s="43">
        <v>361513.54</v>
      </c>
    </row>
    <row r="91" spans="1:4" ht="15.75" thickBot="1" x14ac:dyDescent="0.3">
      <c r="A91" s="24"/>
      <c r="B91" s="25" t="s">
        <v>102</v>
      </c>
      <c r="C91" s="25" t="s">
        <v>13</v>
      </c>
      <c r="D91" s="43">
        <f>D88</f>
        <v>389030.91</v>
      </c>
    </row>
    <row r="92" spans="1:4" ht="15.75" thickBot="1" x14ac:dyDescent="0.3">
      <c r="A92" s="24"/>
      <c r="B92" s="25" t="s">
        <v>103</v>
      </c>
      <c r="C92" s="25" t="s">
        <v>13</v>
      </c>
      <c r="D92" s="43">
        <f>D89</f>
        <v>36146.930000000051</v>
      </c>
    </row>
    <row r="93" spans="1:4" ht="15.75" thickBot="1" x14ac:dyDescent="0.3">
      <c r="A93" s="24"/>
      <c r="B93" s="29" t="s">
        <v>104</v>
      </c>
      <c r="C93" s="25" t="s">
        <v>13</v>
      </c>
      <c r="D93" s="39">
        <v>0</v>
      </c>
    </row>
    <row r="94" spans="1:4" ht="15.75" thickBot="1" x14ac:dyDescent="0.3">
      <c r="A94" s="40" t="s">
        <v>105</v>
      </c>
      <c r="B94" s="41" t="s">
        <v>93</v>
      </c>
      <c r="C94" s="42" t="s">
        <v>47</v>
      </c>
      <c r="D94" s="41" t="s">
        <v>106</v>
      </c>
    </row>
    <row r="95" spans="1:4" ht="15.75" thickBot="1" x14ac:dyDescent="0.3">
      <c r="A95" s="24"/>
      <c r="B95" s="29" t="s">
        <v>95</v>
      </c>
      <c r="C95" s="25" t="s">
        <v>47</v>
      </c>
      <c r="D95" s="29" t="s">
        <v>107</v>
      </c>
    </row>
    <row r="96" spans="1:4" ht="15.75" thickBot="1" x14ac:dyDescent="0.3">
      <c r="A96" s="24"/>
      <c r="B96" s="29" t="s">
        <v>97</v>
      </c>
      <c r="C96" s="25" t="s">
        <v>107</v>
      </c>
      <c r="D96" s="44">
        <v>5125.6769999999997</v>
      </c>
    </row>
    <row r="97" spans="1:4" ht="15.75" thickBot="1" x14ac:dyDescent="0.3">
      <c r="A97" s="24"/>
      <c r="B97" s="29" t="s">
        <v>98</v>
      </c>
      <c r="C97" s="25" t="s">
        <v>13</v>
      </c>
      <c r="D97" s="44">
        <f>52186.44-9150.37+588.18+554.04</f>
        <v>44178.29</v>
      </c>
    </row>
    <row r="98" spans="1:4" ht="15.75" thickBot="1" x14ac:dyDescent="0.3">
      <c r="A98" s="24"/>
      <c r="B98" s="25" t="s">
        <v>99</v>
      </c>
      <c r="C98" s="25" t="s">
        <v>13</v>
      </c>
      <c r="D98" s="45">
        <f>2885.54+53383.38</f>
        <v>56268.92</v>
      </c>
    </row>
    <row r="99" spans="1:4" ht="15.75" thickBot="1" x14ac:dyDescent="0.3">
      <c r="A99" s="24"/>
      <c r="B99" s="25" t="s">
        <v>100</v>
      </c>
      <c r="C99" s="25" t="s">
        <v>13</v>
      </c>
      <c r="D99" s="45">
        <v>0</v>
      </c>
    </row>
    <row r="100" spans="1:4" ht="15.75" thickBot="1" x14ac:dyDescent="0.3">
      <c r="A100" s="24"/>
      <c r="B100" s="25" t="s">
        <v>101</v>
      </c>
      <c r="C100" s="25" t="s">
        <v>13</v>
      </c>
      <c r="D100" s="45">
        <v>67294.509999999995</v>
      </c>
    </row>
    <row r="101" spans="1:4" ht="15.75" thickBot="1" x14ac:dyDescent="0.3">
      <c r="A101" s="24"/>
      <c r="B101" s="25" t="s">
        <v>102</v>
      </c>
      <c r="C101" s="25" t="s">
        <v>13</v>
      </c>
      <c r="D101" s="45">
        <f>D98</f>
        <v>56268.92</v>
      </c>
    </row>
    <row r="102" spans="1:4" ht="15.75" thickBot="1" x14ac:dyDescent="0.3">
      <c r="A102" s="24"/>
      <c r="B102" s="25" t="s">
        <v>103</v>
      </c>
      <c r="C102" s="25" t="s">
        <v>13</v>
      </c>
      <c r="D102" s="45">
        <v>0</v>
      </c>
    </row>
    <row r="103" spans="1:4" ht="15.75" thickBot="1" x14ac:dyDescent="0.3">
      <c r="A103" s="24"/>
      <c r="B103" s="29" t="s">
        <v>104</v>
      </c>
      <c r="C103" s="25" t="s">
        <v>13</v>
      </c>
      <c r="D103" s="44">
        <v>0</v>
      </c>
    </row>
    <row r="104" spans="1:4" ht="15.75" thickBot="1" x14ac:dyDescent="0.3">
      <c r="A104" s="40" t="s">
        <v>108</v>
      </c>
      <c r="B104" s="41" t="s">
        <v>93</v>
      </c>
      <c r="C104" s="42" t="s">
        <v>47</v>
      </c>
      <c r="D104" s="41" t="s">
        <v>109</v>
      </c>
    </row>
    <row r="105" spans="1:4" ht="15.75" thickBot="1" x14ac:dyDescent="0.3">
      <c r="A105" s="24"/>
      <c r="B105" s="29" t="s">
        <v>95</v>
      </c>
      <c r="C105" s="25" t="s">
        <v>47</v>
      </c>
      <c r="D105" s="29" t="s">
        <v>107</v>
      </c>
    </row>
    <row r="106" spans="1:4" ht="15.75" thickBot="1" x14ac:dyDescent="0.3">
      <c r="A106" s="24"/>
      <c r="B106" s="29" t="s">
        <v>97</v>
      </c>
      <c r="C106" s="25" t="s">
        <v>107</v>
      </c>
      <c r="D106" s="44">
        <v>3440.6471000000001</v>
      </c>
    </row>
    <row r="107" spans="1:4" ht="15.75" thickBot="1" x14ac:dyDescent="0.3">
      <c r="A107" s="24"/>
      <c r="B107" s="29" t="s">
        <v>98</v>
      </c>
      <c r="C107" s="25" t="s">
        <v>13</v>
      </c>
      <c r="D107" s="44">
        <f>241173.89-34804.69+4497.82+4735.16</f>
        <v>215602.18000000002</v>
      </c>
    </row>
    <row r="108" spans="1:4" ht="15.75" thickBot="1" x14ac:dyDescent="0.3">
      <c r="A108" s="24"/>
      <c r="B108" s="25" t="s">
        <v>99</v>
      </c>
      <c r="C108" s="25" t="s">
        <v>13</v>
      </c>
      <c r="D108" s="45">
        <f>8119.33+234149.65</f>
        <v>242268.97999999998</v>
      </c>
    </row>
    <row r="109" spans="1:4" ht="15.75" thickBot="1" x14ac:dyDescent="0.3">
      <c r="A109" s="24"/>
      <c r="B109" s="25" t="s">
        <v>100</v>
      </c>
      <c r="C109" s="25" t="s">
        <v>13</v>
      </c>
      <c r="D109" s="45">
        <v>0</v>
      </c>
    </row>
    <row r="110" spans="1:4" ht="15.75" thickBot="1" x14ac:dyDescent="0.3">
      <c r="A110" s="24"/>
      <c r="B110" s="25" t="s">
        <v>101</v>
      </c>
      <c r="C110" s="25" t="s">
        <v>13</v>
      </c>
      <c r="D110" s="45">
        <v>307969.77</v>
      </c>
    </row>
    <row r="111" spans="1:4" ht="15.75" thickBot="1" x14ac:dyDescent="0.3">
      <c r="A111" s="24"/>
      <c r="B111" s="25" t="s">
        <v>102</v>
      </c>
      <c r="C111" s="25" t="s">
        <v>13</v>
      </c>
      <c r="D111" s="45">
        <f>D108</f>
        <v>242268.97999999998</v>
      </c>
    </row>
    <row r="112" spans="1:4" ht="15.75" thickBot="1" x14ac:dyDescent="0.3">
      <c r="A112" s="24"/>
      <c r="B112" s="25" t="s">
        <v>103</v>
      </c>
      <c r="C112" s="25" t="s">
        <v>13</v>
      </c>
      <c r="D112" s="45">
        <v>0</v>
      </c>
    </row>
    <row r="113" spans="1:4" ht="15.75" thickBot="1" x14ac:dyDescent="0.3">
      <c r="A113" s="24"/>
      <c r="B113" s="29" t="s">
        <v>104</v>
      </c>
      <c r="C113" s="25" t="s">
        <v>13</v>
      </c>
      <c r="D113" s="44">
        <v>0</v>
      </c>
    </row>
    <row r="114" spans="1:4" ht="15.75" thickBot="1" x14ac:dyDescent="0.3">
      <c r="A114" s="40" t="s">
        <v>110</v>
      </c>
      <c r="B114" s="41" t="s">
        <v>93</v>
      </c>
      <c r="C114" s="42" t="s">
        <v>47</v>
      </c>
      <c r="D114" s="41" t="s">
        <v>111</v>
      </c>
    </row>
    <row r="115" spans="1:4" ht="15.75" thickBot="1" x14ac:dyDescent="0.3">
      <c r="A115" s="24"/>
      <c r="B115" s="29" t="s">
        <v>95</v>
      </c>
      <c r="C115" s="25" t="s">
        <v>47</v>
      </c>
      <c r="D115" s="29" t="s">
        <v>107</v>
      </c>
    </row>
    <row r="116" spans="1:4" ht="15.75" thickBot="1" x14ac:dyDescent="0.3">
      <c r="A116" s="24"/>
      <c r="B116" s="29" t="s">
        <v>97</v>
      </c>
      <c r="C116" s="25" t="s">
        <v>107</v>
      </c>
      <c r="D116" s="39">
        <v>8566.3186999999998</v>
      </c>
    </row>
    <row r="117" spans="1:4" ht="15.75" thickBot="1" x14ac:dyDescent="0.3">
      <c r="A117" s="24"/>
      <c r="B117" s="29" t="s">
        <v>98</v>
      </c>
      <c r="C117" s="25" t="s">
        <v>13</v>
      </c>
      <c r="D117" s="39">
        <f>90415.16-11366.15</f>
        <v>79049.010000000009</v>
      </c>
    </row>
    <row r="118" spans="1:4" ht="15.75" thickBot="1" x14ac:dyDescent="0.3">
      <c r="A118" s="24"/>
      <c r="B118" s="25" t="s">
        <v>99</v>
      </c>
      <c r="C118" s="25" t="s">
        <v>13</v>
      </c>
      <c r="D118" s="43">
        <v>96335.47</v>
      </c>
    </row>
    <row r="119" spans="1:4" ht="15.75" thickBot="1" x14ac:dyDescent="0.3">
      <c r="A119" s="24"/>
      <c r="B119" s="25" t="s">
        <v>100</v>
      </c>
      <c r="C119" s="25" t="s">
        <v>13</v>
      </c>
      <c r="D119" s="43">
        <v>0</v>
      </c>
    </row>
    <row r="120" spans="1:4" ht="15.75" thickBot="1" x14ac:dyDescent="0.3">
      <c r="A120" s="24"/>
      <c r="B120" s="25" t="s">
        <v>101</v>
      </c>
      <c r="C120" s="25" t="s">
        <v>13</v>
      </c>
      <c r="D120" s="43">
        <v>117199.03</v>
      </c>
    </row>
    <row r="121" spans="1:4" ht="15.75" thickBot="1" x14ac:dyDescent="0.3">
      <c r="A121" s="24"/>
      <c r="B121" s="25" t="s">
        <v>102</v>
      </c>
      <c r="C121" s="25" t="s">
        <v>13</v>
      </c>
      <c r="D121" s="43">
        <f>D118</f>
        <v>96335.47</v>
      </c>
    </row>
    <row r="122" spans="1:4" ht="15.75" thickBot="1" x14ac:dyDescent="0.3">
      <c r="A122" s="24"/>
      <c r="B122" s="25" t="s">
        <v>103</v>
      </c>
      <c r="C122" s="25" t="s">
        <v>13</v>
      </c>
      <c r="D122" s="43">
        <v>0</v>
      </c>
    </row>
    <row r="123" spans="1:4" ht="15.75" thickBot="1" x14ac:dyDescent="0.3">
      <c r="A123" s="24"/>
      <c r="B123" s="29" t="s">
        <v>104</v>
      </c>
      <c r="C123" s="25" t="s">
        <v>13</v>
      </c>
      <c r="D123" s="39">
        <v>0</v>
      </c>
    </row>
    <row r="124" spans="1:4" x14ac:dyDescent="0.25">
      <c r="A124" s="46"/>
      <c r="B124" s="47"/>
      <c r="C124" s="48"/>
      <c r="D124" s="49"/>
    </row>
    <row r="125" spans="1:4" ht="15.75" thickBot="1" x14ac:dyDescent="0.3">
      <c r="A125" s="8" t="s">
        <v>112</v>
      </c>
      <c r="B125" s="2"/>
      <c r="C125" s="2"/>
      <c r="D125" s="2"/>
    </row>
    <row r="126" spans="1:4" ht="15.75" thickBot="1" x14ac:dyDescent="0.3">
      <c r="A126" s="22" t="s">
        <v>113</v>
      </c>
      <c r="B126" s="33" t="s">
        <v>73</v>
      </c>
      <c r="C126" s="32" t="s">
        <v>114</v>
      </c>
      <c r="D126" s="33">
        <v>0</v>
      </c>
    </row>
    <row r="127" spans="1:4" ht="15.75" thickBot="1" x14ac:dyDescent="0.3">
      <c r="A127" s="24" t="s">
        <v>115</v>
      </c>
      <c r="B127" s="29" t="s">
        <v>75</v>
      </c>
      <c r="C127" s="25" t="s">
        <v>114</v>
      </c>
      <c r="D127" s="29">
        <v>0</v>
      </c>
    </row>
    <row r="128" spans="1:4" ht="15.75" thickBot="1" x14ac:dyDescent="0.3">
      <c r="A128" s="24" t="s">
        <v>116</v>
      </c>
      <c r="B128" s="29" t="s">
        <v>77</v>
      </c>
      <c r="C128" s="25" t="s">
        <v>114</v>
      </c>
      <c r="D128" s="29">
        <v>0</v>
      </c>
    </row>
    <row r="129" spans="1:4" ht="15.75" thickBot="1" x14ac:dyDescent="0.3">
      <c r="A129" s="24" t="s">
        <v>117</v>
      </c>
      <c r="B129" s="29" t="s">
        <v>79</v>
      </c>
      <c r="C129" s="25" t="s">
        <v>13</v>
      </c>
      <c r="D129" s="39">
        <v>0</v>
      </c>
    </row>
    <row r="130" spans="1:4" x14ac:dyDescent="0.25">
      <c r="A130" s="2"/>
      <c r="B130" s="2"/>
      <c r="C130" s="2"/>
      <c r="D130" s="2"/>
    </row>
    <row r="131" spans="1:4" ht="15.75" thickBot="1" x14ac:dyDescent="0.3">
      <c r="A131" s="8" t="s">
        <v>118</v>
      </c>
      <c r="B131" s="2"/>
      <c r="C131" s="2"/>
      <c r="D131" s="2"/>
    </row>
    <row r="132" spans="1:4" ht="15.75" thickBot="1" x14ac:dyDescent="0.3">
      <c r="A132" s="34">
        <v>48</v>
      </c>
      <c r="B132" s="33" t="s">
        <v>119</v>
      </c>
      <c r="C132" s="32" t="s">
        <v>114</v>
      </c>
      <c r="D132" s="33">
        <v>0</v>
      </c>
    </row>
    <row r="133" spans="1:4" ht="15.75" thickBot="1" x14ac:dyDescent="0.3">
      <c r="A133" s="50">
        <v>49</v>
      </c>
      <c r="B133" s="29" t="s">
        <v>120</v>
      </c>
      <c r="C133" s="25" t="s">
        <v>114</v>
      </c>
      <c r="D133" s="29">
        <v>1</v>
      </c>
    </row>
    <row r="134" spans="1:4" ht="15.75" thickBot="1" x14ac:dyDescent="0.3">
      <c r="A134" s="51">
        <v>50</v>
      </c>
      <c r="B134" s="52" t="s">
        <v>121</v>
      </c>
      <c r="C134" s="53" t="s">
        <v>13</v>
      </c>
      <c r="D134" s="56">
        <v>1000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workbookViewId="0">
      <selection sqref="A1:D130"/>
    </sheetView>
  </sheetViews>
  <sheetFormatPr defaultRowHeight="15" x14ac:dyDescent="0.25"/>
  <cols>
    <col min="2" max="2" width="73.42578125" customWidth="1"/>
    <col min="3" max="3" width="13" customWidth="1"/>
    <col min="4" max="4" width="55.42578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311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312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270317.09999999998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270317.09999999998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679294.03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411398.4</f>
        <v>411398.40000000002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157215+17411.22+21179.58</f>
        <v>195805.8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643372.36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391263.57+150187.34+13554.2+82817.25</f>
        <v>637822.36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5550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D20-D15</f>
        <v>373055.26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438255.55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438255.55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132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3808170471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143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134</v>
      </c>
    </row>
    <row r="58" spans="1:4" ht="15.75" thickBot="1" x14ac:dyDescent="0.3">
      <c r="A58" s="24"/>
      <c r="B58" s="25" t="s">
        <v>51</v>
      </c>
      <c r="C58" s="25" t="s">
        <v>47</v>
      </c>
      <c r="D58" s="55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68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146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70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3811171757</v>
      </c>
    </row>
    <row r="64" spans="1:4" x14ac:dyDescent="0.25">
      <c r="A64" s="2"/>
      <c r="B64" s="2"/>
      <c r="C64" s="2"/>
      <c r="D64" s="2"/>
    </row>
    <row r="65" spans="1:4" ht="15.75" thickBot="1" x14ac:dyDescent="0.3">
      <c r="A65" s="8" t="s">
        <v>71</v>
      </c>
      <c r="B65" s="2"/>
      <c r="C65" s="2"/>
      <c r="D65" s="2"/>
    </row>
    <row r="66" spans="1:4" ht="15.75" thickBot="1" x14ac:dyDescent="0.3">
      <c r="A66" s="22" t="s">
        <v>72</v>
      </c>
      <c r="B66" s="32" t="s">
        <v>73</v>
      </c>
      <c r="C66" s="32" t="s">
        <v>47</v>
      </c>
      <c r="D66" s="33">
        <v>0</v>
      </c>
    </row>
    <row r="67" spans="1:4" ht="15.75" thickBot="1" x14ac:dyDescent="0.3">
      <c r="A67" s="24" t="s">
        <v>74</v>
      </c>
      <c r="B67" s="25" t="s">
        <v>75</v>
      </c>
      <c r="C67" s="25" t="s">
        <v>47</v>
      </c>
      <c r="D67" s="29">
        <v>0</v>
      </c>
    </row>
    <row r="68" spans="1:4" ht="15.75" thickBot="1" x14ac:dyDescent="0.3">
      <c r="A68" s="24" t="s">
        <v>76</v>
      </c>
      <c r="B68" s="25" t="s">
        <v>77</v>
      </c>
      <c r="C68" s="25" t="s">
        <v>47</v>
      </c>
      <c r="D68" s="29">
        <v>0</v>
      </c>
    </row>
    <row r="69" spans="1:4" ht="15.75" thickBot="1" x14ac:dyDescent="0.3">
      <c r="A69" s="22" t="s">
        <v>78</v>
      </c>
      <c r="B69" s="34" t="s">
        <v>79</v>
      </c>
      <c r="C69" s="34" t="s">
        <v>13</v>
      </c>
      <c r="D69" s="35">
        <v>0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80</v>
      </c>
      <c r="B71" s="2"/>
      <c r="C71" s="2"/>
      <c r="D71" s="2"/>
    </row>
    <row r="72" spans="1:4" ht="15.75" thickBot="1" x14ac:dyDescent="0.3">
      <c r="A72" s="36" t="s">
        <v>81</v>
      </c>
      <c r="B72" s="33" t="s">
        <v>82</v>
      </c>
      <c r="C72" s="32" t="s">
        <v>13</v>
      </c>
      <c r="D72" s="37">
        <f>D74-D73</f>
        <v>172539.25</v>
      </c>
    </row>
    <row r="73" spans="1:4" ht="15.75" thickBot="1" x14ac:dyDescent="0.3">
      <c r="A73" s="38" t="s">
        <v>83</v>
      </c>
      <c r="B73" s="25" t="s">
        <v>84</v>
      </c>
      <c r="C73" s="25" t="s">
        <v>13</v>
      </c>
      <c r="D73" s="39">
        <f>20165.83+914.75+10268.85+682.85+70.76+493.89</f>
        <v>32596.929999999997</v>
      </c>
    </row>
    <row r="74" spans="1:4" ht="15.75" thickBot="1" x14ac:dyDescent="0.3">
      <c r="A74" s="38" t="s">
        <v>85</v>
      </c>
      <c r="B74" s="25" t="s">
        <v>86</v>
      </c>
      <c r="C74" s="25" t="s">
        <v>13</v>
      </c>
      <c r="D74" s="39">
        <f>68818.99+17137.12+77200.33+40756.71+153.73+1069.3</f>
        <v>205136.18</v>
      </c>
    </row>
    <row r="75" spans="1:4" ht="15.75" thickBot="1" x14ac:dyDescent="0.3">
      <c r="A75" s="38" t="s">
        <v>87</v>
      </c>
      <c r="B75" s="29" t="s">
        <v>88</v>
      </c>
      <c r="C75" s="25" t="s">
        <v>13</v>
      </c>
      <c r="D75" s="39">
        <f>D77-D76</f>
        <v>238707.64</v>
      </c>
    </row>
    <row r="76" spans="1:4" ht="15.75" thickBot="1" x14ac:dyDescent="0.3">
      <c r="A76" s="38" t="s">
        <v>89</v>
      </c>
      <c r="B76" s="25" t="s">
        <v>84</v>
      </c>
      <c r="C76" s="25" t="s">
        <v>13</v>
      </c>
      <c r="D76" s="39">
        <f>5020.13+5413.93+3683.58+2005.49+1920.61</f>
        <v>18043.740000000002</v>
      </c>
    </row>
    <row r="77" spans="1:4" ht="15.75" thickBot="1" x14ac:dyDescent="0.3">
      <c r="A77" s="38" t="s">
        <v>90</v>
      </c>
      <c r="B77" s="25" t="s">
        <v>86</v>
      </c>
      <c r="C77" s="25" t="s">
        <v>13</v>
      </c>
      <c r="D77" s="39">
        <f>138080.35+13681.56+76352.18+27296.2+174.53+1166.56</f>
        <v>256751.38</v>
      </c>
    </row>
    <row r="78" spans="1:4" x14ac:dyDescent="0.25">
      <c r="A78" s="2"/>
      <c r="B78" s="2"/>
      <c r="C78" s="2"/>
      <c r="D78" s="2"/>
    </row>
    <row r="79" spans="1:4" ht="15.75" thickBot="1" x14ac:dyDescent="0.3">
      <c r="A79" s="8" t="s">
        <v>91</v>
      </c>
      <c r="B79" s="2"/>
      <c r="C79" s="2"/>
      <c r="D79" s="2"/>
    </row>
    <row r="80" spans="1:4" ht="15.75" thickBot="1" x14ac:dyDescent="0.3">
      <c r="A80" s="40" t="s">
        <v>92</v>
      </c>
      <c r="B80" s="41" t="s">
        <v>93</v>
      </c>
      <c r="C80" s="42" t="s">
        <v>47</v>
      </c>
      <c r="D80" s="41" t="s">
        <v>94</v>
      </c>
    </row>
    <row r="81" spans="1:4" ht="15.75" thickBot="1" x14ac:dyDescent="0.3">
      <c r="A81" s="24"/>
      <c r="B81" s="29" t="s">
        <v>95</v>
      </c>
      <c r="C81" s="25" t="s">
        <v>47</v>
      </c>
      <c r="D81" s="29" t="s">
        <v>96</v>
      </c>
    </row>
    <row r="82" spans="1:4" ht="15.75" thickBot="1" x14ac:dyDescent="0.3">
      <c r="A82" s="24"/>
      <c r="B82" s="29" t="s">
        <v>97</v>
      </c>
      <c r="C82" s="25" t="s">
        <v>96</v>
      </c>
      <c r="D82" s="39">
        <v>558.32640000000004</v>
      </c>
    </row>
    <row r="83" spans="1:4" ht="15.75" thickBot="1" x14ac:dyDescent="0.3">
      <c r="A83" s="24"/>
      <c r="B83" s="29" t="s">
        <v>98</v>
      </c>
      <c r="C83" s="25" t="s">
        <v>13</v>
      </c>
      <c r="D83" s="39">
        <f>557490.4-9384.93</f>
        <v>548105.47</v>
      </c>
    </row>
    <row r="84" spans="1:4" ht="15.75" thickBot="1" x14ac:dyDescent="0.3">
      <c r="A84" s="24"/>
      <c r="B84" s="25" t="s">
        <v>99</v>
      </c>
      <c r="C84" s="25" t="s">
        <v>13</v>
      </c>
      <c r="D84" s="43">
        <v>458678.28</v>
      </c>
    </row>
    <row r="85" spans="1:4" ht="15.75" thickBot="1" x14ac:dyDescent="0.3">
      <c r="A85" s="24"/>
      <c r="B85" s="25" t="s">
        <v>100</v>
      </c>
      <c r="C85" s="25" t="s">
        <v>13</v>
      </c>
      <c r="D85" s="43">
        <f>D83-D84</f>
        <v>89427.189999999944</v>
      </c>
    </row>
    <row r="86" spans="1:4" ht="15.75" thickBot="1" x14ac:dyDescent="0.3">
      <c r="A86" s="24"/>
      <c r="B86" s="25" t="s">
        <v>101</v>
      </c>
      <c r="C86" s="25" t="s">
        <v>13</v>
      </c>
      <c r="D86" s="43">
        <f>334565.94+128667.5</f>
        <v>463233.44</v>
      </c>
    </row>
    <row r="87" spans="1:4" ht="15.75" thickBot="1" x14ac:dyDescent="0.3">
      <c r="A87" s="24"/>
      <c r="B87" s="25" t="s">
        <v>102</v>
      </c>
      <c r="C87" s="25" t="s">
        <v>13</v>
      </c>
      <c r="D87" s="43">
        <f>D84</f>
        <v>458678.28</v>
      </c>
    </row>
    <row r="88" spans="1:4" ht="15.75" thickBot="1" x14ac:dyDescent="0.3">
      <c r="A88" s="24"/>
      <c r="B88" s="25" t="s">
        <v>103</v>
      </c>
      <c r="C88" s="25" t="s">
        <v>13</v>
      </c>
      <c r="D88" s="43">
        <f>D85</f>
        <v>89427.189999999944</v>
      </c>
    </row>
    <row r="89" spans="1:4" ht="15.75" thickBot="1" x14ac:dyDescent="0.3">
      <c r="A89" s="24"/>
      <c r="B89" s="29" t="s">
        <v>104</v>
      </c>
      <c r="C89" s="25" t="s">
        <v>13</v>
      </c>
      <c r="D89" s="39">
        <v>0</v>
      </c>
    </row>
    <row r="90" spans="1:4" ht="15.75" thickBot="1" x14ac:dyDescent="0.3">
      <c r="A90" s="40" t="s">
        <v>105</v>
      </c>
      <c r="B90" s="41" t="s">
        <v>93</v>
      </c>
      <c r="C90" s="42" t="s">
        <v>47</v>
      </c>
      <c r="D90" s="41" t="s">
        <v>106</v>
      </c>
    </row>
    <row r="91" spans="1:4" ht="15.75" thickBot="1" x14ac:dyDescent="0.3">
      <c r="A91" s="24"/>
      <c r="B91" s="29" t="s">
        <v>95</v>
      </c>
      <c r="C91" s="25" t="s">
        <v>47</v>
      </c>
      <c r="D91" s="29" t="s">
        <v>107</v>
      </c>
    </row>
    <row r="92" spans="1:4" ht="15.75" thickBot="1" x14ac:dyDescent="0.3">
      <c r="A92" s="24"/>
      <c r="B92" s="29" t="s">
        <v>97</v>
      </c>
      <c r="C92" s="25" t="s">
        <v>107</v>
      </c>
      <c r="D92" s="44">
        <v>4430.0122000000001</v>
      </c>
    </row>
    <row r="93" spans="1:4" ht="15.75" thickBot="1" x14ac:dyDescent="0.3">
      <c r="A93" s="24"/>
      <c r="B93" s="29" t="s">
        <v>98</v>
      </c>
      <c r="C93" s="25" t="s">
        <v>13</v>
      </c>
      <c r="D93" s="44">
        <f>45126.23-577.69+914.16+1739.06</f>
        <v>47201.760000000002</v>
      </c>
    </row>
    <row r="94" spans="1:4" ht="15.75" thickBot="1" x14ac:dyDescent="0.3">
      <c r="A94" s="24"/>
      <c r="B94" s="25" t="s">
        <v>99</v>
      </c>
      <c r="C94" s="25" t="s">
        <v>13</v>
      </c>
      <c r="D94" s="45">
        <f>4567.15+52109.48</f>
        <v>56676.630000000005</v>
      </c>
    </row>
    <row r="95" spans="1:4" ht="15.75" thickBot="1" x14ac:dyDescent="0.3">
      <c r="A95" s="24"/>
      <c r="B95" s="25" t="s">
        <v>100</v>
      </c>
      <c r="C95" s="25" t="s">
        <v>13</v>
      </c>
      <c r="D95" s="45">
        <f>0</f>
        <v>0</v>
      </c>
    </row>
    <row r="96" spans="1:4" ht="15.75" thickBot="1" x14ac:dyDescent="0.3">
      <c r="A96" s="24"/>
      <c r="B96" s="25" t="s">
        <v>101</v>
      </c>
      <c r="C96" s="25" t="s">
        <v>13</v>
      </c>
      <c r="D96" s="45">
        <v>79370.320000000007</v>
      </c>
    </row>
    <row r="97" spans="1:4" ht="15.75" thickBot="1" x14ac:dyDescent="0.3">
      <c r="A97" s="24"/>
      <c r="B97" s="25" t="s">
        <v>102</v>
      </c>
      <c r="C97" s="25" t="s">
        <v>13</v>
      </c>
      <c r="D97" s="45">
        <f>D94</f>
        <v>56676.630000000005</v>
      </c>
    </row>
    <row r="98" spans="1:4" ht="15.75" thickBot="1" x14ac:dyDescent="0.3">
      <c r="A98" s="24"/>
      <c r="B98" s="25" t="s">
        <v>103</v>
      </c>
      <c r="C98" s="25" t="s">
        <v>13</v>
      </c>
      <c r="D98" s="45">
        <v>0</v>
      </c>
    </row>
    <row r="99" spans="1:4" ht="15.75" thickBot="1" x14ac:dyDescent="0.3">
      <c r="A99" s="24"/>
      <c r="B99" s="29" t="s">
        <v>104</v>
      </c>
      <c r="C99" s="25" t="s">
        <v>13</v>
      </c>
      <c r="D99" s="44">
        <v>0</v>
      </c>
    </row>
    <row r="100" spans="1:4" ht="15.75" thickBot="1" x14ac:dyDescent="0.3">
      <c r="A100" s="40" t="s">
        <v>108</v>
      </c>
      <c r="B100" s="41" t="s">
        <v>93</v>
      </c>
      <c r="C100" s="42" t="s">
        <v>47</v>
      </c>
      <c r="D100" s="41" t="s">
        <v>109</v>
      </c>
    </row>
    <row r="101" spans="1:4" ht="15.75" thickBot="1" x14ac:dyDescent="0.3">
      <c r="A101" s="24"/>
      <c r="B101" s="29" t="s">
        <v>95</v>
      </c>
      <c r="C101" s="25" t="s">
        <v>47</v>
      </c>
      <c r="D101" s="29" t="s">
        <v>107</v>
      </c>
    </row>
    <row r="102" spans="1:4" ht="15.75" thickBot="1" x14ac:dyDescent="0.3">
      <c r="A102" s="24"/>
      <c r="B102" s="29" t="s">
        <v>97</v>
      </c>
      <c r="C102" s="25" t="s">
        <v>107</v>
      </c>
      <c r="D102" s="44">
        <v>3397.9802</v>
      </c>
    </row>
    <row r="103" spans="1:4" ht="15.75" thickBot="1" x14ac:dyDescent="0.3">
      <c r="A103" s="24"/>
      <c r="B103" s="29" t="s">
        <v>98</v>
      </c>
      <c r="C103" s="25" t="s">
        <v>13</v>
      </c>
      <c r="D103" s="44">
        <f>237986.67-1101.21+6118.56+3793.11</f>
        <v>246797.13</v>
      </c>
    </row>
    <row r="104" spans="1:4" ht="15.75" thickBot="1" x14ac:dyDescent="0.3">
      <c r="A104" s="24"/>
      <c r="B104" s="25" t="s">
        <v>99</v>
      </c>
      <c r="C104" s="25" t="s">
        <v>13</v>
      </c>
      <c r="D104" s="45">
        <f>11241.13+232878.69</f>
        <v>244119.82</v>
      </c>
    </row>
    <row r="105" spans="1:4" ht="15.75" thickBot="1" x14ac:dyDescent="0.3">
      <c r="A105" s="24"/>
      <c r="B105" s="25" t="s">
        <v>100</v>
      </c>
      <c r="C105" s="25" t="s">
        <v>13</v>
      </c>
      <c r="D105" s="45">
        <f>D103-D104</f>
        <v>2677.3099999999977</v>
      </c>
    </row>
    <row r="106" spans="1:4" ht="15.75" thickBot="1" x14ac:dyDescent="0.3">
      <c r="A106" s="24"/>
      <c r="B106" s="25" t="s">
        <v>101</v>
      </c>
      <c r="C106" s="25" t="s">
        <v>13</v>
      </c>
      <c r="D106" s="45">
        <v>328166.17</v>
      </c>
    </row>
    <row r="107" spans="1:4" ht="15.75" thickBot="1" x14ac:dyDescent="0.3">
      <c r="A107" s="24"/>
      <c r="B107" s="25" t="s">
        <v>102</v>
      </c>
      <c r="C107" s="25" t="s">
        <v>13</v>
      </c>
      <c r="D107" s="45">
        <f>D104</f>
        <v>244119.82</v>
      </c>
    </row>
    <row r="108" spans="1:4" ht="15.75" thickBot="1" x14ac:dyDescent="0.3">
      <c r="A108" s="24"/>
      <c r="B108" s="25" t="s">
        <v>103</v>
      </c>
      <c r="C108" s="25" t="s">
        <v>13</v>
      </c>
      <c r="D108" s="45">
        <f>D105</f>
        <v>2677.3099999999977</v>
      </c>
    </row>
    <row r="109" spans="1:4" ht="15.75" thickBot="1" x14ac:dyDescent="0.3">
      <c r="A109" s="24"/>
      <c r="B109" s="29" t="s">
        <v>104</v>
      </c>
      <c r="C109" s="25" t="s">
        <v>13</v>
      </c>
      <c r="D109" s="44">
        <v>0</v>
      </c>
    </row>
    <row r="110" spans="1:4" ht="15.75" thickBot="1" x14ac:dyDescent="0.3">
      <c r="A110" s="40" t="s">
        <v>110</v>
      </c>
      <c r="B110" s="41" t="s">
        <v>93</v>
      </c>
      <c r="C110" s="42" t="s">
        <v>47</v>
      </c>
      <c r="D110" s="41" t="s">
        <v>111</v>
      </c>
    </row>
    <row r="111" spans="1:4" ht="15.75" thickBot="1" x14ac:dyDescent="0.3">
      <c r="A111" s="24"/>
      <c r="B111" s="29" t="s">
        <v>95</v>
      </c>
      <c r="C111" s="25" t="s">
        <v>47</v>
      </c>
      <c r="D111" s="29" t="s">
        <v>107</v>
      </c>
    </row>
    <row r="112" spans="1:4" ht="15.75" thickBot="1" x14ac:dyDescent="0.3">
      <c r="A112" s="24"/>
      <c r="B112" s="29" t="s">
        <v>97</v>
      </c>
      <c r="C112" s="25" t="s">
        <v>107</v>
      </c>
      <c r="D112" s="39">
        <v>7827.9884000000002</v>
      </c>
    </row>
    <row r="113" spans="1:4" ht="15.75" thickBot="1" x14ac:dyDescent="0.3">
      <c r="A113" s="24"/>
      <c r="B113" s="29" t="s">
        <v>98</v>
      </c>
      <c r="C113" s="25" t="s">
        <v>13</v>
      </c>
      <c r="D113" s="39">
        <f>82597.59-1284.69</f>
        <v>81312.899999999994</v>
      </c>
    </row>
    <row r="114" spans="1:4" ht="15.75" thickBot="1" x14ac:dyDescent="0.3">
      <c r="A114" s="24"/>
      <c r="B114" s="25" t="s">
        <v>99</v>
      </c>
      <c r="C114" s="25" t="s">
        <v>13</v>
      </c>
      <c r="D114" s="43">
        <v>97774.14</v>
      </c>
    </row>
    <row r="115" spans="1:4" ht="15.75" thickBot="1" x14ac:dyDescent="0.3">
      <c r="A115" s="24"/>
      <c r="B115" s="25" t="s">
        <v>100</v>
      </c>
      <c r="C115" s="25" t="s">
        <v>13</v>
      </c>
      <c r="D115" s="43">
        <v>0</v>
      </c>
    </row>
    <row r="116" spans="1:4" ht="15.75" thickBot="1" x14ac:dyDescent="0.3">
      <c r="A116" s="24"/>
      <c r="B116" s="25" t="s">
        <v>101</v>
      </c>
      <c r="C116" s="25" t="s">
        <v>13</v>
      </c>
      <c r="D116" s="43">
        <v>125343.58</v>
      </c>
    </row>
    <row r="117" spans="1:4" ht="15.75" thickBot="1" x14ac:dyDescent="0.3">
      <c r="A117" s="24"/>
      <c r="B117" s="25" t="s">
        <v>102</v>
      </c>
      <c r="C117" s="25" t="s">
        <v>13</v>
      </c>
      <c r="D117" s="43">
        <f>D114</f>
        <v>97774.14</v>
      </c>
    </row>
    <row r="118" spans="1:4" ht="15.75" thickBot="1" x14ac:dyDescent="0.3">
      <c r="A118" s="24"/>
      <c r="B118" s="25" t="s">
        <v>103</v>
      </c>
      <c r="C118" s="25" t="s">
        <v>13</v>
      </c>
      <c r="D118" s="43">
        <v>0</v>
      </c>
    </row>
    <row r="119" spans="1:4" ht="15.75" thickBot="1" x14ac:dyDescent="0.3">
      <c r="A119" s="24"/>
      <c r="B119" s="29" t="s">
        <v>104</v>
      </c>
      <c r="C119" s="25" t="s">
        <v>13</v>
      </c>
      <c r="D119" s="39">
        <v>0</v>
      </c>
    </row>
    <row r="120" spans="1:4" x14ac:dyDescent="0.25">
      <c r="A120" s="46"/>
      <c r="B120" s="47"/>
      <c r="C120" s="48"/>
      <c r="D120" s="49"/>
    </row>
    <row r="121" spans="1:4" ht="15.75" thickBot="1" x14ac:dyDescent="0.3">
      <c r="A121" s="8" t="s">
        <v>112</v>
      </c>
      <c r="B121" s="2"/>
      <c r="C121" s="2"/>
      <c r="D121" s="2"/>
    </row>
    <row r="122" spans="1:4" ht="15.75" thickBot="1" x14ac:dyDescent="0.3">
      <c r="A122" s="22" t="s">
        <v>113</v>
      </c>
      <c r="B122" s="33" t="s">
        <v>73</v>
      </c>
      <c r="C122" s="32" t="s">
        <v>114</v>
      </c>
      <c r="D122" s="33">
        <v>0</v>
      </c>
    </row>
    <row r="123" spans="1:4" ht="15.75" thickBot="1" x14ac:dyDescent="0.3">
      <c r="A123" s="24" t="s">
        <v>115</v>
      </c>
      <c r="B123" s="29" t="s">
        <v>75</v>
      </c>
      <c r="C123" s="25" t="s">
        <v>114</v>
      </c>
      <c r="D123" s="29">
        <v>0</v>
      </c>
    </row>
    <row r="124" spans="1:4" ht="15.75" thickBot="1" x14ac:dyDescent="0.3">
      <c r="A124" s="24" t="s">
        <v>116</v>
      </c>
      <c r="B124" s="29" t="s">
        <v>77</v>
      </c>
      <c r="C124" s="25" t="s">
        <v>114</v>
      </c>
      <c r="D124" s="29">
        <v>0</v>
      </c>
    </row>
    <row r="125" spans="1:4" ht="15.75" thickBot="1" x14ac:dyDescent="0.3">
      <c r="A125" s="24" t="s">
        <v>117</v>
      </c>
      <c r="B125" s="29" t="s">
        <v>79</v>
      </c>
      <c r="C125" s="25" t="s">
        <v>13</v>
      </c>
      <c r="D125" s="39">
        <v>0</v>
      </c>
    </row>
    <row r="126" spans="1:4" x14ac:dyDescent="0.25">
      <c r="A126" s="2"/>
      <c r="B126" s="2"/>
      <c r="C126" s="2"/>
      <c r="D126" s="2"/>
    </row>
    <row r="127" spans="1:4" ht="15.75" thickBot="1" x14ac:dyDescent="0.3">
      <c r="A127" s="8" t="s">
        <v>118</v>
      </c>
      <c r="B127" s="2"/>
      <c r="C127" s="2"/>
      <c r="D127" s="2"/>
    </row>
    <row r="128" spans="1:4" ht="15.75" thickBot="1" x14ac:dyDescent="0.3">
      <c r="A128" s="34">
        <v>48</v>
      </c>
      <c r="B128" s="33" t="s">
        <v>119</v>
      </c>
      <c r="C128" s="32" t="s">
        <v>114</v>
      </c>
      <c r="D128" s="33">
        <v>2</v>
      </c>
    </row>
    <row r="129" spans="1:4" ht="15.75" thickBot="1" x14ac:dyDescent="0.3">
      <c r="A129" s="50">
        <v>49</v>
      </c>
      <c r="B129" s="29" t="s">
        <v>120</v>
      </c>
      <c r="C129" s="25" t="s">
        <v>114</v>
      </c>
      <c r="D129" s="29">
        <v>0</v>
      </c>
    </row>
    <row r="130" spans="1:4" ht="15.75" thickBot="1" x14ac:dyDescent="0.3">
      <c r="A130" s="51">
        <v>50</v>
      </c>
      <c r="B130" s="52" t="s">
        <v>121</v>
      </c>
      <c r="C130" s="53" t="s">
        <v>13</v>
      </c>
      <c r="D130" s="56">
        <f>12139</f>
        <v>12139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topLeftCell="A58" workbookViewId="0">
      <selection activeCell="D64" sqref="D64:D67"/>
    </sheetView>
  </sheetViews>
  <sheetFormatPr defaultRowHeight="15" x14ac:dyDescent="0.25"/>
  <cols>
    <col min="2" max="2" width="70.140625" customWidth="1"/>
    <col min="3" max="3" width="10.85546875" customWidth="1"/>
    <col min="4" max="4" width="55.28515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313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314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329136.38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329136.38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1248505.8799999999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847201.2+23887.82</f>
        <v>871089.0199999999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323757.24+7453.62</f>
        <v>331210.86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1256769.68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859969.38+329827.39+2160.71+17862.2</f>
        <v>1209819.68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46950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D20+D14</f>
        <v>1585906.06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162682.54999999999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162682.54999999999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132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3808170471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143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134</v>
      </c>
    </row>
    <row r="58" spans="1:4" ht="15.75" thickBot="1" x14ac:dyDescent="0.3">
      <c r="A58" s="24"/>
      <c r="B58" s="25" t="s">
        <v>51</v>
      </c>
      <c r="C58" s="25" t="s">
        <v>47</v>
      </c>
      <c r="D58" s="55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68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315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316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65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3808066752</v>
      </c>
    </row>
    <row r="64" spans="1:4" ht="15.75" thickBot="1" x14ac:dyDescent="0.3">
      <c r="A64" s="24" t="s">
        <v>66</v>
      </c>
      <c r="B64" s="27" t="s">
        <v>46</v>
      </c>
      <c r="C64" s="27" t="s">
        <v>47</v>
      </c>
      <c r="D64" s="28" t="s">
        <v>309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310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65</v>
      </c>
    </row>
    <row r="67" spans="1:4" ht="15.75" thickBot="1" x14ac:dyDescent="0.3">
      <c r="A67" s="24"/>
      <c r="B67" s="25" t="s">
        <v>53</v>
      </c>
      <c r="C67" s="25" t="s">
        <v>47</v>
      </c>
      <c r="D67" s="30">
        <v>3812140511</v>
      </c>
    </row>
    <row r="68" spans="1:4" x14ac:dyDescent="0.25">
      <c r="A68" s="2"/>
      <c r="B68" s="2"/>
      <c r="C68" s="2"/>
      <c r="D68" s="2"/>
    </row>
    <row r="69" spans="1:4" ht="15.75" thickBot="1" x14ac:dyDescent="0.3">
      <c r="A69" s="8" t="s">
        <v>71</v>
      </c>
      <c r="B69" s="2"/>
      <c r="C69" s="2"/>
      <c r="D69" s="2"/>
    </row>
    <row r="70" spans="1:4" ht="15.75" thickBot="1" x14ac:dyDescent="0.3">
      <c r="A70" s="22" t="s">
        <v>72</v>
      </c>
      <c r="B70" s="32" t="s">
        <v>73</v>
      </c>
      <c r="C70" s="32" t="s">
        <v>47</v>
      </c>
      <c r="D70" s="33">
        <v>0</v>
      </c>
    </row>
    <row r="71" spans="1:4" ht="15.75" thickBot="1" x14ac:dyDescent="0.3">
      <c r="A71" s="24" t="s">
        <v>74</v>
      </c>
      <c r="B71" s="25" t="s">
        <v>75</v>
      </c>
      <c r="C71" s="25" t="s">
        <v>47</v>
      </c>
      <c r="D71" s="29">
        <v>0</v>
      </c>
    </row>
    <row r="72" spans="1:4" ht="15.75" thickBot="1" x14ac:dyDescent="0.3">
      <c r="A72" s="24" t="s">
        <v>76</v>
      </c>
      <c r="B72" s="25" t="s">
        <v>77</v>
      </c>
      <c r="C72" s="25" t="s">
        <v>47</v>
      </c>
      <c r="D72" s="29">
        <v>0</v>
      </c>
    </row>
    <row r="73" spans="1:4" ht="15.75" thickBot="1" x14ac:dyDescent="0.3">
      <c r="A73" s="22" t="s">
        <v>78</v>
      </c>
      <c r="B73" s="34" t="s">
        <v>79</v>
      </c>
      <c r="C73" s="34" t="s">
        <v>13</v>
      </c>
      <c r="D73" s="35">
        <v>0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80</v>
      </c>
      <c r="B75" s="2"/>
      <c r="C75" s="2"/>
      <c r="D75" s="2"/>
    </row>
    <row r="76" spans="1:4" ht="15.75" thickBot="1" x14ac:dyDescent="0.3">
      <c r="A76" s="36" t="s">
        <v>81</v>
      </c>
      <c r="B76" s="33" t="s">
        <v>82</v>
      </c>
      <c r="C76" s="32" t="s">
        <v>13</v>
      </c>
      <c r="D76" s="37">
        <f>D78-D77</f>
        <v>234817.29000000015</v>
      </c>
    </row>
    <row r="77" spans="1:4" ht="15.75" thickBot="1" x14ac:dyDescent="0.3">
      <c r="A77" s="38" t="s">
        <v>83</v>
      </c>
      <c r="B77" s="25" t="s">
        <v>84</v>
      </c>
      <c r="C77" s="25" t="s">
        <v>13</v>
      </c>
      <c r="D77" s="39">
        <f>284217.56+11075.49+15018.31+4927.63+137.17+2822.92</f>
        <v>318199.07999999996</v>
      </c>
    </row>
    <row r="78" spans="1:4" ht="15.75" thickBot="1" x14ac:dyDescent="0.3">
      <c r="A78" s="38" t="s">
        <v>85</v>
      </c>
      <c r="B78" s="25" t="s">
        <v>86</v>
      </c>
      <c r="C78" s="25" t="s">
        <v>13</v>
      </c>
      <c r="D78" s="39">
        <f>222199.01+37648.96+210748.04+80527.64+239.04+1653.68</f>
        <v>553016.37000000011</v>
      </c>
    </row>
    <row r="79" spans="1:4" ht="15.75" thickBot="1" x14ac:dyDescent="0.3">
      <c r="A79" s="38" t="s">
        <v>87</v>
      </c>
      <c r="B79" s="29" t="s">
        <v>88</v>
      </c>
      <c r="C79" s="25" t="s">
        <v>13</v>
      </c>
      <c r="D79" s="39">
        <f>D81-D80</f>
        <v>587714.97</v>
      </c>
    </row>
    <row r="80" spans="1:4" ht="15.75" thickBot="1" x14ac:dyDescent="0.3">
      <c r="A80" s="38" t="s">
        <v>89</v>
      </c>
      <c r="B80" s="25" t="s">
        <v>84</v>
      </c>
      <c r="C80" s="25" t="s">
        <v>13</v>
      </c>
      <c r="D80" s="39">
        <f>11935.31+6149.27+17646.13+6968.24+7162.17+6753.79</f>
        <v>56614.91</v>
      </c>
    </row>
    <row r="81" spans="1:4" ht="15.75" thickBot="1" x14ac:dyDescent="0.3">
      <c r="A81" s="38" t="s">
        <v>90</v>
      </c>
      <c r="B81" s="25" t="s">
        <v>86</v>
      </c>
      <c r="C81" s="25" t="s">
        <v>13</v>
      </c>
      <c r="D81" s="39">
        <f>327569.94+42551.15+191663.19+80032.1+322.94+2190.56</f>
        <v>644329.88</v>
      </c>
    </row>
    <row r="82" spans="1:4" x14ac:dyDescent="0.25">
      <c r="A82" s="2"/>
      <c r="B82" s="2"/>
      <c r="C82" s="2"/>
      <c r="D82" s="2"/>
    </row>
    <row r="83" spans="1:4" ht="15.75" thickBot="1" x14ac:dyDescent="0.3">
      <c r="A83" s="8" t="s">
        <v>91</v>
      </c>
      <c r="B83" s="2"/>
      <c r="C83" s="2"/>
      <c r="D83" s="2"/>
    </row>
    <row r="84" spans="1:4" ht="15.75" thickBot="1" x14ac:dyDescent="0.3">
      <c r="A84" s="40" t="s">
        <v>92</v>
      </c>
      <c r="B84" s="41" t="s">
        <v>93</v>
      </c>
      <c r="C84" s="42" t="s">
        <v>47</v>
      </c>
      <c r="D84" s="41" t="s">
        <v>94</v>
      </c>
    </row>
    <row r="85" spans="1:4" ht="15.75" thickBot="1" x14ac:dyDescent="0.3">
      <c r="A85" s="24"/>
      <c r="B85" s="29" t="s">
        <v>95</v>
      </c>
      <c r="C85" s="25" t="s">
        <v>47</v>
      </c>
      <c r="D85" s="29" t="s">
        <v>96</v>
      </c>
    </row>
    <row r="86" spans="1:4" ht="15.75" thickBot="1" x14ac:dyDescent="0.3">
      <c r="A86" s="24"/>
      <c r="B86" s="29" t="s">
        <v>97</v>
      </c>
      <c r="C86" s="25" t="s">
        <v>96</v>
      </c>
      <c r="D86" s="39">
        <v>960.96640000000002</v>
      </c>
    </row>
    <row r="87" spans="1:4" ht="15.75" thickBot="1" x14ac:dyDescent="0.3">
      <c r="A87" s="24"/>
      <c r="B87" s="29" t="s">
        <v>98</v>
      </c>
      <c r="C87" s="25" t="s">
        <v>13</v>
      </c>
      <c r="D87" s="39">
        <f>959681.36+63463.79</f>
        <v>1023145.15</v>
      </c>
    </row>
    <row r="88" spans="1:4" ht="15.75" thickBot="1" x14ac:dyDescent="0.3">
      <c r="A88" s="24"/>
      <c r="B88" s="25" t="s">
        <v>99</v>
      </c>
      <c r="C88" s="25" t="s">
        <v>13</v>
      </c>
      <c r="D88" s="43">
        <v>645491.97</v>
      </c>
    </row>
    <row r="89" spans="1:4" ht="15.75" thickBot="1" x14ac:dyDescent="0.3">
      <c r="A89" s="24"/>
      <c r="B89" s="25" t="s">
        <v>100</v>
      </c>
      <c r="C89" s="25" t="s">
        <v>13</v>
      </c>
      <c r="D89" s="43">
        <f>D87-D88</f>
        <v>377653.18000000005</v>
      </c>
    </row>
    <row r="90" spans="1:4" ht="15.75" thickBot="1" x14ac:dyDescent="0.3">
      <c r="A90" s="24"/>
      <c r="B90" s="25" t="s">
        <v>101</v>
      </c>
      <c r="C90" s="25" t="s">
        <v>13</v>
      </c>
      <c r="D90" s="43">
        <v>1020045.56</v>
      </c>
    </row>
    <row r="91" spans="1:4" ht="15.75" thickBot="1" x14ac:dyDescent="0.3">
      <c r="A91" s="24"/>
      <c r="B91" s="25" t="s">
        <v>102</v>
      </c>
      <c r="C91" s="25" t="s">
        <v>13</v>
      </c>
      <c r="D91" s="43">
        <f>D88</f>
        <v>645491.97</v>
      </c>
    </row>
    <row r="92" spans="1:4" ht="15.75" thickBot="1" x14ac:dyDescent="0.3">
      <c r="A92" s="24"/>
      <c r="B92" s="25" t="s">
        <v>103</v>
      </c>
      <c r="C92" s="25" t="s">
        <v>13</v>
      </c>
      <c r="D92" s="43">
        <f>D89</f>
        <v>377653.18000000005</v>
      </c>
    </row>
    <row r="93" spans="1:4" ht="15.75" thickBot="1" x14ac:dyDescent="0.3">
      <c r="A93" s="24"/>
      <c r="B93" s="29" t="s">
        <v>104</v>
      </c>
      <c r="C93" s="25" t="s">
        <v>13</v>
      </c>
      <c r="D93" s="39">
        <v>0</v>
      </c>
    </row>
    <row r="94" spans="1:4" ht="15.75" thickBot="1" x14ac:dyDescent="0.3">
      <c r="A94" s="40" t="s">
        <v>105</v>
      </c>
      <c r="B94" s="41" t="s">
        <v>93</v>
      </c>
      <c r="C94" s="42" t="s">
        <v>47</v>
      </c>
      <c r="D94" s="41" t="s">
        <v>106</v>
      </c>
    </row>
    <row r="95" spans="1:4" ht="15.75" thickBot="1" x14ac:dyDescent="0.3">
      <c r="A95" s="24"/>
      <c r="B95" s="29" t="s">
        <v>95</v>
      </c>
      <c r="C95" s="25" t="s">
        <v>47</v>
      </c>
      <c r="D95" s="29" t="s">
        <v>107</v>
      </c>
    </row>
    <row r="96" spans="1:4" ht="15.75" thickBot="1" x14ac:dyDescent="0.3">
      <c r="A96" s="24"/>
      <c r="B96" s="29" t="s">
        <v>97</v>
      </c>
      <c r="C96" s="25" t="s">
        <v>107</v>
      </c>
      <c r="D96" s="44">
        <v>11898.617899999999</v>
      </c>
    </row>
    <row r="97" spans="1:4" ht="15.75" thickBot="1" x14ac:dyDescent="0.3">
      <c r="A97" s="24"/>
      <c r="B97" s="29" t="s">
        <v>98</v>
      </c>
      <c r="C97" s="25" t="s">
        <v>13</v>
      </c>
      <c r="D97" s="44">
        <f>121329.3-2471.31+1881.84+1010.46</f>
        <v>121750.29000000001</v>
      </c>
    </row>
    <row r="98" spans="1:4" ht="15.75" thickBot="1" x14ac:dyDescent="0.3">
      <c r="A98" s="24"/>
      <c r="B98" s="25" t="s">
        <v>99</v>
      </c>
      <c r="C98" s="25" t="s">
        <v>13</v>
      </c>
      <c r="D98" s="45">
        <f>9833.4+109029.58</f>
        <v>118862.98</v>
      </c>
    </row>
    <row r="99" spans="1:4" ht="15.75" thickBot="1" x14ac:dyDescent="0.3">
      <c r="A99" s="24"/>
      <c r="B99" s="25" t="s">
        <v>100</v>
      </c>
      <c r="C99" s="25" t="s">
        <v>13</v>
      </c>
      <c r="D99" s="45">
        <f>D97-D98</f>
        <v>2887.3100000000122</v>
      </c>
    </row>
    <row r="100" spans="1:4" ht="15.75" thickBot="1" x14ac:dyDescent="0.3">
      <c r="A100" s="24"/>
      <c r="B100" s="25" t="s">
        <v>101</v>
      </c>
      <c r="C100" s="25" t="s">
        <v>13</v>
      </c>
      <c r="D100" s="45">
        <v>130128.29</v>
      </c>
    </row>
    <row r="101" spans="1:4" ht="15.75" thickBot="1" x14ac:dyDescent="0.3">
      <c r="A101" s="24"/>
      <c r="B101" s="25" t="s">
        <v>102</v>
      </c>
      <c r="C101" s="25" t="s">
        <v>13</v>
      </c>
      <c r="D101" s="45">
        <f>D98</f>
        <v>118862.98</v>
      </c>
    </row>
    <row r="102" spans="1:4" ht="15.75" thickBot="1" x14ac:dyDescent="0.3">
      <c r="A102" s="24"/>
      <c r="B102" s="25" t="s">
        <v>103</v>
      </c>
      <c r="C102" s="25" t="s">
        <v>13</v>
      </c>
      <c r="D102" s="45">
        <f>D99</f>
        <v>2887.3100000000122</v>
      </c>
    </row>
    <row r="103" spans="1:4" ht="15.75" thickBot="1" x14ac:dyDescent="0.3">
      <c r="A103" s="24"/>
      <c r="B103" s="29" t="s">
        <v>104</v>
      </c>
      <c r="C103" s="25" t="s">
        <v>13</v>
      </c>
      <c r="D103" s="44">
        <v>0</v>
      </c>
    </row>
    <row r="104" spans="1:4" ht="15.75" thickBot="1" x14ac:dyDescent="0.3">
      <c r="A104" s="40" t="s">
        <v>108</v>
      </c>
      <c r="B104" s="41" t="s">
        <v>93</v>
      </c>
      <c r="C104" s="42" t="s">
        <v>47</v>
      </c>
      <c r="D104" s="41" t="s">
        <v>109</v>
      </c>
    </row>
    <row r="105" spans="1:4" ht="15.75" thickBot="1" x14ac:dyDescent="0.3">
      <c r="A105" s="24"/>
      <c r="B105" s="29" t="s">
        <v>95</v>
      </c>
      <c r="C105" s="25" t="s">
        <v>47</v>
      </c>
      <c r="D105" s="29" t="s">
        <v>107</v>
      </c>
    </row>
    <row r="106" spans="1:4" ht="15.75" thickBot="1" x14ac:dyDescent="0.3">
      <c r="A106" s="24"/>
      <c r="B106" s="29" t="s">
        <v>97</v>
      </c>
      <c r="C106" s="25" t="s">
        <v>107</v>
      </c>
      <c r="D106" s="44">
        <v>8327.8459000000003</v>
      </c>
    </row>
    <row r="107" spans="1:4" ht="15.75" thickBot="1" x14ac:dyDescent="0.3">
      <c r="A107" s="24"/>
      <c r="B107" s="29" t="s">
        <v>98</v>
      </c>
      <c r="C107" s="25" t="s">
        <v>13</v>
      </c>
      <c r="D107" s="44">
        <f>584410.02-39349.31+12600.84+9604.7</f>
        <v>567266.24999999988</v>
      </c>
    </row>
    <row r="108" spans="1:4" ht="15.75" thickBot="1" x14ac:dyDescent="0.3">
      <c r="A108" s="24"/>
      <c r="B108" s="25" t="s">
        <v>99</v>
      </c>
      <c r="C108" s="25" t="s">
        <v>13</v>
      </c>
      <c r="D108" s="45">
        <f>25599.53+566773.38</f>
        <v>592372.91</v>
      </c>
    </row>
    <row r="109" spans="1:4" ht="15.75" thickBot="1" x14ac:dyDescent="0.3">
      <c r="A109" s="24"/>
      <c r="B109" s="25" t="s">
        <v>100</v>
      </c>
      <c r="C109" s="25" t="s">
        <v>13</v>
      </c>
      <c r="D109" s="45">
        <v>0</v>
      </c>
    </row>
    <row r="110" spans="1:4" ht="15.75" thickBot="1" x14ac:dyDescent="0.3">
      <c r="A110" s="24"/>
      <c r="B110" s="25" t="s">
        <v>101</v>
      </c>
      <c r="C110" s="25" t="s">
        <v>13</v>
      </c>
      <c r="D110" s="45">
        <v>578257.63</v>
      </c>
    </row>
    <row r="111" spans="1:4" ht="15.75" thickBot="1" x14ac:dyDescent="0.3">
      <c r="A111" s="24"/>
      <c r="B111" s="25" t="s">
        <v>102</v>
      </c>
      <c r="C111" s="25" t="s">
        <v>13</v>
      </c>
      <c r="D111" s="45">
        <f>D108</f>
        <v>592372.91</v>
      </c>
    </row>
    <row r="112" spans="1:4" ht="15.75" thickBot="1" x14ac:dyDescent="0.3">
      <c r="A112" s="24"/>
      <c r="B112" s="25" t="s">
        <v>103</v>
      </c>
      <c r="C112" s="25" t="s">
        <v>13</v>
      </c>
      <c r="D112" s="45">
        <v>0</v>
      </c>
    </row>
    <row r="113" spans="1:4" ht="15.75" thickBot="1" x14ac:dyDescent="0.3">
      <c r="A113" s="24"/>
      <c r="B113" s="29" t="s">
        <v>104</v>
      </c>
      <c r="C113" s="25" t="s">
        <v>13</v>
      </c>
      <c r="D113" s="44">
        <v>0</v>
      </c>
    </row>
    <row r="114" spans="1:4" ht="15.75" thickBot="1" x14ac:dyDescent="0.3">
      <c r="A114" s="40" t="s">
        <v>110</v>
      </c>
      <c r="B114" s="41" t="s">
        <v>93</v>
      </c>
      <c r="C114" s="42" t="s">
        <v>47</v>
      </c>
      <c r="D114" s="41" t="s">
        <v>111</v>
      </c>
    </row>
    <row r="115" spans="1:4" ht="15.75" thickBot="1" x14ac:dyDescent="0.3">
      <c r="A115" s="24"/>
      <c r="B115" s="29" t="s">
        <v>95</v>
      </c>
      <c r="C115" s="25" t="s">
        <v>47</v>
      </c>
      <c r="D115" s="29" t="s">
        <v>107</v>
      </c>
    </row>
    <row r="116" spans="1:4" ht="15.75" thickBot="1" x14ac:dyDescent="0.3">
      <c r="A116" s="24"/>
      <c r="B116" s="29" t="s">
        <v>97</v>
      </c>
      <c r="C116" s="25" t="s">
        <v>107</v>
      </c>
      <c r="D116" s="39">
        <v>20226.454600000001</v>
      </c>
    </row>
    <row r="117" spans="1:4" ht="15.75" thickBot="1" x14ac:dyDescent="0.3">
      <c r="A117" s="24"/>
      <c r="B117" s="29" t="s">
        <v>98</v>
      </c>
      <c r="C117" s="25" t="s">
        <v>13</v>
      </c>
      <c r="D117" s="39">
        <f>214073.52-6009.46</f>
        <v>208064.06</v>
      </c>
    </row>
    <row r="118" spans="1:4" ht="15.75" thickBot="1" x14ac:dyDescent="0.3">
      <c r="A118" s="24"/>
      <c r="B118" s="25" t="s">
        <v>99</v>
      </c>
      <c r="C118" s="25" t="s">
        <v>13</v>
      </c>
      <c r="D118" s="43">
        <v>210600.21</v>
      </c>
    </row>
    <row r="119" spans="1:4" ht="15.75" thickBot="1" x14ac:dyDescent="0.3">
      <c r="A119" s="24"/>
      <c r="B119" s="25" t="s">
        <v>100</v>
      </c>
      <c r="C119" s="25" t="s">
        <v>13</v>
      </c>
      <c r="D119" s="43">
        <v>0</v>
      </c>
    </row>
    <row r="120" spans="1:4" ht="15.75" thickBot="1" x14ac:dyDescent="0.3">
      <c r="A120" s="24"/>
      <c r="B120" s="25" t="s">
        <v>101</v>
      </c>
      <c r="C120" s="25" t="s">
        <v>13</v>
      </c>
      <c r="D120" s="43">
        <v>222915.99</v>
      </c>
    </row>
    <row r="121" spans="1:4" ht="15.75" thickBot="1" x14ac:dyDescent="0.3">
      <c r="A121" s="24"/>
      <c r="B121" s="25" t="s">
        <v>102</v>
      </c>
      <c r="C121" s="25" t="s">
        <v>13</v>
      </c>
      <c r="D121" s="43">
        <f>D118</f>
        <v>210600.21</v>
      </c>
    </row>
    <row r="122" spans="1:4" ht="15.75" thickBot="1" x14ac:dyDescent="0.3">
      <c r="A122" s="24"/>
      <c r="B122" s="25" t="s">
        <v>103</v>
      </c>
      <c r="C122" s="25" t="s">
        <v>13</v>
      </c>
      <c r="D122" s="43">
        <v>0</v>
      </c>
    </row>
    <row r="123" spans="1:4" ht="15.75" thickBot="1" x14ac:dyDescent="0.3">
      <c r="A123" s="24"/>
      <c r="B123" s="29" t="s">
        <v>104</v>
      </c>
      <c r="C123" s="25" t="s">
        <v>13</v>
      </c>
      <c r="D123" s="39">
        <v>0</v>
      </c>
    </row>
    <row r="124" spans="1:4" x14ac:dyDescent="0.25">
      <c r="A124" s="46"/>
      <c r="B124" s="47"/>
      <c r="C124" s="48"/>
      <c r="D124" s="49"/>
    </row>
    <row r="125" spans="1:4" ht="15.75" thickBot="1" x14ac:dyDescent="0.3">
      <c r="A125" s="8" t="s">
        <v>112</v>
      </c>
      <c r="B125" s="2"/>
      <c r="C125" s="2"/>
      <c r="D125" s="2"/>
    </row>
    <row r="126" spans="1:4" ht="15.75" thickBot="1" x14ac:dyDescent="0.3">
      <c r="A126" s="22" t="s">
        <v>113</v>
      </c>
      <c r="B126" s="33" t="s">
        <v>73</v>
      </c>
      <c r="C126" s="32" t="s">
        <v>114</v>
      </c>
      <c r="D126" s="33">
        <v>0</v>
      </c>
    </row>
    <row r="127" spans="1:4" ht="15.75" thickBot="1" x14ac:dyDescent="0.3">
      <c r="A127" s="24" t="s">
        <v>115</v>
      </c>
      <c r="B127" s="29" t="s">
        <v>75</v>
      </c>
      <c r="C127" s="25" t="s">
        <v>114</v>
      </c>
      <c r="D127" s="29">
        <v>0</v>
      </c>
    </row>
    <row r="128" spans="1:4" ht="15.75" thickBot="1" x14ac:dyDescent="0.3">
      <c r="A128" s="24" t="s">
        <v>116</v>
      </c>
      <c r="B128" s="29" t="s">
        <v>77</v>
      </c>
      <c r="C128" s="25" t="s">
        <v>114</v>
      </c>
      <c r="D128" s="29">
        <v>0</v>
      </c>
    </row>
    <row r="129" spans="1:4" ht="15.75" thickBot="1" x14ac:dyDescent="0.3">
      <c r="A129" s="24" t="s">
        <v>117</v>
      </c>
      <c r="B129" s="29" t="s">
        <v>79</v>
      </c>
      <c r="C129" s="25" t="s">
        <v>13</v>
      </c>
      <c r="D129" s="39">
        <v>0</v>
      </c>
    </row>
    <row r="130" spans="1:4" x14ac:dyDescent="0.25">
      <c r="A130" s="2"/>
      <c r="B130" s="2"/>
      <c r="C130" s="2"/>
      <c r="D130" s="2"/>
    </row>
    <row r="131" spans="1:4" ht="15.75" thickBot="1" x14ac:dyDescent="0.3">
      <c r="A131" s="8" t="s">
        <v>118</v>
      </c>
      <c r="B131" s="2"/>
      <c r="C131" s="2"/>
      <c r="D131" s="2"/>
    </row>
    <row r="132" spans="1:4" ht="15.75" thickBot="1" x14ac:dyDescent="0.3">
      <c r="A132" s="34">
        <v>48</v>
      </c>
      <c r="B132" s="33" t="s">
        <v>119</v>
      </c>
      <c r="C132" s="32" t="s">
        <v>114</v>
      </c>
      <c r="D132" s="33">
        <v>3</v>
      </c>
    </row>
    <row r="133" spans="1:4" ht="15.75" thickBot="1" x14ac:dyDescent="0.3">
      <c r="A133" s="50">
        <v>49</v>
      </c>
      <c r="B133" s="29" t="s">
        <v>120</v>
      </c>
      <c r="C133" s="25" t="s">
        <v>114</v>
      </c>
      <c r="D133" s="29">
        <v>3</v>
      </c>
    </row>
    <row r="134" spans="1:4" ht="15.75" thickBot="1" x14ac:dyDescent="0.3">
      <c r="A134" s="51">
        <v>50</v>
      </c>
      <c r="B134" s="52" t="s">
        <v>121</v>
      </c>
      <c r="C134" s="53" t="s">
        <v>13</v>
      </c>
      <c r="D134" s="56">
        <f>20000</f>
        <v>20000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topLeftCell="A40" workbookViewId="0">
      <selection sqref="A1:D130"/>
    </sheetView>
  </sheetViews>
  <sheetFormatPr defaultRowHeight="15" x14ac:dyDescent="0.25"/>
  <cols>
    <col min="2" max="2" width="68.42578125" customWidth="1"/>
    <col min="3" max="3" width="12.28515625" customWidth="1"/>
    <col min="4" max="4" width="55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317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318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144139.29999999999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144139.29999999999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741001.72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548186.94999999995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189214.77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691828.42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512350.14+175878.28</f>
        <v>688228.42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3600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D20-D15</f>
        <v>547689.12000000011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255466.88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255466.88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132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3808170471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143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134</v>
      </c>
    </row>
    <row r="58" spans="1:4" ht="15.75" thickBot="1" x14ac:dyDescent="0.3">
      <c r="A58" s="24"/>
      <c r="B58" s="25" t="s">
        <v>51</v>
      </c>
      <c r="C58" s="25" t="s">
        <v>47</v>
      </c>
      <c r="D58" s="55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68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200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319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1" t="s">
        <v>197</v>
      </c>
    </row>
    <row r="64" spans="1:4" x14ac:dyDescent="0.25">
      <c r="A64" s="2"/>
      <c r="B64" s="2"/>
      <c r="C64" s="2"/>
      <c r="D64" s="2"/>
    </row>
    <row r="65" spans="1:4" ht="15.75" thickBot="1" x14ac:dyDescent="0.3">
      <c r="A65" s="8" t="s">
        <v>71</v>
      </c>
      <c r="B65" s="2"/>
      <c r="C65" s="2"/>
      <c r="D65" s="2"/>
    </row>
    <row r="66" spans="1:4" ht="15.75" thickBot="1" x14ac:dyDescent="0.3">
      <c r="A66" s="22" t="s">
        <v>72</v>
      </c>
      <c r="B66" s="32" t="s">
        <v>73</v>
      </c>
      <c r="C66" s="32" t="s">
        <v>47</v>
      </c>
      <c r="D66" s="33">
        <v>0</v>
      </c>
    </row>
    <row r="67" spans="1:4" ht="15.75" thickBot="1" x14ac:dyDescent="0.3">
      <c r="A67" s="24" t="s">
        <v>74</v>
      </c>
      <c r="B67" s="25" t="s">
        <v>75</v>
      </c>
      <c r="C67" s="25" t="s">
        <v>47</v>
      </c>
      <c r="D67" s="29">
        <v>0</v>
      </c>
    </row>
    <row r="68" spans="1:4" ht="15.75" thickBot="1" x14ac:dyDescent="0.3">
      <c r="A68" s="24" t="s">
        <v>76</v>
      </c>
      <c r="B68" s="25" t="s">
        <v>77</v>
      </c>
      <c r="C68" s="25" t="s">
        <v>47</v>
      </c>
      <c r="D68" s="29">
        <v>0</v>
      </c>
    </row>
    <row r="69" spans="1:4" ht="15.75" thickBot="1" x14ac:dyDescent="0.3">
      <c r="A69" s="22" t="s">
        <v>78</v>
      </c>
      <c r="B69" s="34" t="s">
        <v>79</v>
      </c>
      <c r="C69" s="34" t="s">
        <v>13</v>
      </c>
      <c r="D69" s="35">
        <v>0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80</v>
      </c>
      <c r="B71" s="2"/>
      <c r="C71" s="2"/>
      <c r="D71" s="2"/>
    </row>
    <row r="72" spans="1:4" ht="15.75" thickBot="1" x14ac:dyDescent="0.3">
      <c r="A72" s="36" t="s">
        <v>81</v>
      </c>
      <c r="B72" s="33" t="s">
        <v>82</v>
      </c>
      <c r="C72" s="32" t="s">
        <v>13</v>
      </c>
      <c r="D72" s="37">
        <f>D74-D73</f>
        <v>370494.59</v>
      </c>
    </row>
    <row r="73" spans="1:4" ht="15.75" thickBot="1" x14ac:dyDescent="0.3">
      <c r="A73" s="38" t="s">
        <v>83</v>
      </c>
      <c r="B73" s="25" t="s">
        <v>84</v>
      </c>
      <c r="C73" s="25" t="s">
        <v>13</v>
      </c>
      <c r="D73" s="39">
        <f>78275.51+1280.61+7998.9+2470.22+55.09+470.55</f>
        <v>90550.87999999999</v>
      </c>
    </row>
    <row r="74" spans="1:4" ht="15.75" thickBot="1" x14ac:dyDescent="0.3">
      <c r="A74" s="38" t="s">
        <v>85</v>
      </c>
      <c r="B74" s="25" t="s">
        <v>86</v>
      </c>
      <c r="C74" s="25" t="s">
        <v>13</v>
      </c>
      <c r="D74" s="39">
        <f>195900.94+32536.81+167206.65+64360.74+110.14+930.19</f>
        <v>461045.47000000003</v>
      </c>
    </row>
    <row r="75" spans="1:4" ht="15.75" thickBot="1" x14ac:dyDescent="0.3">
      <c r="A75" s="38" t="s">
        <v>87</v>
      </c>
      <c r="B75" s="29" t="s">
        <v>88</v>
      </c>
      <c r="C75" s="25" t="s">
        <v>13</v>
      </c>
      <c r="D75" s="39">
        <f>D77-D76</f>
        <v>548288.65000000014</v>
      </c>
    </row>
    <row r="76" spans="1:4" ht="15.75" thickBot="1" x14ac:dyDescent="0.3">
      <c r="A76" s="38" t="s">
        <v>89</v>
      </c>
      <c r="B76" s="25" t="s">
        <v>84</v>
      </c>
      <c r="C76" s="25" t="s">
        <v>13</v>
      </c>
      <c r="D76" s="39">
        <f>5070.62+3857.63+19056.5+5721.02+5559.34+3766.8</f>
        <v>43031.91</v>
      </c>
    </row>
    <row r="77" spans="1:4" ht="15.75" thickBot="1" x14ac:dyDescent="0.3">
      <c r="A77" s="38" t="s">
        <v>90</v>
      </c>
      <c r="B77" s="25" t="s">
        <v>86</v>
      </c>
      <c r="C77" s="25" t="s">
        <v>13</v>
      </c>
      <c r="D77" s="39">
        <f>352434.53+33327.24+140915.27+63165.54+157.18+1320.8</f>
        <v>591320.56000000017</v>
      </c>
    </row>
    <row r="78" spans="1:4" x14ac:dyDescent="0.25">
      <c r="A78" s="2"/>
      <c r="B78" s="2"/>
      <c r="C78" s="2"/>
      <c r="D78" s="2"/>
    </row>
    <row r="79" spans="1:4" ht="15.75" thickBot="1" x14ac:dyDescent="0.3">
      <c r="A79" s="8" t="s">
        <v>91</v>
      </c>
      <c r="B79" s="2"/>
      <c r="C79" s="2"/>
      <c r="D79" s="2"/>
    </row>
    <row r="80" spans="1:4" ht="15.75" thickBot="1" x14ac:dyDescent="0.3">
      <c r="A80" s="40" t="s">
        <v>92</v>
      </c>
      <c r="B80" s="41" t="s">
        <v>93</v>
      </c>
      <c r="C80" s="42" t="s">
        <v>47</v>
      </c>
      <c r="D80" s="41" t="s">
        <v>94</v>
      </c>
    </row>
    <row r="81" spans="1:4" ht="15.75" thickBot="1" x14ac:dyDescent="0.3">
      <c r="A81" s="24"/>
      <c r="B81" s="29" t="s">
        <v>95</v>
      </c>
      <c r="C81" s="25" t="s">
        <v>47</v>
      </c>
      <c r="D81" s="29" t="s">
        <v>96</v>
      </c>
    </row>
    <row r="82" spans="1:4" ht="15.75" thickBot="1" x14ac:dyDescent="0.3">
      <c r="A82" s="24"/>
      <c r="B82" s="29" t="s">
        <v>97</v>
      </c>
      <c r="C82" s="25" t="s">
        <v>96</v>
      </c>
      <c r="D82" s="39">
        <v>664.89319999999998</v>
      </c>
    </row>
    <row r="83" spans="1:4" ht="15.75" thickBot="1" x14ac:dyDescent="0.3">
      <c r="A83" s="24"/>
      <c r="B83" s="29" t="s">
        <v>98</v>
      </c>
      <c r="C83" s="25" t="s">
        <v>13</v>
      </c>
      <c r="D83" s="39">
        <f>663891.64+53937.86</f>
        <v>717829.5</v>
      </c>
    </row>
    <row r="84" spans="1:4" ht="15.75" thickBot="1" x14ac:dyDescent="0.3">
      <c r="A84" s="24"/>
      <c r="B84" s="25" t="s">
        <v>99</v>
      </c>
      <c r="C84" s="25" t="s">
        <v>13</v>
      </c>
      <c r="D84" s="43">
        <v>488091.02</v>
      </c>
    </row>
    <row r="85" spans="1:4" ht="15.75" thickBot="1" x14ac:dyDescent="0.3">
      <c r="A85" s="24"/>
      <c r="B85" s="25" t="s">
        <v>100</v>
      </c>
      <c r="C85" s="25" t="s">
        <v>13</v>
      </c>
      <c r="D85" s="43">
        <f>D83-D84</f>
        <v>229738.47999999998</v>
      </c>
    </row>
    <row r="86" spans="1:4" ht="15.75" thickBot="1" x14ac:dyDescent="0.3">
      <c r="A86" s="24"/>
      <c r="B86" s="25" t="s">
        <v>101</v>
      </c>
      <c r="C86" s="25" t="s">
        <v>13</v>
      </c>
      <c r="D86" s="43">
        <v>723646.33</v>
      </c>
    </row>
    <row r="87" spans="1:4" ht="15.75" thickBot="1" x14ac:dyDescent="0.3">
      <c r="A87" s="24"/>
      <c r="B87" s="25" t="s">
        <v>102</v>
      </c>
      <c r="C87" s="25" t="s">
        <v>13</v>
      </c>
      <c r="D87" s="43">
        <f>D84</f>
        <v>488091.02</v>
      </c>
    </row>
    <row r="88" spans="1:4" ht="15.75" thickBot="1" x14ac:dyDescent="0.3">
      <c r="A88" s="24"/>
      <c r="B88" s="25" t="s">
        <v>103</v>
      </c>
      <c r="C88" s="25" t="s">
        <v>13</v>
      </c>
      <c r="D88" s="43">
        <f>D85</f>
        <v>229738.47999999998</v>
      </c>
    </row>
    <row r="89" spans="1:4" ht="15.75" thickBot="1" x14ac:dyDescent="0.3">
      <c r="A89" s="24"/>
      <c r="B89" s="29" t="s">
        <v>104</v>
      </c>
      <c r="C89" s="25" t="s">
        <v>13</v>
      </c>
      <c r="D89" s="39">
        <v>0</v>
      </c>
    </row>
    <row r="90" spans="1:4" ht="15.75" thickBot="1" x14ac:dyDescent="0.3">
      <c r="A90" s="40" t="s">
        <v>105</v>
      </c>
      <c r="B90" s="41" t="s">
        <v>93</v>
      </c>
      <c r="C90" s="42" t="s">
        <v>47</v>
      </c>
      <c r="D90" s="41" t="s">
        <v>106</v>
      </c>
    </row>
    <row r="91" spans="1:4" ht="15.75" thickBot="1" x14ac:dyDescent="0.3">
      <c r="A91" s="24"/>
      <c r="B91" s="29" t="s">
        <v>95</v>
      </c>
      <c r="C91" s="25" t="s">
        <v>47</v>
      </c>
      <c r="D91" s="29" t="s">
        <v>107</v>
      </c>
    </row>
    <row r="92" spans="1:4" ht="15.75" thickBot="1" x14ac:dyDescent="0.3">
      <c r="A92" s="24"/>
      <c r="B92" s="29" t="s">
        <v>97</v>
      </c>
      <c r="C92" s="25" t="s">
        <v>107</v>
      </c>
      <c r="D92" s="44">
        <v>6900.9966000000004</v>
      </c>
    </row>
    <row r="93" spans="1:4" ht="15.75" thickBot="1" x14ac:dyDescent="0.3">
      <c r="A93" s="24"/>
      <c r="B93" s="29" t="s">
        <v>98</v>
      </c>
      <c r="C93" s="25" t="s">
        <v>13</v>
      </c>
      <c r="D93" s="44">
        <f>70216.34-1536.87+734.04+2249.05</f>
        <v>71662.559999999998</v>
      </c>
    </row>
    <row r="94" spans="1:4" ht="15.75" thickBot="1" x14ac:dyDescent="0.3">
      <c r="A94" s="24"/>
      <c r="B94" s="25" t="s">
        <v>99</v>
      </c>
      <c r="C94" s="25" t="s">
        <v>13</v>
      </c>
      <c r="D94" s="45">
        <f>8440.3+70466.06</f>
        <v>78906.36</v>
      </c>
    </row>
    <row r="95" spans="1:4" ht="15.75" thickBot="1" x14ac:dyDescent="0.3">
      <c r="A95" s="24"/>
      <c r="B95" s="25" t="s">
        <v>100</v>
      </c>
      <c r="C95" s="25" t="s">
        <v>13</v>
      </c>
      <c r="D95" s="45">
        <v>0</v>
      </c>
    </row>
    <row r="96" spans="1:4" ht="15.75" thickBot="1" x14ac:dyDescent="0.3">
      <c r="A96" s="24"/>
      <c r="B96" s="25" t="s">
        <v>101</v>
      </c>
      <c r="C96" s="25" t="s">
        <v>13</v>
      </c>
      <c r="D96" s="45">
        <v>80853.84</v>
      </c>
    </row>
    <row r="97" spans="1:4" ht="15.75" thickBot="1" x14ac:dyDescent="0.3">
      <c r="A97" s="24"/>
      <c r="B97" s="25" t="s">
        <v>102</v>
      </c>
      <c r="C97" s="25" t="s">
        <v>13</v>
      </c>
      <c r="D97" s="45">
        <f>D94</f>
        <v>78906.36</v>
      </c>
    </row>
    <row r="98" spans="1:4" ht="15.75" thickBot="1" x14ac:dyDescent="0.3">
      <c r="A98" s="24"/>
      <c r="B98" s="25" t="s">
        <v>103</v>
      </c>
      <c r="C98" s="25" t="s">
        <v>13</v>
      </c>
      <c r="D98" s="45">
        <v>0</v>
      </c>
    </row>
    <row r="99" spans="1:4" ht="15.75" thickBot="1" x14ac:dyDescent="0.3">
      <c r="A99" s="24"/>
      <c r="B99" s="29" t="s">
        <v>104</v>
      </c>
      <c r="C99" s="25" t="s">
        <v>13</v>
      </c>
      <c r="D99" s="44">
        <v>0</v>
      </c>
    </row>
    <row r="100" spans="1:4" ht="15.75" thickBot="1" x14ac:dyDescent="0.3">
      <c r="A100" s="40" t="s">
        <v>108</v>
      </c>
      <c r="B100" s="41" t="s">
        <v>93</v>
      </c>
      <c r="C100" s="42" t="s">
        <v>47</v>
      </c>
      <c r="D100" s="41" t="s">
        <v>109</v>
      </c>
    </row>
    <row r="101" spans="1:4" ht="15.75" thickBot="1" x14ac:dyDescent="0.3">
      <c r="A101" s="24"/>
      <c r="B101" s="29" t="s">
        <v>95</v>
      </c>
      <c r="C101" s="25" t="s">
        <v>47</v>
      </c>
      <c r="D101" s="29" t="s">
        <v>107</v>
      </c>
    </row>
    <row r="102" spans="1:4" ht="15.75" thickBot="1" x14ac:dyDescent="0.3">
      <c r="A102" s="24"/>
      <c r="B102" s="29" t="s">
        <v>97</v>
      </c>
      <c r="C102" s="25" t="s">
        <v>107</v>
      </c>
      <c r="D102" s="44">
        <v>4795.6633000000002</v>
      </c>
    </row>
    <row r="103" spans="1:4" ht="15.75" thickBot="1" x14ac:dyDescent="0.3">
      <c r="A103" s="24"/>
      <c r="B103" s="29" t="s">
        <v>98</v>
      </c>
      <c r="C103" s="25" t="s">
        <v>13</v>
      </c>
      <c r="D103" s="44">
        <f>335666.02-36604.56+5959.9+612.78</f>
        <v>305634.14000000007</v>
      </c>
    </row>
    <row r="104" spans="1:4" ht="15.75" thickBot="1" x14ac:dyDescent="0.3">
      <c r="A104" s="24"/>
      <c r="B104" s="25" t="s">
        <v>99</v>
      </c>
      <c r="C104" s="25" t="s">
        <v>13</v>
      </c>
      <c r="D104" s="45">
        <f>9478.32+336410.44</f>
        <v>345888.76</v>
      </c>
    </row>
    <row r="105" spans="1:4" ht="15.75" thickBot="1" x14ac:dyDescent="0.3">
      <c r="A105" s="24"/>
      <c r="B105" s="25" t="s">
        <v>100</v>
      </c>
      <c r="C105" s="25" t="s">
        <v>13</v>
      </c>
      <c r="D105" s="45">
        <v>0</v>
      </c>
    </row>
    <row r="106" spans="1:4" ht="15.75" thickBot="1" x14ac:dyDescent="0.3">
      <c r="A106" s="24"/>
      <c r="B106" s="25" t="s">
        <v>101</v>
      </c>
      <c r="C106" s="25" t="s">
        <v>13</v>
      </c>
      <c r="D106" s="45">
        <v>302236.73</v>
      </c>
    </row>
    <row r="107" spans="1:4" ht="15.75" thickBot="1" x14ac:dyDescent="0.3">
      <c r="A107" s="24"/>
      <c r="B107" s="25" t="s">
        <v>102</v>
      </c>
      <c r="C107" s="25" t="s">
        <v>13</v>
      </c>
      <c r="D107" s="45">
        <f>D104</f>
        <v>345888.76</v>
      </c>
    </row>
    <row r="108" spans="1:4" ht="15.75" thickBot="1" x14ac:dyDescent="0.3">
      <c r="A108" s="24"/>
      <c r="B108" s="25" t="s">
        <v>103</v>
      </c>
      <c r="C108" s="25" t="s">
        <v>13</v>
      </c>
      <c r="D108" s="45">
        <v>0</v>
      </c>
    </row>
    <row r="109" spans="1:4" ht="15.75" thickBot="1" x14ac:dyDescent="0.3">
      <c r="A109" s="24"/>
      <c r="B109" s="29" t="s">
        <v>104</v>
      </c>
      <c r="C109" s="25" t="s">
        <v>13</v>
      </c>
      <c r="D109" s="44">
        <v>0</v>
      </c>
    </row>
    <row r="110" spans="1:4" ht="15.75" thickBot="1" x14ac:dyDescent="0.3">
      <c r="A110" s="40" t="s">
        <v>110</v>
      </c>
      <c r="B110" s="41" t="s">
        <v>93</v>
      </c>
      <c r="C110" s="42" t="s">
        <v>47</v>
      </c>
      <c r="D110" s="41" t="s">
        <v>111</v>
      </c>
    </row>
    <row r="111" spans="1:4" ht="15.75" thickBot="1" x14ac:dyDescent="0.3">
      <c r="A111" s="24"/>
      <c r="B111" s="29" t="s">
        <v>95</v>
      </c>
      <c r="C111" s="25" t="s">
        <v>47</v>
      </c>
      <c r="D111" s="29" t="s">
        <v>107</v>
      </c>
    </row>
    <row r="112" spans="1:4" ht="15.75" thickBot="1" x14ac:dyDescent="0.3">
      <c r="A112" s="24"/>
      <c r="B112" s="29" t="s">
        <v>97</v>
      </c>
      <c r="C112" s="25" t="s">
        <v>107</v>
      </c>
      <c r="D112" s="39">
        <v>11696.657300000001</v>
      </c>
    </row>
    <row r="113" spans="1:4" ht="15.75" thickBot="1" x14ac:dyDescent="0.3">
      <c r="A113" s="24"/>
      <c r="B113" s="29" t="s">
        <v>98</v>
      </c>
      <c r="C113" s="25" t="s">
        <v>13</v>
      </c>
      <c r="D113" s="39">
        <f>123188.82-2474.56</f>
        <v>120714.26000000001</v>
      </c>
    </row>
    <row r="114" spans="1:4" ht="15.75" thickBot="1" x14ac:dyDescent="0.3">
      <c r="A114" s="24"/>
      <c r="B114" s="25" t="s">
        <v>99</v>
      </c>
      <c r="C114" s="25" t="s">
        <v>13</v>
      </c>
      <c r="D114" s="43">
        <v>125160.26</v>
      </c>
    </row>
    <row r="115" spans="1:4" ht="15.75" thickBot="1" x14ac:dyDescent="0.3">
      <c r="A115" s="24"/>
      <c r="B115" s="25" t="s">
        <v>100</v>
      </c>
      <c r="C115" s="25" t="s">
        <v>13</v>
      </c>
      <c r="D115" s="43">
        <v>0</v>
      </c>
    </row>
    <row r="116" spans="1:4" ht="15.75" thickBot="1" x14ac:dyDescent="0.3">
      <c r="A116" s="24"/>
      <c r="B116" s="25" t="s">
        <v>101</v>
      </c>
      <c r="C116" s="25" t="s">
        <v>13</v>
      </c>
      <c r="D116" s="43">
        <v>135271.4</v>
      </c>
    </row>
    <row r="117" spans="1:4" ht="15.75" thickBot="1" x14ac:dyDescent="0.3">
      <c r="A117" s="24"/>
      <c r="B117" s="25" t="s">
        <v>102</v>
      </c>
      <c r="C117" s="25" t="s">
        <v>13</v>
      </c>
      <c r="D117" s="43">
        <f>D114</f>
        <v>125160.26</v>
      </c>
    </row>
    <row r="118" spans="1:4" ht="15.75" thickBot="1" x14ac:dyDescent="0.3">
      <c r="A118" s="24"/>
      <c r="B118" s="25" t="s">
        <v>103</v>
      </c>
      <c r="C118" s="25" t="s">
        <v>13</v>
      </c>
      <c r="D118" s="43">
        <v>0</v>
      </c>
    </row>
    <row r="119" spans="1:4" ht="15.75" thickBot="1" x14ac:dyDescent="0.3">
      <c r="A119" s="24"/>
      <c r="B119" s="29" t="s">
        <v>104</v>
      </c>
      <c r="C119" s="25" t="s">
        <v>13</v>
      </c>
      <c r="D119" s="39">
        <v>0</v>
      </c>
    </row>
    <row r="120" spans="1:4" x14ac:dyDescent="0.25">
      <c r="A120" s="46"/>
      <c r="B120" s="47"/>
      <c r="C120" s="48"/>
      <c r="D120" s="49"/>
    </row>
    <row r="121" spans="1:4" ht="15.75" thickBot="1" x14ac:dyDescent="0.3">
      <c r="A121" s="8" t="s">
        <v>112</v>
      </c>
      <c r="B121" s="2"/>
      <c r="C121" s="2"/>
      <c r="D121" s="2"/>
    </row>
    <row r="122" spans="1:4" ht="15.75" thickBot="1" x14ac:dyDescent="0.3">
      <c r="A122" s="22" t="s">
        <v>113</v>
      </c>
      <c r="B122" s="33" t="s">
        <v>73</v>
      </c>
      <c r="C122" s="32" t="s">
        <v>114</v>
      </c>
      <c r="D122" s="33">
        <v>0</v>
      </c>
    </row>
    <row r="123" spans="1:4" ht="15.75" thickBot="1" x14ac:dyDescent="0.3">
      <c r="A123" s="24" t="s">
        <v>115</v>
      </c>
      <c r="B123" s="29" t="s">
        <v>75</v>
      </c>
      <c r="C123" s="25" t="s">
        <v>114</v>
      </c>
      <c r="D123" s="29">
        <v>0</v>
      </c>
    </row>
    <row r="124" spans="1:4" ht="15.75" thickBot="1" x14ac:dyDescent="0.3">
      <c r="A124" s="24" t="s">
        <v>116</v>
      </c>
      <c r="B124" s="29" t="s">
        <v>77</v>
      </c>
      <c r="C124" s="25" t="s">
        <v>114</v>
      </c>
      <c r="D124" s="29">
        <v>0</v>
      </c>
    </row>
    <row r="125" spans="1:4" ht="15.75" thickBot="1" x14ac:dyDescent="0.3">
      <c r="A125" s="24" t="s">
        <v>117</v>
      </c>
      <c r="B125" s="29" t="s">
        <v>79</v>
      </c>
      <c r="C125" s="25" t="s">
        <v>13</v>
      </c>
      <c r="D125" s="39">
        <v>0</v>
      </c>
    </row>
    <row r="126" spans="1:4" x14ac:dyDescent="0.25">
      <c r="A126" s="2"/>
      <c r="B126" s="2"/>
      <c r="C126" s="2"/>
      <c r="D126" s="2"/>
    </row>
    <row r="127" spans="1:4" ht="15.75" thickBot="1" x14ac:dyDescent="0.3">
      <c r="A127" s="8" t="s">
        <v>118</v>
      </c>
      <c r="B127" s="2"/>
      <c r="C127" s="2"/>
      <c r="D127" s="2"/>
    </row>
    <row r="128" spans="1:4" ht="15.75" thickBot="1" x14ac:dyDescent="0.3">
      <c r="A128" s="34">
        <v>48</v>
      </c>
      <c r="B128" s="33" t="s">
        <v>119</v>
      </c>
      <c r="C128" s="32" t="s">
        <v>114</v>
      </c>
      <c r="D128" s="33">
        <v>4</v>
      </c>
    </row>
    <row r="129" spans="1:4" ht="15.75" thickBot="1" x14ac:dyDescent="0.3">
      <c r="A129" s="50">
        <v>49</v>
      </c>
      <c r="B129" s="29" t="s">
        <v>120</v>
      </c>
      <c r="C129" s="25" t="s">
        <v>114</v>
      </c>
      <c r="D129" s="29">
        <v>0</v>
      </c>
    </row>
    <row r="130" spans="1:4" ht="15.75" thickBot="1" x14ac:dyDescent="0.3">
      <c r="A130" s="51">
        <v>50</v>
      </c>
      <c r="B130" s="52" t="s">
        <v>121</v>
      </c>
      <c r="C130" s="53" t="s">
        <v>13</v>
      </c>
      <c r="D130" s="56">
        <f>74911.29</f>
        <v>74911.289999999994</v>
      </c>
    </row>
  </sheetData>
  <mergeCells count="2">
    <mergeCell ref="A5:D5"/>
    <mergeCell ref="A6:D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topLeftCell="A73" workbookViewId="0">
      <selection activeCell="D80" sqref="D80"/>
    </sheetView>
  </sheetViews>
  <sheetFormatPr defaultRowHeight="15" x14ac:dyDescent="0.25"/>
  <cols>
    <col min="2" max="2" width="66.5703125" customWidth="1"/>
    <col min="3" max="3" width="10.140625" customWidth="1"/>
    <col min="4" max="4" width="56.28515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144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145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7561.61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7561.61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359344.16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270877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84867.16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324840.33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239886.4+81353.93</f>
        <v>321240.32999999996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3600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359344.16-7561.61</f>
        <v>351782.55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28041.98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28041.98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64</v>
      </c>
      <c r="B52" s="27" t="s">
        <v>46</v>
      </c>
      <c r="C52" s="27" t="s">
        <v>47</v>
      </c>
      <c r="D52" s="28" t="s">
        <v>132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3808170471</v>
      </c>
    </row>
    <row r="56" spans="1:4" ht="15.75" thickBot="1" x14ac:dyDescent="0.3">
      <c r="A56" s="24" t="s">
        <v>66</v>
      </c>
      <c r="B56" s="27" t="s">
        <v>46</v>
      </c>
      <c r="C56" s="27" t="s">
        <v>47</v>
      </c>
      <c r="D56" s="28" t="s">
        <v>143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134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68</v>
      </c>
    </row>
    <row r="60" spans="1:4" ht="15.75" thickBot="1" x14ac:dyDescent="0.3">
      <c r="A60" s="24" t="s">
        <v>67</v>
      </c>
      <c r="B60" s="27" t="s">
        <v>46</v>
      </c>
      <c r="C60" s="27" t="s">
        <v>47</v>
      </c>
      <c r="D60" s="28" t="s">
        <v>146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70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3811171757</v>
      </c>
    </row>
    <row r="64" spans="1:4" ht="15.75" thickBot="1" x14ac:dyDescent="0.3">
      <c r="A64" s="24" t="s">
        <v>69</v>
      </c>
      <c r="B64" s="27" t="s">
        <v>46</v>
      </c>
      <c r="C64" s="27" t="s">
        <v>47</v>
      </c>
      <c r="D64" s="28" t="s">
        <v>147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70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57</v>
      </c>
    </row>
    <row r="67" spans="1:4" ht="15.75" thickBot="1" x14ac:dyDescent="0.3">
      <c r="A67" s="24"/>
      <c r="B67" s="25" t="s">
        <v>53</v>
      </c>
      <c r="C67" s="25" t="s">
        <v>47</v>
      </c>
      <c r="D67" s="30">
        <v>3811171757</v>
      </c>
    </row>
    <row r="68" spans="1:4" x14ac:dyDescent="0.25">
      <c r="A68" s="2"/>
      <c r="B68" s="2"/>
      <c r="C68" s="2"/>
      <c r="D68" s="2"/>
    </row>
    <row r="69" spans="1:4" ht="15.75" thickBot="1" x14ac:dyDescent="0.3">
      <c r="A69" s="8" t="s">
        <v>71</v>
      </c>
      <c r="B69" s="2"/>
      <c r="C69" s="2"/>
      <c r="D69" s="2"/>
    </row>
    <row r="70" spans="1:4" ht="15.75" thickBot="1" x14ac:dyDescent="0.3">
      <c r="A70" s="22" t="s">
        <v>72</v>
      </c>
      <c r="B70" s="32" t="s">
        <v>73</v>
      </c>
      <c r="C70" s="32" t="s">
        <v>47</v>
      </c>
      <c r="D70" s="33">
        <v>0</v>
      </c>
    </row>
    <row r="71" spans="1:4" ht="15.75" thickBot="1" x14ac:dyDescent="0.3">
      <c r="A71" s="24" t="s">
        <v>74</v>
      </c>
      <c r="B71" s="25" t="s">
        <v>75</v>
      </c>
      <c r="C71" s="25" t="s">
        <v>47</v>
      </c>
      <c r="D71" s="29">
        <v>0</v>
      </c>
    </row>
    <row r="72" spans="1:4" ht="15.75" thickBot="1" x14ac:dyDescent="0.3">
      <c r="A72" s="24" t="s">
        <v>76</v>
      </c>
      <c r="B72" s="25" t="s">
        <v>77</v>
      </c>
      <c r="C72" s="25" t="s">
        <v>47</v>
      </c>
      <c r="D72" s="29">
        <v>0</v>
      </c>
    </row>
    <row r="73" spans="1:4" ht="15.75" thickBot="1" x14ac:dyDescent="0.3">
      <c r="A73" s="22" t="s">
        <v>78</v>
      </c>
      <c r="B73" s="34" t="s">
        <v>79</v>
      </c>
      <c r="C73" s="34" t="s">
        <v>13</v>
      </c>
      <c r="D73" s="35">
        <v>0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80</v>
      </c>
      <c r="B75" s="2"/>
      <c r="C75" s="2"/>
      <c r="D75" s="2"/>
    </row>
    <row r="76" spans="1:4" ht="15.75" thickBot="1" x14ac:dyDescent="0.3">
      <c r="A76" s="36" t="s">
        <v>81</v>
      </c>
      <c r="B76" s="33" t="s">
        <v>82</v>
      </c>
      <c r="C76" s="32" t="s">
        <v>13</v>
      </c>
      <c r="D76" s="37">
        <f>D78+D77</f>
        <v>163789.03999999998</v>
      </c>
    </row>
    <row r="77" spans="1:4" ht="15.75" thickBot="1" x14ac:dyDescent="0.3">
      <c r="A77" s="38" t="s">
        <v>83</v>
      </c>
      <c r="B77" s="25" t="s">
        <v>84</v>
      </c>
      <c r="C77" s="25" t="s">
        <v>13</v>
      </c>
      <c r="D77" s="39">
        <f>-(1128.57+2662.78+194.76+300.92+281.35)</f>
        <v>-4568.380000000001</v>
      </c>
    </row>
    <row r="78" spans="1:4" ht="15.75" thickBot="1" x14ac:dyDescent="0.3">
      <c r="A78" s="38" t="s">
        <v>85</v>
      </c>
      <c r="B78" s="25" t="s">
        <v>86</v>
      </c>
      <c r="C78" s="25" t="s">
        <v>13</v>
      </c>
      <c r="D78" s="39">
        <f>93741.11+7725.6+49638.66+16747.4+46.32+458.33</f>
        <v>168357.41999999998</v>
      </c>
    </row>
    <row r="79" spans="1:4" ht="15.75" thickBot="1" x14ac:dyDescent="0.3">
      <c r="A79" s="38" t="s">
        <v>87</v>
      </c>
      <c r="B79" s="29" t="s">
        <v>88</v>
      </c>
      <c r="C79" s="25" t="s">
        <v>13</v>
      </c>
      <c r="D79" s="39">
        <f>D81+D80</f>
        <v>223738.24999999997</v>
      </c>
    </row>
    <row r="80" spans="1:4" ht="15.75" thickBot="1" x14ac:dyDescent="0.3">
      <c r="A80" s="38" t="s">
        <v>89</v>
      </c>
      <c r="B80" s="25" t="s">
        <v>84</v>
      </c>
      <c r="C80" s="25" t="s">
        <v>13</v>
      </c>
      <c r="D80" s="39">
        <f>-(16.97+226+512.3+105.46+826.48+953.04)</f>
        <v>-2640.25</v>
      </c>
    </row>
    <row r="81" spans="1:4" ht="15.75" thickBot="1" x14ac:dyDescent="0.3">
      <c r="A81" s="38" t="s">
        <v>90</v>
      </c>
      <c r="B81" s="25" t="s">
        <v>86</v>
      </c>
      <c r="C81" s="25" t="s">
        <v>13</v>
      </c>
      <c r="D81" s="39">
        <f>121879.99+13683.72+65374.71+24782.9+70.66+586.52</f>
        <v>226378.49999999997</v>
      </c>
    </row>
    <row r="82" spans="1:4" x14ac:dyDescent="0.25">
      <c r="A82" s="2"/>
      <c r="B82" s="2"/>
      <c r="C82" s="2"/>
      <c r="D82" s="2"/>
    </row>
    <row r="83" spans="1:4" ht="15.75" thickBot="1" x14ac:dyDescent="0.3">
      <c r="A83" s="8" t="s">
        <v>91</v>
      </c>
      <c r="B83" s="2"/>
      <c r="C83" s="2"/>
      <c r="D83" s="2"/>
    </row>
    <row r="84" spans="1:4" ht="15.75" thickBot="1" x14ac:dyDescent="0.3">
      <c r="A84" s="40" t="s">
        <v>92</v>
      </c>
      <c r="B84" s="41" t="s">
        <v>93</v>
      </c>
      <c r="C84" s="42" t="s">
        <v>47</v>
      </c>
      <c r="D84" s="41" t="s">
        <v>94</v>
      </c>
    </row>
    <row r="85" spans="1:4" ht="15.75" thickBot="1" x14ac:dyDescent="0.3">
      <c r="A85" s="24"/>
      <c r="B85" s="29" t="s">
        <v>95</v>
      </c>
      <c r="C85" s="25" t="s">
        <v>47</v>
      </c>
      <c r="D85" s="29" t="s">
        <v>96</v>
      </c>
    </row>
    <row r="86" spans="1:4" ht="15.75" thickBot="1" x14ac:dyDescent="0.3">
      <c r="A86" s="24"/>
      <c r="B86" s="29" t="s">
        <v>97</v>
      </c>
      <c r="C86" s="25" t="s">
        <v>96</v>
      </c>
      <c r="D86" s="39">
        <v>380.04169999999999</v>
      </c>
    </row>
    <row r="87" spans="1:4" ht="15.75" thickBot="1" x14ac:dyDescent="0.3">
      <c r="A87" s="24"/>
      <c r="B87" s="29" t="s">
        <v>98</v>
      </c>
      <c r="C87" s="25" t="s">
        <v>13</v>
      </c>
      <c r="D87" s="39">
        <f>379475.1+2310.83</f>
        <v>381785.93</v>
      </c>
    </row>
    <row r="88" spans="1:4" ht="15.75" thickBot="1" x14ac:dyDescent="0.3">
      <c r="A88" s="24"/>
      <c r="B88" s="25" t="s">
        <v>99</v>
      </c>
      <c r="C88" s="25" t="s">
        <v>13</v>
      </c>
      <c r="D88" s="43">
        <v>353664.02</v>
      </c>
    </row>
    <row r="89" spans="1:4" ht="15.75" thickBot="1" x14ac:dyDescent="0.3">
      <c r="A89" s="24"/>
      <c r="B89" s="25" t="s">
        <v>100</v>
      </c>
      <c r="C89" s="25" t="s">
        <v>13</v>
      </c>
      <c r="D89" s="43">
        <f>D87-D88</f>
        <v>28121.909999999974</v>
      </c>
    </row>
    <row r="90" spans="1:4" ht="15.75" thickBot="1" x14ac:dyDescent="0.3">
      <c r="A90" s="24"/>
      <c r="B90" s="25" t="s">
        <v>101</v>
      </c>
      <c r="C90" s="25" t="s">
        <v>13</v>
      </c>
      <c r="D90" s="43">
        <v>345546.7</v>
      </c>
    </row>
    <row r="91" spans="1:4" ht="15.75" thickBot="1" x14ac:dyDescent="0.3">
      <c r="A91" s="24"/>
      <c r="B91" s="25" t="s">
        <v>102</v>
      </c>
      <c r="C91" s="25" t="s">
        <v>13</v>
      </c>
      <c r="D91" s="43">
        <f>D88</f>
        <v>353664.02</v>
      </c>
    </row>
    <row r="92" spans="1:4" ht="15.75" thickBot="1" x14ac:dyDescent="0.3">
      <c r="A92" s="24"/>
      <c r="B92" s="25" t="s">
        <v>103</v>
      </c>
      <c r="C92" s="25" t="s">
        <v>13</v>
      </c>
      <c r="D92" s="43">
        <f>D89</f>
        <v>28121.909999999974</v>
      </c>
    </row>
    <row r="93" spans="1:4" ht="15.75" thickBot="1" x14ac:dyDescent="0.3">
      <c r="A93" s="24"/>
      <c r="B93" s="29" t="s">
        <v>104</v>
      </c>
      <c r="C93" s="25" t="s">
        <v>13</v>
      </c>
      <c r="D93" s="39">
        <v>0</v>
      </c>
    </row>
    <row r="94" spans="1:4" ht="15.75" thickBot="1" x14ac:dyDescent="0.3">
      <c r="A94" s="40" t="s">
        <v>105</v>
      </c>
      <c r="B94" s="41" t="s">
        <v>93</v>
      </c>
      <c r="C94" s="42" t="s">
        <v>47</v>
      </c>
      <c r="D94" s="41" t="s">
        <v>106</v>
      </c>
    </row>
    <row r="95" spans="1:4" ht="15.75" thickBot="1" x14ac:dyDescent="0.3">
      <c r="A95" s="24"/>
      <c r="B95" s="29" t="s">
        <v>95</v>
      </c>
      <c r="C95" s="25" t="s">
        <v>47</v>
      </c>
      <c r="D95" s="29" t="s">
        <v>107</v>
      </c>
    </row>
    <row r="96" spans="1:4" ht="15.75" thickBot="1" x14ac:dyDescent="0.3">
      <c r="A96" s="24"/>
      <c r="B96" s="29" t="s">
        <v>97</v>
      </c>
      <c r="C96" s="25" t="s">
        <v>107</v>
      </c>
      <c r="D96" s="44">
        <v>2870.6527000000001</v>
      </c>
    </row>
    <row r="97" spans="1:4" ht="15.75" thickBot="1" x14ac:dyDescent="0.3">
      <c r="A97" s="24"/>
      <c r="B97" s="29" t="s">
        <v>98</v>
      </c>
      <c r="C97" s="25" t="s">
        <v>13</v>
      </c>
      <c r="D97" s="44">
        <f>314.4+813.55+29254.6-223.72</f>
        <v>30158.829999999998</v>
      </c>
    </row>
    <row r="98" spans="1:4" ht="15.75" thickBot="1" x14ac:dyDescent="0.3">
      <c r="A98" s="24"/>
      <c r="B98" s="25" t="s">
        <v>99</v>
      </c>
      <c r="C98" s="25" t="s">
        <v>13</v>
      </c>
      <c r="D98" s="45">
        <f>1665.17+22170.19</f>
        <v>23835.360000000001</v>
      </c>
    </row>
    <row r="99" spans="1:4" ht="15.75" thickBot="1" x14ac:dyDescent="0.3">
      <c r="A99" s="24"/>
      <c r="B99" s="25" t="s">
        <v>100</v>
      </c>
      <c r="C99" s="25" t="s">
        <v>13</v>
      </c>
      <c r="D99" s="45">
        <f>D97-D98</f>
        <v>6323.4699999999975</v>
      </c>
    </row>
    <row r="100" spans="1:4" ht="15.75" thickBot="1" x14ac:dyDescent="0.3">
      <c r="A100" s="24"/>
      <c r="B100" s="25" t="s">
        <v>101</v>
      </c>
      <c r="C100" s="25" t="s">
        <v>13</v>
      </c>
      <c r="D100" s="45">
        <v>30090.68</v>
      </c>
    </row>
    <row r="101" spans="1:4" ht="15.75" thickBot="1" x14ac:dyDescent="0.3">
      <c r="A101" s="24"/>
      <c r="B101" s="25" t="s">
        <v>102</v>
      </c>
      <c r="C101" s="25" t="s">
        <v>13</v>
      </c>
      <c r="D101" s="45">
        <f>D98</f>
        <v>23835.360000000001</v>
      </c>
    </row>
    <row r="102" spans="1:4" ht="15.75" thickBot="1" x14ac:dyDescent="0.3">
      <c r="A102" s="24"/>
      <c r="B102" s="25" t="s">
        <v>103</v>
      </c>
      <c r="C102" s="25" t="s">
        <v>13</v>
      </c>
      <c r="D102" s="45">
        <f>D99</f>
        <v>6323.4699999999975</v>
      </c>
    </row>
    <row r="103" spans="1:4" ht="15.75" thickBot="1" x14ac:dyDescent="0.3">
      <c r="A103" s="24"/>
      <c r="B103" s="29" t="s">
        <v>104</v>
      </c>
      <c r="C103" s="25" t="s">
        <v>13</v>
      </c>
      <c r="D103" s="44">
        <v>0</v>
      </c>
    </row>
    <row r="104" spans="1:4" ht="15.75" thickBot="1" x14ac:dyDescent="0.3">
      <c r="A104" s="40" t="s">
        <v>108</v>
      </c>
      <c r="B104" s="41" t="s">
        <v>93</v>
      </c>
      <c r="C104" s="42" t="s">
        <v>47</v>
      </c>
      <c r="D104" s="41" t="s">
        <v>109</v>
      </c>
    </row>
    <row r="105" spans="1:4" ht="15.75" thickBot="1" x14ac:dyDescent="0.3">
      <c r="A105" s="24"/>
      <c r="B105" s="29" t="s">
        <v>95</v>
      </c>
      <c r="C105" s="25" t="s">
        <v>47</v>
      </c>
      <c r="D105" s="29" t="s">
        <v>107</v>
      </c>
    </row>
    <row r="106" spans="1:4" ht="15.75" thickBot="1" x14ac:dyDescent="0.3">
      <c r="A106" s="24"/>
      <c r="B106" s="29" t="s">
        <v>97</v>
      </c>
      <c r="C106" s="25" t="s">
        <v>107</v>
      </c>
      <c r="D106" s="44">
        <v>1904.6531</v>
      </c>
    </row>
    <row r="107" spans="1:4" ht="15.75" thickBot="1" x14ac:dyDescent="0.3">
      <c r="A107" s="24"/>
      <c r="B107" s="29" t="s">
        <v>98</v>
      </c>
      <c r="C107" s="25" t="s">
        <v>13</v>
      </c>
      <c r="D107" s="44">
        <f>133546.86+818.96+2843.02+780.58</f>
        <v>137989.41999999995</v>
      </c>
    </row>
    <row r="108" spans="1:4" ht="15.75" thickBot="1" x14ac:dyDescent="0.3">
      <c r="A108" s="24"/>
      <c r="B108" s="25" t="s">
        <v>99</v>
      </c>
      <c r="C108" s="25" t="s">
        <v>13</v>
      </c>
      <c r="D108" s="45">
        <f>116479.29+4167.1</f>
        <v>120646.39</v>
      </c>
    </row>
    <row r="109" spans="1:4" ht="15.75" thickBot="1" x14ac:dyDescent="0.3">
      <c r="A109" s="24"/>
      <c r="B109" s="25" t="s">
        <v>100</v>
      </c>
      <c r="C109" s="25" t="s">
        <v>13</v>
      </c>
      <c r="D109" s="45">
        <f>D107-D108</f>
        <v>17343.029999999955</v>
      </c>
    </row>
    <row r="110" spans="1:4" ht="15.75" thickBot="1" x14ac:dyDescent="0.3">
      <c r="A110" s="24"/>
      <c r="B110" s="25" t="s">
        <v>101</v>
      </c>
      <c r="C110" s="25" t="s">
        <v>13</v>
      </c>
      <c r="D110" s="45">
        <v>191131.4</v>
      </c>
    </row>
    <row r="111" spans="1:4" ht="15.75" thickBot="1" x14ac:dyDescent="0.3">
      <c r="A111" s="24"/>
      <c r="B111" s="25" t="s">
        <v>102</v>
      </c>
      <c r="C111" s="25" t="s">
        <v>13</v>
      </c>
      <c r="D111" s="45">
        <f>D108</f>
        <v>120646.39</v>
      </c>
    </row>
    <row r="112" spans="1:4" ht="15.75" thickBot="1" x14ac:dyDescent="0.3">
      <c r="A112" s="24"/>
      <c r="B112" s="25" t="s">
        <v>103</v>
      </c>
      <c r="C112" s="25" t="s">
        <v>13</v>
      </c>
      <c r="D112" s="45">
        <f>D109</f>
        <v>17343.029999999955</v>
      </c>
    </row>
    <row r="113" spans="1:4" ht="15.75" thickBot="1" x14ac:dyDescent="0.3">
      <c r="A113" s="24"/>
      <c r="B113" s="29" t="s">
        <v>104</v>
      </c>
      <c r="C113" s="25" t="s">
        <v>13</v>
      </c>
      <c r="D113" s="44">
        <v>0</v>
      </c>
    </row>
    <row r="114" spans="1:4" ht="15.75" thickBot="1" x14ac:dyDescent="0.3">
      <c r="A114" s="40" t="s">
        <v>110</v>
      </c>
      <c r="B114" s="41" t="s">
        <v>93</v>
      </c>
      <c r="C114" s="42" t="s">
        <v>47</v>
      </c>
      <c r="D114" s="41" t="s">
        <v>111</v>
      </c>
    </row>
    <row r="115" spans="1:4" ht="15.75" thickBot="1" x14ac:dyDescent="0.3">
      <c r="A115" s="24"/>
      <c r="B115" s="29" t="s">
        <v>95</v>
      </c>
      <c r="C115" s="25" t="s">
        <v>47</v>
      </c>
      <c r="D115" s="29" t="s">
        <v>107</v>
      </c>
    </row>
    <row r="116" spans="1:4" ht="15.75" thickBot="1" x14ac:dyDescent="0.3">
      <c r="A116" s="24"/>
      <c r="B116" s="29" t="s">
        <v>97</v>
      </c>
      <c r="C116" s="25" t="s">
        <v>107</v>
      </c>
      <c r="D116" s="39">
        <v>4775.3009000000002</v>
      </c>
    </row>
    <row r="117" spans="1:4" ht="15.75" thickBot="1" x14ac:dyDescent="0.3">
      <c r="A117" s="24"/>
      <c r="B117" s="29" t="s">
        <v>98</v>
      </c>
      <c r="C117" s="25" t="s">
        <v>13</v>
      </c>
      <c r="D117" s="39">
        <f>50410.33-596.94</f>
        <v>49813.39</v>
      </c>
    </row>
    <row r="118" spans="1:4" ht="15.75" thickBot="1" x14ac:dyDescent="0.3">
      <c r="A118" s="24"/>
      <c r="B118" s="25" t="s">
        <v>99</v>
      </c>
      <c r="C118" s="25" t="s">
        <v>13</v>
      </c>
      <c r="D118" s="43">
        <v>41688.589999999997</v>
      </c>
    </row>
    <row r="119" spans="1:4" ht="15.75" thickBot="1" x14ac:dyDescent="0.3">
      <c r="A119" s="24"/>
      <c r="B119" s="25" t="s">
        <v>100</v>
      </c>
      <c r="C119" s="25" t="s">
        <v>13</v>
      </c>
      <c r="D119" s="43">
        <f>D117-D118</f>
        <v>8124.8000000000029</v>
      </c>
    </row>
    <row r="120" spans="1:4" ht="15.75" thickBot="1" x14ac:dyDescent="0.3">
      <c r="A120" s="24"/>
      <c r="B120" s="25" t="s">
        <v>101</v>
      </c>
      <c r="C120" s="25" t="s">
        <v>13</v>
      </c>
      <c r="D120" s="43">
        <v>55183.31</v>
      </c>
    </row>
    <row r="121" spans="1:4" ht="15.75" thickBot="1" x14ac:dyDescent="0.3">
      <c r="A121" s="24"/>
      <c r="B121" s="25" t="s">
        <v>102</v>
      </c>
      <c r="C121" s="25" t="s">
        <v>13</v>
      </c>
      <c r="D121" s="43">
        <f>D118</f>
        <v>41688.589999999997</v>
      </c>
    </row>
    <row r="122" spans="1:4" ht="15.75" thickBot="1" x14ac:dyDescent="0.3">
      <c r="A122" s="24"/>
      <c r="B122" s="25" t="s">
        <v>103</v>
      </c>
      <c r="C122" s="25" t="s">
        <v>13</v>
      </c>
      <c r="D122" s="43">
        <f>D119</f>
        <v>8124.8000000000029</v>
      </c>
    </row>
    <row r="123" spans="1:4" ht="15.75" thickBot="1" x14ac:dyDescent="0.3">
      <c r="A123" s="24"/>
      <c r="B123" s="29" t="s">
        <v>104</v>
      </c>
      <c r="C123" s="25" t="s">
        <v>13</v>
      </c>
      <c r="D123" s="39">
        <v>0</v>
      </c>
    </row>
    <row r="124" spans="1:4" x14ac:dyDescent="0.25">
      <c r="A124" s="46"/>
      <c r="B124" s="47"/>
      <c r="C124" s="48"/>
      <c r="D124" s="49"/>
    </row>
    <row r="125" spans="1:4" ht="15.75" thickBot="1" x14ac:dyDescent="0.3">
      <c r="A125" s="8" t="s">
        <v>112</v>
      </c>
      <c r="B125" s="2"/>
      <c r="C125" s="2"/>
      <c r="D125" s="2"/>
    </row>
    <row r="126" spans="1:4" ht="15.75" thickBot="1" x14ac:dyDescent="0.3">
      <c r="A126" s="22" t="s">
        <v>113</v>
      </c>
      <c r="B126" s="33" t="s">
        <v>73</v>
      </c>
      <c r="C126" s="32" t="s">
        <v>114</v>
      </c>
      <c r="D126" s="33">
        <v>0</v>
      </c>
    </row>
    <row r="127" spans="1:4" ht="15.75" thickBot="1" x14ac:dyDescent="0.3">
      <c r="A127" s="24" t="s">
        <v>115</v>
      </c>
      <c r="B127" s="29" t="s">
        <v>75</v>
      </c>
      <c r="C127" s="25" t="s">
        <v>114</v>
      </c>
      <c r="D127" s="29">
        <v>0</v>
      </c>
    </row>
    <row r="128" spans="1:4" ht="15.75" thickBot="1" x14ac:dyDescent="0.3">
      <c r="A128" s="24" t="s">
        <v>116</v>
      </c>
      <c r="B128" s="29" t="s">
        <v>77</v>
      </c>
      <c r="C128" s="25" t="s">
        <v>114</v>
      </c>
      <c r="D128" s="29">
        <v>0</v>
      </c>
    </row>
    <row r="129" spans="1:4" ht="15.75" thickBot="1" x14ac:dyDescent="0.3">
      <c r="A129" s="24" t="s">
        <v>117</v>
      </c>
      <c r="B129" s="29" t="s">
        <v>79</v>
      </c>
      <c r="C129" s="25" t="s">
        <v>13</v>
      </c>
      <c r="D129" s="39">
        <v>0</v>
      </c>
    </row>
    <row r="130" spans="1:4" x14ac:dyDescent="0.25">
      <c r="A130" s="2"/>
      <c r="B130" s="2"/>
      <c r="C130" s="2"/>
      <c r="D130" s="2"/>
    </row>
    <row r="131" spans="1:4" ht="15.75" thickBot="1" x14ac:dyDescent="0.3">
      <c r="A131" s="8" t="s">
        <v>118</v>
      </c>
      <c r="B131" s="2"/>
      <c r="C131" s="2"/>
      <c r="D131" s="2"/>
    </row>
    <row r="132" spans="1:4" ht="15.75" thickBot="1" x14ac:dyDescent="0.3">
      <c r="A132" s="34">
        <v>48</v>
      </c>
      <c r="B132" s="33" t="s">
        <v>119</v>
      </c>
      <c r="C132" s="32" t="s">
        <v>114</v>
      </c>
      <c r="D132" s="33">
        <v>2</v>
      </c>
    </row>
    <row r="133" spans="1:4" ht="15.75" thickBot="1" x14ac:dyDescent="0.3">
      <c r="A133" s="50">
        <v>49</v>
      </c>
      <c r="B133" s="29" t="s">
        <v>120</v>
      </c>
      <c r="C133" s="25" t="s">
        <v>114</v>
      </c>
      <c r="D133" s="29">
        <v>2</v>
      </c>
    </row>
    <row r="134" spans="1:4" ht="15.75" thickBot="1" x14ac:dyDescent="0.3">
      <c r="A134" s="51">
        <v>50</v>
      </c>
      <c r="B134" s="52" t="s">
        <v>121</v>
      </c>
      <c r="C134" s="53" t="s">
        <v>13</v>
      </c>
      <c r="D134" s="56">
        <v>31130.02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topLeftCell="A52" workbookViewId="0">
      <selection activeCell="D60" sqref="D60:D63"/>
    </sheetView>
  </sheetViews>
  <sheetFormatPr defaultRowHeight="15" x14ac:dyDescent="0.25"/>
  <cols>
    <col min="2" max="2" width="67.85546875" customWidth="1"/>
    <col min="3" max="3" width="11.7109375" customWidth="1"/>
    <col min="4" max="4" width="55.855468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320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321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2820.06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2820.06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623722.92000000004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438681.59999999998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167641.32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575816.99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404349.69+153617.3</f>
        <v>557966.99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17850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D20+D14</f>
        <v>578637.05000000005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290161.64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290161.64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132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3808170471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143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134</v>
      </c>
    </row>
    <row r="58" spans="1:4" ht="15.75" thickBot="1" x14ac:dyDescent="0.3">
      <c r="A58" s="24"/>
      <c r="B58" s="25" t="s">
        <v>51</v>
      </c>
      <c r="C58" s="25" t="s">
        <v>47</v>
      </c>
      <c r="D58" s="55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68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309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310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65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3812140511</v>
      </c>
    </row>
    <row r="64" spans="1:4" x14ac:dyDescent="0.25">
      <c r="A64" s="2"/>
      <c r="B64" s="2"/>
      <c r="C64" s="2"/>
      <c r="D64" s="2"/>
    </row>
    <row r="65" spans="1:4" ht="15.75" thickBot="1" x14ac:dyDescent="0.3">
      <c r="A65" s="8" t="s">
        <v>71</v>
      </c>
      <c r="B65" s="2"/>
      <c r="C65" s="2"/>
      <c r="D65" s="2"/>
    </row>
    <row r="66" spans="1:4" ht="15.75" thickBot="1" x14ac:dyDescent="0.3">
      <c r="A66" s="22" t="s">
        <v>72</v>
      </c>
      <c r="B66" s="32" t="s">
        <v>73</v>
      </c>
      <c r="C66" s="32" t="s">
        <v>47</v>
      </c>
      <c r="D66" s="33">
        <v>0</v>
      </c>
    </row>
    <row r="67" spans="1:4" ht="15.75" thickBot="1" x14ac:dyDescent="0.3">
      <c r="A67" s="24" t="s">
        <v>74</v>
      </c>
      <c r="B67" s="25" t="s">
        <v>75</v>
      </c>
      <c r="C67" s="25" t="s">
        <v>47</v>
      </c>
      <c r="D67" s="29">
        <v>0</v>
      </c>
    </row>
    <row r="68" spans="1:4" ht="15.75" thickBot="1" x14ac:dyDescent="0.3">
      <c r="A68" s="24" t="s">
        <v>76</v>
      </c>
      <c r="B68" s="25" t="s">
        <v>77</v>
      </c>
      <c r="C68" s="25" t="s">
        <v>47</v>
      </c>
      <c r="D68" s="29">
        <v>0</v>
      </c>
    </row>
    <row r="69" spans="1:4" ht="15.75" thickBot="1" x14ac:dyDescent="0.3">
      <c r="A69" s="22" t="s">
        <v>78</v>
      </c>
      <c r="B69" s="34" t="s">
        <v>79</v>
      </c>
      <c r="C69" s="34" t="s">
        <v>13</v>
      </c>
      <c r="D69" s="35">
        <v>0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80</v>
      </c>
      <c r="B71" s="2"/>
      <c r="C71" s="2"/>
      <c r="D71" s="2"/>
    </row>
    <row r="72" spans="1:4" ht="15.75" thickBot="1" x14ac:dyDescent="0.3">
      <c r="A72" s="36" t="s">
        <v>81</v>
      </c>
      <c r="B72" s="33" t="s">
        <v>82</v>
      </c>
      <c r="C72" s="32" t="s">
        <v>13</v>
      </c>
      <c r="D72" s="37">
        <f>-(D74-D73)</f>
        <v>84046.599999999991</v>
      </c>
    </row>
    <row r="73" spans="1:4" ht="15.75" thickBot="1" x14ac:dyDescent="0.3">
      <c r="A73" s="38" t="s">
        <v>83</v>
      </c>
      <c r="B73" s="25" t="s">
        <v>84</v>
      </c>
      <c r="C73" s="25" t="s">
        <v>13</v>
      </c>
      <c r="D73" s="39">
        <f>122499.71+2824.65+18535.46+19286.48+730.09+9339.55</f>
        <v>173215.94</v>
      </c>
    </row>
    <row r="74" spans="1:4" ht="15.75" thickBot="1" x14ac:dyDescent="0.3">
      <c r="A74" s="38" t="s">
        <v>85</v>
      </c>
      <c r="B74" s="25" t="s">
        <v>86</v>
      </c>
      <c r="C74" s="25" t="s">
        <v>13</v>
      </c>
      <c r="D74" s="39">
        <f>24047.04+7029.7+43017.67+14386.63+78.86+609.44</f>
        <v>89169.340000000011</v>
      </c>
    </row>
    <row r="75" spans="1:4" ht="15.75" thickBot="1" x14ac:dyDescent="0.3">
      <c r="A75" s="38" t="s">
        <v>87</v>
      </c>
      <c r="B75" s="29" t="s">
        <v>88</v>
      </c>
      <c r="C75" s="25" t="s">
        <v>13</v>
      </c>
      <c r="D75" s="39">
        <f>D77-D76</f>
        <v>275815.19</v>
      </c>
    </row>
    <row r="76" spans="1:4" ht="15.75" thickBot="1" x14ac:dyDescent="0.3">
      <c r="A76" s="38" t="s">
        <v>89</v>
      </c>
      <c r="B76" s="25" t="s">
        <v>84</v>
      </c>
      <c r="C76" s="25" t="s">
        <v>13</v>
      </c>
      <c r="D76" s="39">
        <f>3096.52+2500.92+5397.31+3165.42+1971.89+2790.34</f>
        <v>18922.400000000001</v>
      </c>
    </row>
    <row r="77" spans="1:4" ht="15.75" thickBot="1" x14ac:dyDescent="0.3">
      <c r="A77" s="38" t="s">
        <v>90</v>
      </c>
      <c r="B77" s="25" t="s">
        <v>86</v>
      </c>
      <c r="C77" s="25" t="s">
        <v>13</v>
      </c>
      <c r="D77" s="39">
        <f>186139.46+14932.6+70736.95+22693.18+20.31+215.09</f>
        <v>294737.59000000003</v>
      </c>
    </row>
    <row r="78" spans="1:4" x14ac:dyDescent="0.25">
      <c r="A78" s="2"/>
      <c r="B78" s="2"/>
      <c r="C78" s="2"/>
      <c r="D78" s="2"/>
    </row>
    <row r="79" spans="1:4" ht="15.75" thickBot="1" x14ac:dyDescent="0.3">
      <c r="A79" s="8" t="s">
        <v>91</v>
      </c>
      <c r="B79" s="2"/>
      <c r="C79" s="2"/>
      <c r="D79" s="2"/>
    </row>
    <row r="80" spans="1:4" ht="15.75" thickBot="1" x14ac:dyDescent="0.3">
      <c r="A80" s="40" t="s">
        <v>92</v>
      </c>
      <c r="B80" s="41" t="s">
        <v>93</v>
      </c>
      <c r="C80" s="42" t="s">
        <v>47</v>
      </c>
      <c r="D80" s="41" t="s">
        <v>94</v>
      </c>
    </row>
    <row r="81" spans="1:4" ht="15.75" thickBot="1" x14ac:dyDescent="0.3">
      <c r="A81" s="24"/>
      <c r="B81" s="29" t="s">
        <v>95</v>
      </c>
      <c r="C81" s="25" t="s">
        <v>47</v>
      </c>
      <c r="D81" s="29" t="s">
        <v>96</v>
      </c>
    </row>
    <row r="82" spans="1:4" ht="15.75" thickBot="1" x14ac:dyDescent="0.3">
      <c r="A82" s="24"/>
      <c r="B82" s="29" t="s">
        <v>97</v>
      </c>
      <c r="C82" s="25" t="s">
        <v>96</v>
      </c>
      <c r="D82" s="39">
        <v>473.32709999999997</v>
      </c>
    </row>
    <row r="83" spans="1:4" ht="15.75" thickBot="1" x14ac:dyDescent="0.3">
      <c r="A83" s="24"/>
      <c r="B83" s="29" t="s">
        <v>98</v>
      </c>
      <c r="C83" s="25" t="s">
        <v>13</v>
      </c>
      <c r="D83" s="39">
        <f>471822.01+45468.31</f>
        <v>517290.32</v>
      </c>
    </row>
    <row r="84" spans="1:4" ht="15.75" thickBot="1" x14ac:dyDescent="0.3">
      <c r="A84" s="24"/>
      <c r="B84" s="25" t="s">
        <v>99</v>
      </c>
      <c r="C84" s="25" t="s">
        <v>13</v>
      </c>
      <c r="D84" s="43">
        <v>235794.71</v>
      </c>
    </row>
    <row r="85" spans="1:4" ht="15.75" thickBot="1" x14ac:dyDescent="0.3">
      <c r="A85" s="24"/>
      <c r="B85" s="25" t="s">
        <v>100</v>
      </c>
      <c r="C85" s="25" t="s">
        <v>13</v>
      </c>
      <c r="D85" s="43">
        <f>D83-D84</f>
        <v>281495.61</v>
      </c>
    </row>
    <row r="86" spans="1:4" ht="15.75" thickBot="1" x14ac:dyDescent="0.3">
      <c r="A86" s="24"/>
      <c r="B86" s="25" t="s">
        <v>101</v>
      </c>
      <c r="C86" s="25" t="s">
        <v>13</v>
      </c>
      <c r="D86" s="43">
        <v>514589.5</v>
      </c>
    </row>
    <row r="87" spans="1:4" ht="15.75" thickBot="1" x14ac:dyDescent="0.3">
      <c r="A87" s="24"/>
      <c r="B87" s="25" t="s">
        <v>102</v>
      </c>
      <c r="C87" s="25" t="s">
        <v>13</v>
      </c>
      <c r="D87" s="43">
        <f>D84</f>
        <v>235794.71</v>
      </c>
    </row>
    <row r="88" spans="1:4" ht="15.75" thickBot="1" x14ac:dyDescent="0.3">
      <c r="A88" s="24"/>
      <c r="B88" s="25" t="s">
        <v>103</v>
      </c>
      <c r="C88" s="25" t="s">
        <v>13</v>
      </c>
      <c r="D88" s="43">
        <f>D85</f>
        <v>281495.61</v>
      </c>
    </row>
    <row r="89" spans="1:4" ht="15.75" thickBot="1" x14ac:dyDescent="0.3">
      <c r="A89" s="24"/>
      <c r="B89" s="29" t="s">
        <v>104</v>
      </c>
      <c r="C89" s="25" t="s">
        <v>13</v>
      </c>
      <c r="D89" s="39">
        <v>0</v>
      </c>
    </row>
    <row r="90" spans="1:4" ht="15.75" thickBot="1" x14ac:dyDescent="0.3">
      <c r="A90" s="40" t="s">
        <v>105</v>
      </c>
      <c r="B90" s="41" t="s">
        <v>93</v>
      </c>
      <c r="C90" s="42" t="s">
        <v>47</v>
      </c>
      <c r="D90" s="41" t="s">
        <v>106</v>
      </c>
    </row>
    <row r="91" spans="1:4" ht="15.75" thickBot="1" x14ac:dyDescent="0.3">
      <c r="A91" s="24"/>
      <c r="B91" s="29" t="s">
        <v>95</v>
      </c>
      <c r="C91" s="25" t="s">
        <v>47</v>
      </c>
      <c r="D91" s="29" t="s">
        <v>107</v>
      </c>
    </row>
    <row r="92" spans="1:4" ht="15.75" thickBot="1" x14ac:dyDescent="0.3">
      <c r="A92" s="24"/>
      <c r="B92" s="29" t="s">
        <v>97</v>
      </c>
      <c r="C92" s="25" t="s">
        <v>107</v>
      </c>
      <c r="D92" s="44">
        <v>5159.0237999999999</v>
      </c>
    </row>
    <row r="93" spans="1:4" ht="15.75" thickBot="1" x14ac:dyDescent="0.3">
      <c r="A93" s="24"/>
      <c r="B93" s="29" t="s">
        <v>98</v>
      </c>
      <c r="C93" s="25" t="s">
        <v>13</v>
      </c>
      <c r="D93" s="44">
        <f>52879.33+2159.41+313.2+3629.9</f>
        <v>58981.840000000004</v>
      </c>
    </row>
    <row r="94" spans="1:4" ht="15.75" thickBot="1" x14ac:dyDescent="0.3">
      <c r="A94" s="24"/>
      <c r="B94" s="25" t="s">
        <v>99</v>
      </c>
      <c r="C94" s="25" t="s">
        <v>13</v>
      </c>
      <c r="D94" s="45">
        <f>5243.45+46812.11</f>
        <v>52055.56</v>
      </c>
    </row>
    <row r="95" spans="1:4" ht="15.75" thickBot="1" x14ac:dyDescent="0.3">
      <c r="A95" s="24"/>
      <c r="B95" s="25" t="s">
        <v>100</v>
      </c>
      <c r="C95" s="25" t="s">
        <v>13</v>
      </c>
      <c r="D95" s="45">
        <f>D93-D94</f>
        <v>6926.2800000000061</v>
      </c>
    </row>
    <row r="96" spans="1:4" ht="15.75" thickBot="1" x14ac:dyDescent="0.3">
      <c r="A96" s="24"/>
      <c r="B96" s="25" t="s">
        <v>101</v>
      </c>
      <c r="C96" s="25" t="s">
        <v>13</v>
      </c>
      <c r="D96" s="45">
        <v>55788.78</v>
      </c>
    </row>
    <row r="97" spans="1:4" ht="15.75" thickBot="1" x14ac:dyDescent="0.3">
      <c r="A97" s="24"/>
      <c r="B97" s="25" t="s">
        <v>102</v>
      </c>
      <c r="C97" s="25" t="s">
        <v>13</v>
      </c>
      <c r="D97" s="45">
        <f>D94</f>
        <v>52055.56</v>
      </c>
    </row>
    <row r="98" spans="1:4" ht="15.75" thickBot="1" x14ac:dyDescent="0.3">
      <c r="A98" s="24"/>
      <c r="B98" s="25" t="s">
        <v>103</v>
      </c>
      <c r="C98" s="25" t="s">
        <v>13</v>
      </c>
      <c r="D98" s="45">
        <f>D95</f>
        <v>6926.2800000000061</v>
      </c>
    </row>
    <row r="99" spans="1:4" ht="15.75" thickBot="1" x14ac:dyDescent="0.3">
      <c r="A99" s="24"/>
      <c r="B99" s="29" t="s">
        <v>104</v>
      </c>
      <c r="C99" s="25" t="s">
        <v>13</v>
      </c>
      <c r="D99" s="44">
        <v>0</v>
      </c>
    </row>
    <row r="100" spans="1:4" ht="15.75" thickBot="1" x14ac:dyDescent="0.3">
      <c r="A100" s="40" t="s">
        <v>108</v>
      </c>
      <c r="B100" s="41" t="s">
        <v>93</v>
      </c>
      <c r="C100" s="42" t="s">
        <v>47</v>
      </c>
      <c r="D100" s="41" t="s">
        <v>109</v>
      </c>
    </row>
    <row r="101" spans="1:4" ht="15.75" thickBot="1" x14ac:dyDescent="0.3">
      <c r="A101" s="24"/>
      <c r="B101" s="29" t="s">
        <v>95</v>
      </c>
      <c r="C101" s="25" t="s">
        <v>47</v>
      </c>
      <c r="D101" s="29" t="s">
        <v>107</v>
      </c>
    </row>
    <row r="102" spans="1:4" ht="15.75" thickBot="1" x14ac:dyDescent="0.3">
      <c r="A102" s="24"/>
      <c r="B102" s="29" t="s">
        <v>97</v>
      </c>
      <c r="C102" s="25" t="s">
        <v>107</v>
      </c>
      <c r="D102" s="44">
        <v>3982.1565000000001</v>
      </c>
    </row>
    <row r="103" spans="1:4" ht="15.75" thickBot="1" x14ac:dyDescent="0.3">
      <c r="A103" s="24"/>
      <c r="B103" s="29" t="s">
        <v>98</v>
      </c>
      <c r="C103" s="25" t="s">
        <v>13</v>
      </c>
      <c r="D103" s="44">
        <f>273084.45+16880.24+3475.58+10688.56</f>
        <v>304128.83</v>
      </c>
    </row>
    <row r="104" spans="1:4" ht="15.75" thickBot="1" x14ac:dyDescent="0.3">
      <c r="A104" s="24"/>
      <c r="B104" s="25" t="s">
        <v>99</v>
      </c>
      <c r="C104" s="25" t="s">
        <v>13</v>
      </c>
      <c r="D104" s="45">
        <f>8009.28+249107.26</f>
        <v>257116.54</v>
      </c>
    </row>
    <row r="105" spans="1:4" ht="15.75" thickBot="1" x14ac:dyDescent="0.3">
      <c r="A105" s="24"/>
      <c r="B105" s="25" t="s">
        <v>100</v>
      </c>
      <c r="C105" s="25" t="s">
        <v>13</v>
      </c>
      <c r="D105" s="45">
        <f>D103-D104</f>
        <v>47012.290000000008</v>
      </c>
    </row>
    <row r="106" spans="1:4" ht="15.75" thickBot="1" x14ac:dyDescent="0.3">
      <c r="A106" s="24"/>
      <c r="B106" s="25" t="s">
        <v>101</v>
      </c>
      <c r="C106" s="25" t="s">
        <v>13</v>
      </c>
      <c r="D106" s="45">
        <v>284909.73</v>
      </c>
    </row>
    <row r="107" spans="1:4" ht="15.75" thickBot="1" x14ac:dyDescent="0.3">
      <c r="A107" s="24"/>
      <c r="B107" s="25" t="s">
        <v>102</v>
      </c>
      <c r="C107" s="25" t="s">
        <v>13</v>
      </c>
      <c r="D107" s="45">
        <f>D104</f>
        <v>257116.54</v>
      </c>
    </row>
    <row r="108" spans="1:4" ht="15.75" thickBot="1" x14ac:dyDescent="0.3">
      <c r="A108" s="24"/>
      <c r="B108" s="25" t="s">
        <v>103</v>
      </c>
      <c r="C108" s="25" t="s">
        <v>13</v>
      </c>
      <c r="D108" s="45">
        <f>D105</f>
        <v>47012.290000000008</v>
      </c>
    </row>
    <row r="109" spans="1:4" ht="15.75" thickBot="1" x14ac:dyDescent="0.3">
      <c r="A109" s="24"/>
      <c r="B109" s="29" t="s">
        <v>104</v>
      </c>
      <c r="C109" s="25" t="s">
        <v>13</v>
      </c>
      <c r="D109" s="44">
        <v>0</v>
      </c>
    </row>
    <row r="110" spans="1:4" ht="15.75" thickBot="1" x14ac:dyDescent="0.3">
      <c r="A110" s="40" t="s">
        <v>110</v>
      </c>
      <c r="B110" s="41" t="s">
        <v>93</v>
      </c>
      <c r="C110" s="42" t="s">
        <v>47</v>
      </c>
      <c r="D110" s="41" t="s">
        <v>111</v>
      </c>
    </row>
    <row r="111" spans="1:4" ht="15.75" thickBot="1" x14ac:dyDescent="0.3">
      <c r="A111" s="24"/>
      <c r="B111" s="29" t="s">
        <v>95</v>
      </c>
      <c r="C111" s="25" t="s">
        <v>47</v>
      </c>
      <c r="D111" s="29" t="s">
        <v>107</v>
      </c>
    </row>
    <row r="112" spans="1:4" ht="15.75" thickBot="1" x14ac:dyDescent="0.3">
      <c r="A112" s="24"/>
      <c r="B112" s="29" t="s">
        <v>97</v>
      </c>
      <c r="C112" s="25" t="s">
        <v>107</v>
      </c>
      <c r="D112" s="39">
        <v>9141.1780999999992</v>
      </c>
    </row>
    <row r="113" spans="1:4" ht="15.75" thickBot="1" x14ac:dyDescent="0.3">
      <c r="A113" s="24"/>
      <c r="B113" s="29" t="s">
        <v>98</v>
      </c>
      <c r="C113" s="25" t="s">
        <v>13</v>
      </c>
      <c r="D113" s="39">
        <f>97093.08+14918.16</f>
        <v>112011.24</v>
      </c>
    </row>
    <row r="114" spans="1:4" ht="15.75" thickBot="1" x14ac:dyDescent="0.3">
      <c r="A114" s="24"/>
      <c r="B114" s="25" t="s">
        <v>99</v>
      </c>
      <c r="C114" s="25" t="s">
        <v>13</v>
      </c>
      <c r="D114" s="43">
        <v>87583.63</v>
      </c>
    </row>
    <row r="115" spans="1:4" ht="15.75" thickBot="1" x14ac:dyDescent="0.3">
      <c r="A115" s="24"/>
      <c r="B115" s="25" t="s">
        <v>100</v>
      </c>
      <c r="C115" s="25" t="s">
        <v>13</v>
      </c>
      <c r="D115" s="43">
        <f>D113-D114</f>
        <v>24427.61</v>
      </c>
    </row>
    <row r="116" spans="1:4" ht="15.75" thickBot="1" x14ac:dyDescent="0.3">
      <c r="A116" s="24"/>
      <c r="B116" s="25" t="s">
        <v>101</v>
      </c>
      <c r="C116" s="25" t="s">
        <v>13</v>
      </c>
      <c r="D116" s="43">
        <v>100586.28</v>
      </c>
    </row>
    <row r="117" spans="1:4" ht="15.75" thickBot="1" x14ac:dyDescent="0.3">
      <c r="A117" s="24"/>
      <c r="B117" s="25" t="s">
        <v>102</v>
      </c>
      <c r="C117" s="25" t="s">
        <v>13</v>
      </c>
      <c r="D117" s="43">
        <f>D114</f>
        <v>87583.63</v>
      </c>
    </row>
    <row r="118" spans="1:4" ht="15.75" thickBot="1" x14ac:dyDescent="0.3">
      <c r="A118" s="24"/>
      <c r="B118" s="25" t="s">
        <v>103</v>
      </c>
      <c r="C118" s="25" t="s">
        <v>13</v>
      </c>
      <c r="D118" s="43">
        <f>D115</f>
        <v>24427.61</v>
      </c>
    </row>
    <row r="119" spans="1:4" ht="15.75" thickBot="1" x14ac:dyDescent="0.3">
      <c r="A119" s="24"/>
      <c r="B119" s="29" t="s">
        <v>104</v>
      </c>
      <c r="C119" s="25" t="s">
        <v>13</v>
      </c>
      <c r="D119" s="39">
        <v>0</v>
      </c>
    </row>
    <row r="120" spans="1:4" x14ac:dyDescent="0.25">
      <c r="A120" s="46"/>
      <c r="B120" s="47"/>
      <c r="C120" s="48"/>
      <c r="D120" s="49"/>
    </row>
    <row r="121" spans="1:4" ht="15.75" thickBot="1" x14ac:dyDescent="0.3">
      <c r="A121" s="8" t="s">
        <v>112</v>
      </c>
      <c r="B121" s="2"/>
      <c r="C121" s="2"/>
      <c r="D121" s="2"/>
    </row>
    <row r="122" spans="1:4" ht="15.75" thickBot="1" x14ac:dyDescent="0.3">
      <c r="A122" s="22" t="s">
        <v>113</v>
      </c>
      <c r="B122" s="33" t="s">
        <v>73</v>
      </c>
      <c r="C122" s="32" t="s">
        <v>114</v>
      </c>
      <c r="D122" s="33">
        <v>0</v>
      </c>
    </row>
    <row r="123" spans="1:4" ht="15.75" thickBot="1" x14ac:dyDescent="0.3">
      <c r="A123" s="24" t="s">
        <v>115</v>
      </c>
      <c r="B123" s="29" t="s">
        <v>75</v>
      </c>
      <c r="C123" s="25" t="s">
        <v>114</v>
      </c>
      <c r="D123" s="29">
        <v>0</v>
      </c>
    </row>
    <row r="124" spans="1:4" ht="15.75" thickBot="1" x14ac:dyDescent="0.3">
      <c r="A124" s="24" t="s">
        <v>116</v>
      </c>
      <c r="B124" s="29" t="s">
        <v>77</v>
      </c>
      <c r="C124" s="25" t="s">
        <v>114</v>
      </c>
      <c r="D124" s="29">
        <v>0</v>
      </c>
    </row>
    <row r="125" spans="1:4" ht="15.75" thickBot="1" x14ac:dyDescent="0.3">
      <c r="A125" s="24" t="s">
        <v>117</v>
      </c>
      <c r="B125" s="29" t="s">
        <v>79</v>
      </c>
      <c r="C125" s="25" t="s">
        <v>13</v>
      </c>
      <c r="D125" s="39">
        <v>0</v>
      </c>
    </row>
    <row r="126" spans="1:4" x14ac:dyDescent="0.25">
      <c r="A126" s="2"/>
      <c r="B126" s="2"/>
      <c r="C126" s="2"/>
      <c r="D126" s="2"/>
    </row>
    <row r="127" spans="1:4" ht="15.75" thickBot="1" x14ac:dyDescent="0.3">
      <c r="A127" s="8" t="s">
        <v>118</v>
      </c>
      <c r="B127" s="2"/>
      <c r="C127" s="2"/>
      <c r="D127" s="2"/>
    </row>
    <row r="128" spans="1:4" ht="15.75" thickBot="1" x14ac:dyDescent="0.3">
      <c r="A128" s="34">
        <v>48</v>
      </c>
      <c r="B128" s="33" t="s">
        <v>119</v>
      </c>
      <c r="C128" s="32" t="s">
        <v>114</v>
      </c>
      <c r="D128" s="33">
        <v>0</v>
      </c>
    </row>
    <row r="129" spans="1:4" ht="15.75" thickBot="1" x14ac:dyDescent="0.3">
      <c r="A129" s="50">
        <v>49</v>
      </c>
      <c r="B129" s="29" t="s">
        <v>120</v>
      </c>
      <c r="C129" s="25" t="s">
        <v>114</v>
      </c>
      <c r="D129" s="29">
        <v>1</v>
      </c>
    </row>
    <row r="130" spans="1:4" ht="15.75" thickBot="1" x14ac:dyDescent="0.3">
      <c r="A130" s="51">
        <v>50</v>
      </c>
      <c r="B130" s="52" t="s">
        <v>121</v>
      </c>
      <c r="C130" s="53" t="s">
        <v>13</v>
      </c>
      <c r="D130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topLeftCell="A46" workbookViewId="0">
      <selection activeCell="D52" sqref="D52:D59"/>
    </sheetView>
  </sheetViews>
  <sheetFormatPr defaultRowHeight="15" x14ac:dyDescent="0.25"/>
  <cols>
    <col min="2" max="2" width="68.85546875" customWidth="1"/>
    <col min="3" max="3" width="13.85546875" customWidth="1"/>
    <col min="4" max="4" width="57.855468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322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323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78868.78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78868.78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602209.64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410662+12591.36</f>
        <v>423253.36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156933.88+4622.4</f>
        <v>161556.28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583625.69999999995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393510.54+150854.37+21410.79</f>
        <v>565775.69999999995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17850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D20+D14</f>
        <v>662494.48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52744.68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52744.68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132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3808170471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143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134</v>
      </c>
    </row>
    <row r="58" spans="1:4" ht="15.75" thickBot="1" x14ac:dyDescent="0.3">
      <c r="A58" s="24"/>
      <c r="B58" s="25" t="s">
        <v>51</v>
      </c>
      <c r="C58" s="25" t="s">
        <v>47</v>
      </c>
      <c r="D58" s="55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68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324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325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65</v>
      </c>
    </row>
    <row r="63" spans="1:4" ht="15.75" thickBot="1" x14ac:dyDescent="0.3">
      <c r="A63" s="24"/>
      <c r="B63" s="25" t="s">
        <v>53</v>
      </c>
      <c r="C63" s="25" t="s">
        <v>47</v>
      </c>
      <c r="D63" s="31" t="s">
        <v>326</v>
      </c>
    </row>
    <row r="64" spans="1:4" x14ac:dyDescent="0.25">
      <c r="A64" s="2"/>
      <c r="B64" s="2"/>
      <c r="C64" s="2"/>
      <c r="D64" s="2"/>
    </row>
    <row r="65" spans="1:4" ht="15.75" thickBot="1" x14ac:dyDescent="0.3">
      <c r="A65" s="8" t="s">
        <v>71</v>
      </c>
      <c r="B65" s="2"/>
      <c r="C65" s="2"/>
      <c r="D65" s="2"/>
    </row>
    <row r="66" spans="1:4" ht="15.75" thickBot="1" x14ac:dyDescent="0.3">
      <c r="A66" s="22" t="s">
        <v>72</v>
      </c>
      <c r="B66" s="32" t="s">
        <v>73</v>
      </c>
      <c r="C66" s="32" t="s">
        <v>47</v>
      </c>
      <c r="D66" s="33">
        <v>0</v>
      </c>
    </row>
    <row r="67" spans="1:4" ht="15.75" thickBot="1" x14ac:dyDescent="0.3">
      <c r="A67" s="24" t="s">
        <v>74</v>
      </c>
      <c r="B67" s="25" t="s">
        <v>75</v>
      </c>
      <c r="C67" s="25" t="s">
        <v>47</v>
      </c>
      <c r="D67" s="29">
        <v>0</v>
      </c>
    </row>
    <row r="68" spans="1:4" ht="15.75" thickBot="1" x14ac:dyDescent="0.3">
      <c r="A68" s="24" t="s">
        <v>76</v>
      </c>
      <c r="B68" s="25" t="s">
        <v>77</v>
      </c>
      <c r="C68" s="25" t="s">
        <v>47</v>
      </c>
      <c r="D68" s="29">
        <v>0</v>
      </c>
    </row>
    <row r="69" spans="1:4" ht="15.75" thickBot="1" x14ac:dyDescent="0.3">
      <c r="A69" s="22" t="s">
        <v>78</v>
      </c>
      <c r="B69" s="34" t="s">
        <v>79</v>
      </c>
      <c r="C69" s="34" t="s">
        <v>13</v>
      </c>
      <c r="D69" s="35">
        <v>0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80</v>
      </c>
      <c r="B71" s="2"/>
      <c r="C71" s="2"/>
      <c r="D71" s="2"/>
    </row>
    <row r="72" spans="1:4" ht="15.75" thickBot="1" x14ac:dyDescent="0.3">
      <c r="A72" s="36" t="s">
        <v>81</v>
      </c>
      <c r="B72" s="33" t="s">
        <v>82</v>
      </c>
      <c r="C72" s="32" t="s">
        <v>13</v>
      </c>
      <c r="D72" s="37">
        <f>D74-D73</f>
        <v>219461.28999999995</v>
      </c>
    </row>
    <row r="73" spans="1:4" ht="15.75" thickBot="1" x14ac:dyDescent="0.3">
      <c r="A73" s="38" t="s">
        <v>83</v>
      </c>
      <c r="B73" s="25" t="s">
        <v>84</v>
      </c>
      <c r="C73" s="25" t="s">
        <v>13</v>
      </c>
      <c r="D73" s="39">
        <f>128755.45+6979.95+4976.67+2468.02+3.49+4432.26</f>
        <v>147615.84</v>
      </c>
    </row>
    <row r="74" spans="1:4" ht="15.75" thickBot="1" x14ac:dyDescent="0.3">
      <c r="A74" s="38" t="s">
        <v>85</v>
      </c>
      <c r="B74" s="25" t="s">
        <v>86</v>
      </c>
      <c r="C74" s="25" t="s">
        <v>13</v>
      </c>
      <c r="D74" s="39">
        <f>79139.95+32784.6+182758.03+71689.74+80.26+624.55</f>
        <v>367077.12999999995</v>
      </c>
    </row>
    <row r="75" spans="1:4" ht="15.75" thickBot="1" x14ac:dyDescent="0.3">
      <c r="A75" s="38" t="s">
        <v>87</v>
      </c>
      <c r="B75" s="29" t="s">
        <v>88</v>
      </c>
      <c r="C75" s="25" t="s">
        <v>13</v>
      </c>
      <c r="D75" s="39">
        <f>D77-D76</f>
        <v>494279.07</v>
      </c>
    </row>
    <row r="76" spans="1:4" ht="15.75" thickBot="1" x14ac:dyDescent="0.3">
      <c r="A76" s="38" t="s">
        <v>89</v>
      </c>
      <c r="B76" s="25" t="s">
        <v>84</v>
      </c>
      <c r="C76" s="25" t="s">
        <v>13</v>
      </c>
      <c r="D76" s="39">
        <f>5856.63+3780.13+3560.45+3630.76+4782.13+8492.72</f>
        <v>30102.82</v>
      </c>
    </row>
    <row r="77" spans="1:4" ht="15.75" thickBot="1" x14ac:dyDescent="0.3">
      <c r="A77" s="38" t="s">
        <v>90</v>
      </c>
      <c r="B77" s="25" t="s">
        <v>86</v>
      </c>
      <c r="C77" s="25" t="s">
        <v>13</v>
      </c>
      <c r="D77" s="39">
        <f>193481.25+43327.95+205250.06+81403.88+105.95+812.8</f>
        <v>524381.89</v>
      </c>
    </row>
    <row r="78" spans="1:4" x14ac:dyDescent="0.25">
      <c r="A78" s="2"/>
      <c r="B78" s="2"/>
      <c r="C78" s="2"/>
      <c r="D78" s="2"/>
    </row>
    <row r="79" spans="1:4" ht="15.75" thickBot="1" x14ac:dyDescent="0.3">
      <c r="A79" s="8" t="s">
        <v>91</v>
      </c>
      <c r="B79" s="2"/>
      <c r="C79" s="2"/>
      <c r="D79" s="2"/>
    </row>
    <row r="80" spans="1:4" ht="15.75" thickBot="1" x14ac:dyDescent="0.3">
      <c r="A80" s="40" t="s">
        <v>92</v>
      </c>
      <c r="B80" s="41" t="s">
        <v>93</v>
      </c>
      <c r="C80" s="42" t="s">
        <v>47</v>
      </c>
      <c r="D80" s="41" t="s">
        <v>94</v>
      </c>
    </row>
    <row r="81" spans="1:4" ht="15.75" thickBot="1" x14ac:dyDescent="0.3">
      <c r="A81" s="24"/>
      <c r="B81" s="29" t="s">
        <v>95</v>
      </c>
      <c r="C81" s="25" t="s">
        <v>47</v>
      </c>
      <c r="D81" s="29" t="s">
        <v>96</v>
      </c>
    </row>
    <row r="82" spans="1:4" ht="15.75" thickBot="1" x14ac:dyDescent="0.3">
      <c r="A82" s="24"/>
      <c r="B82" s="29" t="s">
        <v>97</v>
      </c>
      <c r="C82" s="25" t="s">
        <v>96</v>
      </c>
      <c r="D82" s="39">
        <v>424.04660000000001</v>
      </c>
    </row>
    <row r="83" spans="1:4" ht="15.75" thickBot="1" x14ac:dyDescent="0.3">
      <c r="A83" s="24"/>
      <c r="B83" s="29" t="s">
        <v>98</v>
      </c>
      <c r="C83" s="25" t="s">
        <v>13</v>
      </c>
      <c r="D83" s="39">
        <f>423420.96+61977.86</f>
        <v>485398.82</v>
      </c>
    </row>
    <row r="84" spans="1:4" ht="15.75" thickBot="1" x14ac:dyDescent="0.3">
      <c r="A84" s="24"/>
      <c r="B84" s="25" t="s">
        <v>99</v>
      </c>
      <c r="C84" s="25" t="s">
        <v>13</v>
      </c>
      <c r="D84" s="43">
        <v>248158.7</v>
      </c>
    </row>
    <row r="85" spans="1:4" ht="15.75" thickBot="1" x14ac:dyDescent="0.3">
      <c r="A85" s="24"/>
      <c r="B85" s="25" t="s">
        <v>100</v>
      </c>
      <c r="C85" s="25" t="s">
        <v>13</v>
      </c>
      <c r="D85" s="43">
        <f>D83-D84</f>
        <v>237240.12</v>
      </c>
    </row>
    <row r="86" spans="1:4" ht="15.75" thickBot="1" x14ac:dyDescent="0.3">
      <c r="A86" s="24"/>
      <c r="B86" s="25" t="s">
        <v>101</v>
      </c>
      <c r="C86" s="25" t="s">
        <v>13</v>
      </c>
      <c r="D86" s="43">
        <v>482613.19</v>
      </c>
    </row>
    <row r="87" spans="1:4" ht="15.75" thickBot="1" x14ac:dyDescent="0.3">
      <c r="A87" s="24"/>
      <c r="B87" s="25" t="s">
        <v>102</v>
      </c>
      <c r="C87" s="25" t="s">
        <v>13</v>
      </c>
      <c r="D87" s="43">
        <f>D84</f>
        <v>248158.7</v>
      </c>
    </row>
    <row r="88" spans="1:4" ht="15.75" thickBot="1" x14ac:dyDescent="0.3">
      <c r="A88" s="24"/>
      <c r="B88" s="25" t="s">
        <v>103</v>
      </c>
      <c r="C88" s="25" t="s">
        <v>13</v>
      </c>
      <c r="D88" s="43">
        <f>D85</f>
        <v>237240.12</v>
      </c>
    </row>
    <row r="89" spans="1:4" ht="15.75" thickBot="1" x14ac:dyDescent="0.3">
      <c r="A89" s="24"/>
      <c r="B89" s="29" t="s">
        <v>104</v>
      </c>
      <c r="C89" s="25" t="s">
        <v>13</v>
      </c>
      <c r="D89" s="39">
        <v>0</v>
      </c>
    </row>
    <row r="90" spans="1:4" ht="15.75" thickBot="1" x14ac:dyDescent="0.3">
      <c r="A90" s="40" t="s">
        <v>105</v>
      </c>
      <c r="B90" s="41" t="s">
        <v>93</v>
      </c>
      <c r="C90" s="42" t="s">
        <v>47</v>
      </c>
      <c r="D90" s="41" t="s">
        <v>106</v>
      </c>
    </row>
    <row r="91" spans="1:4" ht="15.75" thickBot="1" x14ac:dyDescent="0.3">
      <c r="A91" s="24"/>
      <c r="B91" s="29" t="s">
        <v>95</v>
      </c>
      <c r="C91" s="25" t="s">
        <v>47</v>
      </c>
      <c r="D91" s="29" t="s">
        <v>107</v>
      </c>
    </row>
    <row r="92" spans="1:4" ht="15.75" thickBot="1" x14ac:dyDescent="0.3">
      <c r="A92" s="24"/>
      <c r="B92" s="29" t="s">
        <v>97</v>
      </c>
      <c r="C92" s="25" t="s">
        <v>107</v>
      </c>
      <c r="D92" s="44">
        <v>6624.1269000000002</v>
      </c>
    </row>
    <row r="93" spans="1:4" ht="15.75" thickBot="1" x14ac:dyDescent="0.3">
      <c r="A93" s="24"/>
      <c r="B93" s="29" t="s">
        <v>98</v>
      </c>
      <c r="C93" s="25" t="s">
        <v>13</v>
      </c>
      <c r="D93" s="44">
        <f>67636.86-2676.42+608.62+965.68</f>
        <v>66534.739999999991</v>
      </c>
    </row>
    <row r="94" spans="1:4" ht="15.75" thickBot="1" x14ac:dyDescent="0.3">
      <c r="A94" s="24"/>
      <c r="B94" s="25" t="s">
        <v>99</v>
      </c>
      <c r="C94" s="25" t="s">
        <v>13</v>
      </c>
      <c r="D94" s="45">
        <f>6327.25+51217.27</f>
        <v>57544.52</v>
      </c>
    </row>
    <row r="95" spans="1:4" ht="15.75" thickBot="1" x14ac:dyDescent="0.3">
      <c r="A95" s="24"/>
      <c r="B95" s="25" t="s">
        <v>100</v>
      </c>
      <c r="C95" s="25" t="s">
        <v>13</v>
      </c>
      <c r="D95" s="45">
        <f>D93-D94</f>
        <v>8990.2199999999939</v>
      </c>
    </row>
    <row r="96" spans="1:4" ht="15.75" thickBot="1" x14ac:dyDescent="0.3">
      <c r="A96" s="24"/>
      <c r="B96" s="25" t="s">
        <v>101</v>
      </c>
      <c r="C96" s="25" t="s">
        <v>13</v>
      </c>
      <c r="D96" s="45">
        <v>56729.02</v>
      </c>
    </row>
    <row r="97" spans="1:4" ht="15.75" thickBot="1" x14ac:dyDescent="0.3">
      <c r="A97" s="24"/>
      <c r="B97" s="25" t="s">
        <v>102</v>
      </c>
      <c r="C97" s="25" t="s">
        <v>13</v>
      </c>
      <c r="D97" s="45">
        <f>D94</f>
        <v>57544.52</v>
      </c>
    </row>
    <row r="98" spans="1:4" ht="15.75" thickBot="1" x14ac:dyDescent="0.3">
      <c r="A98" s="24"/>
      <c r="B98" s="25" t="s">
        <v>103</v>
      </c>
      <c r="C98" s="25" t="s">
        <v>13</v>
      </c>
      <c r="D98" s="45">
        <f>D95</f>
        <v>8990.2199999999939</v>
      </c>
    </row>
    <row r="99" spans="1:4" ht="15.75" thickBot="1" x14ac:dyDescent="0.3">
      <c r="A99" s="24"/>
      <c r="B99" s="29" t="s">
        <v>104</v>
      </c>
      <c r="C99" s="25" t="s">
        <v>13</v>
      </c>
      <c r="D99" s="44">
        <v>0</v>
      </c>
    </row>
    <row r="100" spans="1:4" ht="15.75" thickBot="1" x14ac:dyDescent="0.3">
      <c r="A100" s="40" t="s">
        <v>108</v>
      </c>
      <c r="B100" s="41" t="s">
        <v>93</v>
      </c>
      <c r="C100" s="42" t="s">
        <v>47</v>
      </c>
      <c r="D100" s="41" t="s">
        <v>109</v>
      </c>
    </row>
    <row r="101" spans="1:4" ht="15.75" thickBot="1" x14ac:dyDescent="0.3">
      <c r="A101" s="24"/>
      <c r="B101" s="29" t="s">
        <v>95</v>
      </c>
      <c r="C101" s="25" t="s">
        <v>47</v>
      </c>
      <c r="D101" s="29" t="s">
        <v>107</v>
      </c>
    </row>
    <row r="102" spans="1:4" ht="15.75" thickBot="1" x14ac:dyDescent="0.3">
      <c r="A102" s="24"/>
      <c r="B102" s="29" t="s">
        <v>97</v>
      </c>
      <c r="C102" s="25" t="s">
        <v>107</v>
      </c>
      <c r="D102" s="44">
        <v>4528.1035000000002</v>
      </c>
    </row>
    <row r="103" spans="1:4" ht="15.75" thickBot="1" x14ac:dyDescent="0.3">
      <c r="A103" s="24"/>
      <c r="B103" s="29" t="s">
        <v>98</v>
      </c>
      <c r="C103" s="25" t="s">
        <v>13</v>
      </c>
      <c r="D103" s="44">
        <f>317836.67-28288.11+4654.32+963.49</f>
        <v>295166.37</v>
      </c>
    </row>
    <row r="104" spans="1:4" ht="15.75" thickBot="1" x14ac:dyDescent="0.3">
      <c r="A104" s="24"/>
      <c r="B104" s="25" t="s">
        <v>99</v>
      </c>
      <c r="C104" s="25" t="s">
        <v>13</v>
      </c>
      <c r="D104" s="45">
        <f>9490.02+265640.31</f>
        <v>275130.33</v>
      </c>
    </row>
    <row r="105" spans="1:4" ht="15.75" thickBot="1" x14ac:dyDescent="0.3">
      <c r="A105" s="24"/>
      <c r="B105" s="25" t="s">
        <v>100</v>
      </c>
      <c r="C105" s="25" t="s">
        <v>13</v>
      </c>
      <c r="D105" s="45">
        <f>D103-D104</f>
        <v>20036.039999999979</v>
      </c>
    </row>
    <row r="106" spans="1:4" ht="15.75" thickBot="1" x14ac:dyDescent="0.3">
      <c r="A106" s="24"/>
      <c r="B106" s="25" t="s">
        <v>101</v>
      </c>
      <c r="C106" s="25" t="s">
        <v>13</v>
      </c>
      <c r="D106" s="45">
        <v>311100.67</v>
      </c>
    </row>
    <row r="107" spans="1:4" ht="15.75" thickBot="1" x14ac:dyDescent="0.3">
      <c r="A107" s="24"/>
      <c r="B107" s="25" t="s">
        <v>102</v>
      </c>
      <c r="C107" s="25" t="s">
        <v>13</v>
      </c>
      <c r="D107" s="45">
        <f>D104</f>
        <v>275130.33</v>
      </c>
    </row>
    <row r="108" spans="1:4" ht="15.75" thickBot="1" x14ac:dyDescent="0.3">
      <c r="A108" s="24"/>
      <c r="B108" s="25" t="s">
        <v>103</v>
      </c>
      <c r="C108" s="25" t="s">
        <v>13</v>
      </c>
      <c r="D108" s="45">
        <f>D105</f>
        <v>20036.039999999979</v>
      </c>
    </row>
    <row r="109" spans="1:4" ht="15.75" thickBot="1" x14ac:dyDescent="0.3">
      <c r="A109" s="24"/>
      <c r="B109" s="29" t="s">
        <v>104</v>
      </c>
      <c r="C109" s="25" t="s">
        <v>13</v>
      </c>
      <c r="D109" s="44">
        <v>0</v>
      </c>
    </row>
    <row r="110" spans="1:4" ht="15.75" thickBot="1" x14ac:dyDescent="0.3">
      <c r="A110" s="40" t="s">
        <v>110</v>
      </c>
      <c r="B110" s="41" t="s">
        <v>93</v>
      </c>
      <c r="C110" s="42" t="s">
        <v>47</v>
      </c>
      <c r="D110" s="41" t="s">
        <v>111</v>
      </c>
    </row>
    <row r="111" spans="1:4" ht="15.75" thickBot="1" x14ac:dyDescent="0.3">
      <c r="A111" s="24"/>
      <c r="B111" s="29" t="s">
        <v>95</v>
      </c>
      <c r="C111" s="25" t="s">
        <v>47</v>
      </c>
      <c r="D111" s="29" t="s">
        <v>107</v>
      </c>
    </row>
    <row r="112" spans="1:4" ht="15.75" thickBot="1" x14ac:dyDescent="0.3">
      <c r="A112" s="24"/>
      <c r="B112" s="29" t="s">
        <v>97</v>
      </c>
      <c r="C112" s="25" t="s">
        <v>107</v>
      </c>
      <c r="D112" s="39">
        <v>11152.2258</v>
      </c>
    </row>
    <row r="113" spans="1:4" ht="15.75" thickBot="1" x14ac:dyDescent="0.3">
      <c r="A113" s="24"/>
      <c r="B113" s="29" t="s">
        <v>98</v>
      </c>
      <c r="C113" s="25" t="s">
        <v>13</v>
      </c>
      <c r="D113" s="39">
        <f>118256.65-7773.14</f>
        <v>110483.51</v>
      </c>
    </row>
    <row r="114" spans="1:4" ht="15.75" thickBot="1" x14ac:dyDescent="0.3">
      <c r="A114" s="24"/>
      <c r="B114" s="25" t="s">
        <v>99</v>
      </c>
      <c r="C114" s="25" t="s">
        <v>13</v>
      </c>
      <c r="D114" s="43">
        <v>101932.11</v>
      </c>
    </row>
    <row r="115" spans="1:4" ht="15.75" thickBot="1" x14ac:dyDescent="0.3">
      <c r="A115" s="24"/>
      <c r="B115" s="25" t="s">
        <v>100</v>
      </c>
      <c r="C115" s="25" t="s">
        <v>13</v>
      </c>
      <c r="D115" s="43">
        <f>D113-D114</f>
        <v>8551.3999999999942</v>
      </c>
    </row>
    <row r="116" spans="1:4" ht="15.75" thickBot="1" x14ac:dyDescent="0.3">
      <c r="A116" s="24"/>
      <c r="B116" s="25" t="s">
        <v>101</v>
      </c>
      <c r="C116" s="25" t="s">
        <v>13</v>
      </c>
      <c r="D116" s="43">
        <v>106406.68</v>
      </c>
    </row>
    <row r="117" spans="1:4" ht="15.75" thickBot="1" x14ac:dyDescent="0.3">
      <c r="A117" s="24"/>
      <c r="B117" s="25" t="s">
        <v>102</v>
      </c>
      <c r="C117" s="25" t="s">
        <v>13</v>
      </c>
      <c r="D117" s="43">
        <f>D114</f>
        <v>101932.11</v>
      </c>
    </row>
    <row r="118" spans="1:4" ht="15.75" thickBot="1" x14ac:dyDescent="0.3">
      <c r="A118" s="24"/>
      <c r="B118" s="25" t="s">
        <v>103</v>
      </c>
      <c r="C118" s="25" t="s">
        <v>13</v>
      </c>
      <c r="D118" s="43">
        <f>D115</f>
        <v>8551.3999999999942</v>
      </c>
    </row>
    <row r="119" spans="1:4" ht="15.75" thickBot="1" x14ac:dyDescent="0.3">
      <c r="A119" s="24"/>
      <c r="B119" s="29" t="s">
        <v>104</v>
      </c>
      <c r="C119" s="25" t="s">
        <v>13</v>
      </c>
      <c r="D119" s="39">
        <v>0</v>
      </c>
    </row>
    <row r="120" spans="1:4" x14ac:dyDescent="0.25">
      <c r="A120" s="46"/>
      <c r="B120" s="47"/>
      <c r="C120" s="48"/>
      <c r="D120" s="49"/>
    </row>
    <row r="121" spans="1:4" ht="15.75" thickBot="1" x14ac:dyDescent="0.3">
      <c r="A121" s="8" t="s">
        <v>112</v>
      </c>
      <c r="B121" s="2"/>
      <c r="C121" s="2"/>
      <c r="D121" s="2"/>
    </row>
    <row r="122" spans="1:4" ht="15.75" thickBot="1" x14ac:dyDescent="0.3">
      <c r="A122" s="22" t="s">
        <v>113</v>
      </c>
      <c r="B122" s="33" t="s">
        <v>73</v>
      </c>
      <c r="C122" s="32" t="s">
        <v>114</v>
      </c>
      <c r="D122" s="33">
        <v>0</v>
      </c>
    </row>
    <row r="123" spans="1:4" ht="15.75" thickBot="1" x14ac:dyDescent="0.3">
      <c r="A123" s="24" t="s">
        <v>115</v>
      </c>
      <c r="B123" s="29" t="s">
        <v>75</v>
      </c>
      <c r="C123" s="25" t="s">
        <v>114</v>
      </c>
      <c r="D123" s="29">
        <v>0</v>
      </c>
    </row>
    <row r="124" spans="1:4" ht="15.75" thickBot="1" x14ac:dyDescent="0.3">
      <c r="A124" s="24" t="s">
        <v>116</v>
      </c>
      <c r="B124" s="29" t="s">
        <v>77</v>
      </c>
      <c r="C124" s="25" t="s">
        <v>114</v>
      </c>
      <c r="D124" s="29">
        <v>0</v>
      </c>
    </row>
    <row r="125" spans="1:4" ht="15.75" thickBot="1" x14ac:dyDescent="0.3">
      <c r="A125" s="24" t="s">
        <v>117</v>
      </c>
      <c r="B125" s="29" t="s">
        <v>79</v>
      </c>
      <c r="C125" s="25" t="s">
        <v>13</v>
      </c>
      <c r="D125" s="39">
        <v>0</v>
      </c>
    </row>
    <row r="126" spans="1:4" x14ac:dyDescent="0.25">
      <c r="A126" s="2"/>
      <c r="B126" s="2"/>
      <c r="C126" s="2"/>
      <c r="D126" s="2"/>
    </row>
    <row r="127" spans="1:4" ht="15.75" thickBot="1" x14ac:dyDescent="0.3">
      <c r="A127" s="8" t="s">
        <v>118</v>
      </c>
      <c r="B127" s="2"/>
      <c r="C127" s="2"/>
      <c r="D127" s="2"/>
    </row>
    <row r="128" spans="1:4" ht="15.75" thickBot="1" x14ac:dyDescent="0.3">
      <c r="A128" s="34">
        <v>48</v>
      </c>
      <c r="B128" s="33" t="s">
        <v>119</v>
      </c>
      <c r="C128" s="32" t="s">
        <v>114</v>
      </c>
      <c r="D128" s="33">
        <v>1</v>
      </c>
    </row>
    <row r="129" spans="1:4" ht="15.75" thickBot="1" x14ac:dyDescent="0.3">
      <c r="A129" s="50">
        <v>49</v>
      </c>
      <c r="B129" s="29" t="s">
        <v>120</v>
      </c>
      <c r="C129" s="25" t="s">
        <v>114</v>
      </c>
      <c r="D129" s="29">
        <v>1</v>
      </c>
    </row>
    <row r="130" spans="1:4" ht="15.75" thickBot="1" x14ac:dyDescent="0.3">
      <c r="A130" s="51">
        <v>50</v>
      </c>
      <c r="B130" s="52" t="s">
        <v>121</v>
      </c>
      <c r="C130" s="53" t="s">
        <v>13</v>
      </c>
      <c r="D130" s="56">
        <v>54284.26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workbookViewId="0">
      <selection sqref="A1:D126"/>
    </sheetView>
  </sheetViews>
  <sheetFormatPr defaultRowHeight="15" x14ac:dyDescent="0.25"/>
  <cols>
    <col min="2" max="2" width="74.140625" customWidth="1"/>
    <col min="3" max="3" width="13.85546875" customWidth="1"/>
    <col min="4" max="4" width="57.71093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327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328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665303.09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664303.09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798999.12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569978.76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217620.36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766858.15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543536.24+211171.91</f>
        <v>754708.15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12150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D20-D13</f>
        <v>101555.06000000006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775682.26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775682.26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132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3808170471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143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134</v>
      </c>
    </row>
    <row r="58" spans="1:4" ht="15.75" thickBot="1" x14ac:dyDescent="0.3">
      <c r="A58" s="24"/>
      <c r="B58" s="25" t="s">
        <v>51</v>
      </c>
      <c r="C58" s="25" t="s">
        <v>47</v>
      </c>
      <c r="D58" s="55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68</v>
      </c>
    </row>
    <row r="60" spans="1:4" x14ac:dyDescent="0.25">
      <c r="A60" s="2"/>
      <c r="B60" s="2"/>
      <c r="C60" s="2"/>
      <c r="D60" s="2"/>
    </row>
    <row r="61" spans="1:4" ht="15.75" thickBot="1" x14ac:dyDescent="0.3">
      <c r="A61" s="8" t="s">
        <v>71</v>
      </c>
      <c r="B61" s="2"/>
      <c r="C61" s="2"/>
      <c r="D61" s="2"/>
    </row>
    <row r="62" spans="1:4" ht="15.75" thickBot="1" x14ac:dyDescent="0.3">
      <c r="A62" s="22" t="s">
        <v>72</v>
      </c>
      <c r="B62" s="32" t="s">
        <v>73</v>
      </c>
      <c r="C62" s="32" t="s">
        <v>47</v>
      </c>
      <c r="D62" s="33">
        <v>0</v>
      </c>
    </row>
    <row r="63" spans="1:4" ht="15.75" thickBot="1" x14ac:dyDescent="0.3">
      <c r="A63" s="24" t="s">
        <v>74</v>
      </c>
      <c r="B63" s="25" t="s">
        <v>75</v>
      </c>
      <c r="C63" s="25" t="s">
        <v>47</v>
      </c>
      <c r="D63" s="29">
        <v>0</v>
      </c>
    </row>
    <row r="64" spans="1:4" ht="15.75" thickBot="1" x14ac:dyDescent="0.3">
      <c r="A64" s="24" t="s">
        <v>76</v>
      </c>
      <c r="B64" s="25" t="s">
        <v>77</v>
      </c>
      <c r="C64" s="25" t="s">
        <v>47</v>
      </c>
      <c r="D64" s="29">
        <v>0</v>
      </c>
    </row>
    <row r="65" spans="1:4" ht="15.75" thickBot="1" x14ac:dyDescent="0.3">
      <c r="A65" s="22" t="s">
        <v>78</v>
      </c>
      <c r="B65" s="34" t="s">
        <v>79</v>
      </c>
      <c r="C65" s="34" t="s">
        <v>13</v>
      </c>
      <c r="D65" s="35">
        <v>0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80</v>
      </c>
      <c r="B67" s="2"/>
      <c r="C67" s="2"/>
      <c r="D67" s="2"/>
    </row>
    <row r="68" spans="1:4" ht="15.75" thickBot="1" x14ac:dyDescent="0.3">
      <c r="A68" s="36" t="s">
        <v>81</v>
      </c>
      <c r="B68" s="33" t="s">
        <v>82</v>
      </c>
      <c r="C68" s="32" t="s">
        <v>13</v>
      </c>
      <c r="D68" s="37">
        <f>D70-D69</f>
        <v>240195.05000000002</v>
      </c>
    </row>
    <row r="69" spans="1:4" ht="15.75" thickBot="1" x14ac:dyDescent="0.3">
      <c r="A69" s="38" t="s">
        <v>83</v>
      </c>
      <c r="B69" s="25" t="s">
        <v>84</v>
      </c>
      <c r="C69" s="25" t="s">
        <v>13</v>
      </c>
      <c r="D69" s="39">
        <f>939.99+2716.94+11263+3853.43+2008.11+163.46</f>
        <v>20944.93</v>
      </c>
    </row>
    <row r="70" spans="1:4" ht="15.75" thickBot="1" x14ac:dyDescent="0.3">
      <c r="A70" s="38" t="s">
        <v>85</v>
      </c>
      <c r="B70" s="25" t="s">
        <v>86</v>
      </c>
      <c r="C70" s="25" t="s">
        <v>13</v>
      </c>
      <c r="D70" s="39">
        <f>125234.43+15732.76+84666.28+34039.4+183.51+1283.6</f>
        <v>261139.98</v>
      </c>
    </row>
    <row r="71" spans="1:4" ht="15.75" thickBot="1" x14ac:dyDescent="0.3">
      <c r="A71" s="38" t="s">
        <v>87</v>
      </c>
      <c r="B71" s="29" t="s">
        <v>88</v>
      </c>
      <c r="C71" s="25" t="s">
        <v>13</v>
      </c>
      <c r="D71" s="39">
        <f>D73-D72</f>
        <v>242462.62</v>
      </c>
    </row>
    <row r="72" spans="1:4" ht="15.75" thickBot="1" x14ac:dyDescent="0.3">
      <c r="A72" s="38" t="s">
        <v>89</v>
      </c>
      <c r="B72" s="25" t="s">
        <v>84</v>
      </c>
      <c r="C72" s="25" t="s">
        <v>13</v>
      </c>
      <c r="D72" s="39">
        <f>902.82+4362.24+14954.2+7141.65+2822.92+5742.06</f>
        <v>35925.89</v>
      </c>
    </row>
    <row r="73" spans="1:4" ht="15.75" thickBot="1" x14ac:dyDescent="0.3">
      <c r="A73" s="38" t="s">
        <v>90</v>
      </c>
      <c r="B73" s="25" t="s">
        <v>86</v>
      </c>
      <c r="C73" s="25" t="s">
        <v>13</v>
      </c>
      <c r="D73" s="39">
        <f>154499.9+16507.35+75403.1+30181.66+211.88+1584.62</f>
        <v>278388.51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91</v>
      </c>
      <c r="B75" s="2"/>
      <c r="C75" s="2"/>
      <c r="D75" s="2"/>
    </row>
    <row r="76" spans="1:4" ht="15.75" thickBot="1" x14ac:dyDescent="0.3">
      <c r="A76" s="40" t="s">
        <v>92</v>
      </c>
      <c r="B76" s="41" t="s">
        <v>93</v>
      </c>
      <c r="C76" s="42" t="s">
        <v>47</v>
      </c>
      <c r="D76" s="41" t="s">
        <v>94</v>
      </c>
    </row>
    <row r="77" spans="1:4" ht="15.75" thickBot="1" x14ac:dyDescent="0.3">
      <c r="A77" s="24"/>
      <c r="B77" s="29" t="s">
        <v>95</v>
      </c>
      <c r="C77" s="25" t="s">
        <v>47</v>
      </c>
      <c r="D77" s="29" t="s">
        <v>96</v>
      </c>
    </row>
    <row r="78" spans="1:4" ht="15.75" thickBot="1" x14ac:dyDescent="0.3">
      <c r="A78" s="24"/>
      <c r="B78" s="29" t="s">
        <v>97</v>
      </c>
      <c r="C78" s="25" t="s">
        <v>96</v>
      </c>
      <c r="D78" s="39">
        <v>709.80989999999997</v>
      </c>
    </row>
    <row r="79" spans="1:4" ht="15.75" thickBot="1" x14ac:dyDescent="0.3">
      <c r="A79" s="24"/>
      <c r="B79" s="29" t="s">
        <v>98</v>
      </c>
      <c r="C79" s="25" t="s">
        <v>13</v>
      </c>
      <c r="D79" s="39">
        <f>708752.76-5707.25</f>
        <v>703045.51</v>
      </c>
    </row>
    <row r="80" spans="1:4" ht="15.75" thickBot="1" x14ac:dyDescent="0.3">
      <c r="A80" s="24"/>
      <c r="B80" s="25" t="s">
        <v>99</v>
      </c>
      <c r="C80" s="25" t="s">
        <v>13</v>
      </c>
      <c r="D80" s="43">
        <v>673742.87</v>
      </c>
    </row>
    <row r="81" spans="1:4" ht="15.75" thickBot="1" x14ac:dyDescent="0.3">
      <c r="A81" s="24"/>
      <c r="B81" s="25" t="s">
        <v>100</v>
      </c>
      <c r="C81" s="25" t="s">
        <v>13</v>
      </c>
      <c r="D81" s="43">
        <f>D79-D80</f>
        <v>29302.640000000014</v>
      </c>
    </row>
    <row r="82" spans="1:4" ht="15.75" thickBot="1" x14ac:dyDescent="0.3">
      <c r="A82" s="24"/>
      <c r="B82" s="25" t="s">
        <v>101</v>
      </c>
      <c r="C82" s="25" t="s">
        <v>13</v>
      </c>
      <c r="D82" s="43">
        <v>639187.85</v>
      </c>
    </row>
    <row r="83" spans="1:4" ht="15.75" thickBot="1" x14ac:dyDescent="0.3">
      <c r="A83" s="24"/>
      <c r="B83" s="25" t="s">
        <v>102</v>
      </c>
      <c r="C83" s="25" t="s">
        <v>13</v>
      </c>
      <c r="D83" s="43">
        <f>D80</f>
        <v>673742.87</v>
      </c>
    </row>
    <row r="84" spans="1:4" ht="15.75" thickBot="1" x14ac:dyDescent="0.3">
      <c r="A84" s="24"/>
      <c r="B84" s="25" t="s">
        <v>103</v>
      </c>
      <c r="C84" s="25" t="s">
        <v>13</v>
      </c>
      <c r="D84" s="43">
        <f>D81</f>
        <v>29302.640000000014</v>
      </c>
    </row>
    <row r="85" spans="1:4" ht="15.75" thickBot="1" x14ac:dyDescent="0.3">
      <c r="A85" s="24"/>
      <c r="B85" s="29" t="s">
        <v>104</v>
      </c>
      <c r="C85" s="25" t="s">
        <v>13</v>
      </c>
      <c r="D85" s="39">
        <v>0</v>
      </c>
    </row>
    <row r="86" spans="1:4" ht="15.75" thickBot="1" x14ac:dyDescent="0.3">
      <c r="A86" s="40" t="s">
        <v>105</v>
      </c>
      <c r="B86" s="41" t="s">
        <v>93</v>
      </c>
      <c r="C86" s="42" t="s">
        <v>47</v>
      </c>
      <c r="D86" s="41" t="s">
        <v>106</v>
      </c>
    </row>
    <row r="87" spans="1:4" ht="15.75" thickBot="1" x14ac:dyDescent="0.3">
      <c r="A87" s="24"/>
      <c r="B87" s="29" t="s">
        <v>95</v>
      </c>
      <c r="C87" s="25" t="s">
        <v>47</v>
      </c>
      <c r="D87" s="29" t="s">
        <v>107</v>
      </c>
    </row>
    <row r="88" spans="1:4" ht="15.75" thickBot="1" x14ac:dyDescent="0.3">
      <c r="A88" s="24"/>
      <c r="B88" s="29" t="s">
        <v>97</v>
      </c>
      <c r="C88" s="25" t="s">
        <v>107</v>
      </c>
      <c r="D88" s="44">
        <v>6826.1315999999997</v>
      </c>
    </row>
    <row r="89" spans="1:4" ht="15.75" thickBot="1" x14ac:dyDescent="0.3">
      <c r="A89" s="24"/>
      <c r="B89" s="29" t="s">
        <v>98</v>
      </c>
      <c r="C89" s="25" t="s">
        <v>13</v>
      </c>
      <c r="D89" s="44">
        <f>69502.77-1326.14+1322.82+2832.95</f>
        <v>72332.400000000009</v>
      </c>
    </row>
    <row r="90" spans="1:4" ht="15.75" thickBot="1" x14ac:dyDescent="0.3">
      <c r="A90" s="24"/>
      <c r="B90" s="25" t="s">
        <v>99</v>
      </c>
      <c r="C90" s="25" t="s">
        <v>13</v>
      </c>
      <c r="D90" s="45">
        <f>4942.21+69047.34</f>
        <v>73989.55</v>
      </c>
    </row>
    <row r="91" spans="1:4" ht="15.75" thickBot="1" x14ac:dyDescent="0.3">
      <c r="A91" s="24"/>
      <c r="B91" s="25" t="s">
        <v>100</v>
      </c>
      <c r="C91" s="25" t="s">
        <v>13</v>
      </c>
      <c r="D91" s="45">
        <f>0</f>
        <v>0</v>
      </c>
    </row>
    <row r="92" spans="1:4" ht="15.75" thickBot="1" x14ac:dyDescent="0.3">
      <c r="A92" s="24"/>
      <c r="B92" s="25" t="s">
        <v>101</v>
      </c>
      <c r="C92" s="25" t="s">
        <v>13</v>
      </c>
      <c r="D92" s="45">
        <v>91611.91</v>
      </c>
    </row>
    <row r="93" spans="1:4" ht="15.75" thickBot="1" x14ac:dyDescent="0.3">
      <c r="A93" s="24"/>
      <c r="B93" s="25" t="s">
        <v>102</v>
      </c>
      <c r="C93" s="25" t="s">
        <v>13</v>
      </c>
      <c r="D93" s="45">
        <f>D90</f>
        <v>73989.55</v>
      </c>
    </row>
    <row r="94" spans="1:4" ht="15.75" thickBot="1" x14ac:dyDescent="0.3">
      <c r="A94" s="24"/>
      <c r="B94" s="25" t="s">
        <v>103</v>
      </c>
      <c r="C94" s="25" t="s">
        <v>13</v>
      </c>
      <c r="D94" s="45">
        <v>0</v>
      </c>
    </row>
    <row r="95" spans="1:4" ht="15.75" thickBot="1" x14ac:dyDescent="0.3">
      <c r="A95" s="24"/>
      <c r="B95" s="29" t="s">
        <v>104</v>
      </c>
      <c r="C95" s="25" t="s">
        <v>13</v>
      </c>
      <c r="D95" s="44">
        <v>0</v>
      </c>
    </row>
    <row r="96" spans="1:4" ht="15.75" thickBot="1" x14ac:dyDescent="0.3">
      <c r="A96" s="40" t="s">
        <v>108</v>
      </c>
      <c r="B96" s="41" t="s">
        <v>93</v>
      </c>
      <c r="C96" s="42" t="s">
        <v>47</v>
      </c>
      <c r="D96" s="41" t="s">
        <v>109</v>
      </c>
    </row>
    <row r="97" spans="1:4" ht="15.75" thickBot="1" x14ac:dyDescent="0.3">
      <c r="A97" s="24"/>
      <c r="B97" s="29" t="s">
        <v>95</v>
      </c>
      <c r="C97" s="25" t="s">
        <v>47</v>
      </c>
      <c r="D97" s="29" t="s">
        <v>107</v>
      </c>
    </row>
    <row r="98" spans="1:4" ht="15.75" thickBot="1" x14ac:dyDescent="0.3">
      <c r="A98" s="24"/>
      <c r="B98" s="29" t="s">
        <v>97</v>
      </c>
      <c r="C98" s="25" t="s">
        <v>107</v>
      </c>
      <c r="D98" s="44">
        <v>4696.3986000000004</v>
      </c>
    </row>
    <row r="99" spans="1:4" ht="15.75" thickBot="1" x14ac:dyDescent="0.3">
      <c r="A99" s="24"/>
      <c r="B99" s="29" t="s">
        <v>98</v>
      </c>
      <c r="C99" s="25" t="s">
        <v>13</v>
      </c>
      <c r="D99" s="44">
        <f>328856.39-8965.29+9693.66+2834.27</f>
        <v>332419.03000000003</v>
      </c>
    </row>
    <row r="100" spans="1:4" ht="15.75" thickBot="1" x14ac:dyDescent="0.3">
      <c r="A100" s="24"/>
      <c r="B100" s="25" t="s">
        <v>99</v>
      </c>
      <c r="C100" s="25" t="s">
        <v>13</v>
      </c>
      <c r="D100" s="45">
        <f>17805.51+332845.48</f>
        <v>350650.99</v>
      </c>
    </row>
    <row r="101" spans="1:4" ht="15.75" thickBot="1" x14ac:dyDescent="0.3">
      <c r="A101" s="24"/>
      <c r="B101" s="25" t="s">
        <v>100</v>
      </c>
      <c r="C101" s="25" t="s">
        <v>13</v>
      </c>
      <c r="D101" s="45">
        <v>0</v>
      </c>
    </row>
    <row r="102" spans="1:4" ht="15.75" thickBot="1" x14ac:dyDescent="0.3">
      <c r="A102" s="24"/>
      <c r="B102" s="25" t="s">
        <v>101</v>
      </c>
      <c r="C102" s="25" t="s">
        <v>13</v>
      </c>
      <c r="D102" s="45">
        <v>402368.44</v>
      </c>
    </row>
    <row r="103" spans="1:4" ht="15.75" thickBot="1" x14ac:dyDescent="0.3">
      <c r="A103" s="24"/>
      <c r="B103" s="25" t="s">
        <v>102</v>
      </c>
      <c r="C103" s="25" t="s">
        <v>13</v>
      </c>
      <c r="D103" s="45">
        <f>D100</f>
        <v>350650.99</v>
      </c>
    </row>
    <row r="104" spans="1:4" ht="15.75" thickBot="1" x14ac:dyDescent="0.3">
      <c r="A104" s="24"/>
      <c r="B104" s="25" t="s">
        <v>103</v>
      </c>
      <c r="C104" s="25" t="s">
        <v>13</v>
      </c>
      <c r="D104" s="45">
        <v>0</v>
      </c>
    </row>
    <row r="105" spans="1:4" ht="15.75" thickBot="1" x14ac:dyDescent="0.3">
      <c r="A105" s="24"/>
      <c r="B105" s="29" t="s">
        <v>104</v>
      </c>
      <c r="C105" s="25" t="s">
        <v>13</v>
      </c>
      <c r="D105" s="44">
        <v>0</v>
      </c>
    </row>
    <row r="106" spans="1:4" ht="15.75" thickBot="1" x14ac:dyDescent="0.3">
      <c r="A106" s="40" t="s">
        <v>110</v>
      </c>
      <c r="B106" s="41" t="s">
        <v>93</v>
      </c>
      <c r="C106" s="42" t="s">
        <v>47</v>
      </c>
      <c r="D106" s="41" t="s">
        <v>111</v>
      </c>
    </row>
    <row r="107" spans="1:4" ht="15.75" thickBot="1" x14ac:dyDescent="0.3">
      <c r="A107" s="24"/>
      <c r="B107" s="29" t="s">
        <v>95</v>
      </c>
      <c r="C107" s="25" t="s">
        <v>47</v>
      </c>
      <c r="D107" s="29" t="s">
        <v>107</v>
      </c>
    </row>
    <row r="108" spans="1:4" ht="15.75" thickBot="1" x14ac:dyDescent="0.3">
      <c r="A108" s="24"/>
      <c r="B108" s="29" t="s">
        <v>97</v>
      </c>
      <c r="C108" s="25" t="s">
        <v>107</v>
      </c>
      <c r="D108" s="39">
        <v>11522.5236</v>
      </c>
    </row>
    <row r="109" spans="1:4" ht="15.75" thickBot="1" x14ac:dyDescent="0.3">
      <c r="A109" s="24"/>
      <c r="B109" s="29" t="s">
        <v>98</v>
      </c>
      <c r="C109" s="25" t="s">
        <v>13</v>
      </c>
      <c r="D109" s="39">
        <f>121414.21-5669.31</f>
        <v>115744.90000000001</v>
      </c>
    </row>
    <row r="110" spans="1:4" ht="15.75" thickBot="1" x14ac:dyDescent="0.3">
      <c r="A110" s="24"/>
      <c r="B110" s="25" t="s">
        <v>99</v>
      </c>
      <c r="C110" s="25" t="s">
        <v>13</v>
      </c>
      <c r="D110" s="43">
        <v>122890.86</v>
      </c>
    </row>
    <row r="111" spans="1:4" ht="15.75" thickBot="1" x14ac:dyDescent="0.3">
      <c r="A111" s="24"/>
      <c r="B111" s="25" t="s">
        <v>100</v>
      </c>
      <c r="C111" s="25" t="s">
        <v>13</v>
      </c>
      <c r="D111" s="43">
        <v>0</v>
      </c>
    </row>
    <row r="112" spans="1:4" ht="15.75" thickBot="1" x14ac:dyDescent="0.3">
      <c r="A112" s="24"/>
      <c r="B112" s="25" t="s">
        <v>101</v>
      </c>
      <c r="C112" s="25" t="s">
        <v>13</v>
      </c>
      <c r="D112" s="43">
        <v>152821.01</v>
      </c>
    </row>
    <row r="113" spans="1:4" ht="15.75" thickBot="1" x14ac:dyDescent="0.3">
      <c r="A113" s="24"/>
      <c r="B113" s="25" t="s">
        <v>102</v>
      </c>
      <c r="C113" s="25" t="s">
        <v>13</v>
      </c>
      <c r="D113" s="43">
        <f>D110</f>
        <v>122890.86</v>
      </c>
    </row>
    <row r="114" spans="1:4" ht="15.75" thickBot="1" x14ac:dyDescent="0.3">
      <c r="A114" s="24"/>
      <c r="B114" s="25" t="s">
        <v>103</v>
      </c>
      <c r="C114" s="25" t="s">
        <v>13</v>
      </c>
      <c r="D114" s="43">
        <v>0</v>
      </c>
    </row>
    <row r="115" spans="1:4" ht="15.75" thickBot="1" x14ac:dyDescent="0.3">
      <c r="A115" s="24"/>
      <c r="B115" s="29" t="s">
        <v>104</v>
      </c>
      <c r="C115" s="25" t="s">
        <v>13</v>
      </c>
      <c r="D115" s="39">
        <v>0</v>
      </c>
    </row>
    <row r="116" spans="1:4" x14ac:dyDescent="0.25">
      <c r="A116" s="46"/>
      <c r="B116" s="47"/>
      <c r="C116" s="48"/>
      <c r="D116" s="49"/>
    </row>
    <row r="117" spans="1:4" ht="15.75" thickBot="1" x14ac:dyDescent="0.3">
      <c r="A117" s="8" t="s">
        <v>112</v>
      </c>
      <c r="B117" s="2"/>
      <c r="C117" s="2"/>
      <c r="D117" s="2"/>
    </row>
    <row r="118" spans="1:4" ht="15.75" thickBot="1" x14ac:dyDescent="0.3">
      <c r="A118" s="22" t="s">
        <v>113</v>
      </c>
      <c r="B118" s="33" t="s">
        <v>73</v>
      </c>
      <c r="C118" s="32" t="s">
        <v>114</v>
      </c>
      <c r="D118" s="33">
        <v>0</v>
      </c>
    </row>
    <row r="119" spans="1:4" ht="15.75" thickBot="1" x14ac:dyDescent="0.3">
      <c r="A119" s="24" t="s">
        <v>115</v>
      </c>
      <c r="B119" s="29" t="s">
        <v>75</v>
      </c>
      <c r="C119" s="25" t="s">
        <v>114</v>
      </c>
      <c r="D119" s="29">
        <v>0</v>
      </c>
    </row>
    <row r="120" spans="1:4" ht="15.75" thickBot="1" x14ac:dyDescent="0.3">
      <c r="A120" s="24" t="s">
        <v>116</v>
      </c>
      <c r="B120" s="29" t="s">
        <v>77</v>
      </c>
      <c r="C120" s="25" t="s">
        <v>114</v>
      </c>
      <c r="D120" s="29">
        <v>0</v>
      </c>
    </row>
    <row r="121" spans="1:4" ht="15.75" thickBot="1" x14ac:dyDescent="0.3">
      <c r="A121" s="24" t="s">
        <v>117</v>
      </c>
      <c r="B121" s="29" t="s">
        <v>79</v>
      </c>
      <c r="C121" s="25" t="s">
        <v>13</v>
      </c>
      <c r="D121" s="39">
        <v>0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118</v>
      </c>
      <c r="B123" s="2"/>
      <c r="C123" s="2"/>
      <c r="D123" s="2"/>
    </row>
    <row r="124" spans="1:4" ht="15.75" thickBot="1" x14ac:dyDescent="0.3">
      <c r="A124" s="34">
        <v>48</v>
      </c>
      <c r="B124" s="33" t="s">
        <v>119</v>
      </c>
      <c r="C124" s="32" t="s">
        <v>114</v>
      </c>
      <c r="D124" s="33">
        <v>0</v>
      </c>
    </row>
    <row r="125" spans="1:4" ht="15.75" thickBot="1" x14ac:dyDescent="0.3">
      <c r="A125" s="50">
        <v>49</v>
      </c>
      <c r="B125" s="29" t="s">
        <v>120</v>
      </c>
      <c r="C125" s="25" t="s">
        <v>114</v>
      </c>
      <c r="D125" s="29">
        <v>0</v>
      </c>
    </row>
    <row r="126" spans="1:4" ht="15.75" thickBot="1" x14ac:dyDescent="0.3">
      <c r="A126" s="51">
        <v>50</v>
      </c>
      <c r="B126" s="52" t="s">
        <v>121</v>
      </c>
      <c r="C126" s="53" t="s">
        <v>13</v>
      </c>
      <c r="D126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topLeftCell="A52" workbookViewId="0">
      <selection activeCell="D64" sqref="D64:D67"/>
    </sheetView>
  </sheetViews>
  <sheetFormatPr defaultRowHeight="15" x14ac:dyDescent="0.25"/>
  <cols>
    <col min="2" max="2" width="68" customWidth="1"/>
    <col min="3" max="3" width="11.42578125" customWidth="1"/>
    <col min="4" max="4" width="57.140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329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330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187687.76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187687.76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1853406.92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1229474.4+148093.27</f>
        <v>1377567.67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469839.25+30401.268</f>
        <v>500240.51799999998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1827209.29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1205500.26+456185.03+159208.34+315.66</f>
        <v>1821209.29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6000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D20+D14</f>
        <v>2014897.05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206667.5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206667.5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309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310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65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3812140511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331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332</v>
      </c>
    </row>
    <row r="58" spans="1:4" ht="15.75" thickBot="1" x14ac:dyDescent="0.3">
      <c r="A58" s="24"/>
      <c r="B58" s="25" t="s">
        <v>51</v>
      </c>
      <c r="C58" s="25" t="s">
        <v>47</v>
      </c>
      <c r="D58" s="55" t="s">
        <v>65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287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333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273</v>
      </c>
    </row>
    <row r="62" spans="1:4" ht="15.75" thickBot="1" x14ac:dyDescent="0.3">
      <c r="A62" s="24"/>
      <c r="B62" s="25" t="s">
        <v>51</v>
      </c>
      <c r="C62" s="25" t="s">
        <v>47</v>
      </c>
      <c r="D62" s="55" t="s">
        <v>65</v>
      </c>
    </row>
    <row r="63" spans="1:4" ht="15.75" thickBot="1" x14ac:dyDescent="0.3">
      <c r="A63" s="24"/>
      <c r="B63" s="25" t="s">
        <v>53</v>
      </c>
      <c r="C63" s="25" t="s">
        <v>47</v>
      </c>
      <c r="D63" s="31" t="s">
        <v>274</v>
      </c>
    </row>
    <row r="64" spans="1:4" ht="15.75" thickBot="1" x14ac:dyDescent="0.3">
      <c r="A64" s="24" t="s">
        <v>66</v>
      </c>
      <c r="B64" s="27" t="s">
        <v>46</v>
      </c>
      <c r="C64" s="27" t="s">
        <v>47</v>
      </c>
      <c r="D64" s="28" t="s">
        <v>334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298</v>
      </c>
    </row>
    <row r="66" spans="1:4" ht="15.75" thickBot="1" x14ac:dyDescent="0.3">
      <c r="A66" s="24"/>
      <c r="B66" s="25" t="s">
        <v>51</v>
      </c>
      <c r="C66" s="25" t="s">
        <v>47</v>
      </c>
      <c r="D66" s="55" t="s">
        <v>57</v>
      </c>
    </row>
    <row r="67" spans="1:4" ht="15.75" thickBot="1" x14ac:dyDescent="0.3">
      <c r="A67" s="24"/>
      <c r="B67" s="25" t="s">
        <v>53</v>
      </c>
      <c r="C67" s="25" t="s">
        <v>47</v>
      </c>
      <c r="D67" s="31" t="s">
        <v>335</v>
      </c>
    </row>
    <row r="68" spans="1:4" x14ac:dyDescent="0.25">
      <c r="A68" s="2"/>
      <c r="B68" s="2"/>
      <c r="C68" s="2"/>
      <c r="D68" s="2"/>
    </row>
    <row r="69" spans="1:4" ht="15.75" thickBot="1" x14ac:dyDescent="0.3">
      <c r="A69" s="8" t="s">
        <v>71</v>
      </c>
      <c r="B69" s="2"/>
      <c r="C69" s="2"/>
      <c r="D69" s="2"/>
    </row>
    <row r="70" spans="1:4" ht="15.75" thickBot="1" x14ac:dyDescent="0.3">
      <c r="A70" s="22" t="s">
        <v>72</v>
      </c>
      <c r="B70" s="32" t="s">
        <v>73</v>
      </c>
      <c r="C70" s="32" t="s">
        <v>47</v>
      </c>
      <c r="D70" s="33">
        <v>0</v>
      </c>
    </row>
    <row r="71" spans="1:4" ht="15.75" thickBot="1" x14ac:dyDescent="0.3">
      <c r="A71" s="24" t="s">
        <v>74</v>
      </c>
      <c r="B71" s="25" t="s">
        <v>75</v>
      </c>
      <c r="C71" s="25" t="s">
        <v>47</v>
      </c>
      <c r="D71" s="29">
        <v>0</v>
      </c>
    </row>
    <row r="72" spans="1:4" ht="15.75" thickBot="1" x14ac:dyDescent="0.3">
      <c r="A72" s="24" t="s">
        <v>76</v>
      </c>
      <c r="B72" s="25" t="s">
        <v>77</v>
      </c>
      <c r="C72" s="25" t="s">
        <v>47</v>
      </c>
      <c r="D72" s="29">
        <v>0</v>
      </c>
    </row>
    <row r="73" spans="1:4" ht="15.75" thickBot="1" x14ac:dyDescent="0.3">
      <c r="A73" s="22" t="s">
        <v>78</v>
      </c>
      <c r="B73" s="34" t="s">
        <v>79</v>
      </c>
      <c r="C73" s="34" t="s">
        <v>13</v>
      </c>
      <c r="D73" s="35">
        <v>0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80</v>
      </c>
      <c r="B75" s="2"/>
      <c r="C75" s="2"/>
      <c r="D75" s="2"/>
    </row>
    <row r="76" spans="1:4" ht="15.75" thickBot="1" x14ac:dyDescent="0.3">
      <c r="A76" s="36" t="s">
        <v>81</v>
      </c>
      <c r="B76" s="33" t="s">
        <v>82</v>
      </c>
      <c r="C76" s="32" t="s">
        <v>13</v>
      </c>
      <c r="D76" s="37">
        <f>D78-D77</f>
        <v>581489.93999999994</v>
      </c>
    </row>
    <row r="77" spans="1:4" ht="15.75" thickBot="1" x14ac:dyDescent="0.3">
      <c r="A77" s="38" t="s">
        <v>83</v>
      </c>
      <c r="B77" s="25" t="s">
        <v>84</v>
      </c>
      <c r="C77" s="25" t="s">
        <v>13</v>
      </c>
      <c r="D77" s="39">
        <f>11146.63+3626.13+25232.45+4730.05+905.58+6326.92</f>
        <v>51967.76</v>
      </c>
    </row>
    <row r="78" spans="1:4" ht="15.75" thickBot="1" x14ac:dyDescent="0.3">
      <c r="A78" s="38" t="s">
        <v>85</v>
      </c>
      <c r="B78" s="25" t="s">
        <v>86</v>
      </c>
      <c r="C78" s="25" t="s">
        <v>13</v>
      </c>
      <c r="D78" s="39">
        <f>273548.74+47771.99+211131.17+97443.1+445.84+3116.86</f>
        <v>633457.69999999995</v>
      </c>
    </row>
    <row r="79" spans="1:4" ht="15.75" thickBot="1" x14ac:dyDescent="0.3">
      <c r="A79" s="38" t="s">
        <v>87</v>
      </c>
      <c r="B79" s="29" t="s">
        <v>88</v>
      </c>
      <c r="C79" s="25" t="s">
        <v>13</v>
      </c>
      <c r="D79" s="39">
        <f>D81-D80</f>
        <v>669164.21000000008</v>
      </c>
    </row>
    <row r="80" spans="1:4" ht="15.75" thickBot="1" x14ac:dyDescent="0.3">
      <c r="A80" s="38" t="s">
        <v>89</v>
      </c>
      <c r="B80" s="25" t="s">
        <v>84</v>
      </c>
      <c r="C80" s="25" t="s">
        <v>13</v>
      </c>
      <c r="D80" s="39">
        <f>2693.62+6852.18+17775.88+8740.13+3946.58+7771.08</f>
        <v>47779.47</v>
      </c>
    </row>
    <row r="81" spans="1:4" ht="15.75" thickBot="1" x14ac:dyDescent="0.3">
      <c r="A81" s="38" t="s">
        <v>90</v>
      </c>
      <c r="B81" s="25" t="s">
        <v>86</v>
      </c>
      <c r="C81" s="25" t="s">
        <v>13</v>
      </c>
      <c r="D81" s="39">
        <f>368684.3+47047.47+214476.28+83021.48+436.11+3278.04</f>
        <v>716943.68</v>
      </c>
    </row>
    <row r="82" spans="1:4" x14ac:dyDescent="0.25">
      <c r="A82" s="2"/>
      <c r="B82" s="2"/>
      <c r="C82" s="2"/>
      <c r="D82" s="2"/>
    </row>
    <row r="83" spans="1:4" ht="15.75" thickBot="1" x14ac:dyDescent="0.3">
      <c r="A83" s="8" t="s">
        <v>91</v>
      </c>
      <c r="B83" s="2"/>
      <c r="C83" s="2"/>
      <c r="D83" s="2"/>
    </row>
    <row r="84" spans="1:4" ht="15.75" thickBot="1" x14ac:dyDescent="0.3">
      <c r="A84" s="40" t="s">
        <v>92</v>
      </c>
      <c r="B84" s="41" t="s">
        <v>93</v>
      </c>
      <c r="C84" s="42" t="s">
        <v>47</v>
      </c>
      <c r="D84" s="41" t="s">
        <v>94</v>
      </c>
    </row>
    <row r="85" spans="1:4" ht="15.75" thickBot="1" x14ac:dyDescent="0.3">
      <c r="A85" s="24"/>
      <c r="B85" s="29" t="s">
        <v>95</v>
      </c>
      <c r="C85" s="25" t="s">
        <v>47</v>
      </c>
      <c r="D85" s="29" t="s">
        <v>96</v>
      </c>
    </row>
    <row r="86" spans="1:4" ht="15.75" thickBot="1" x14ac:dyDescent="0.3">
      <c r="A86" s="24"/>
      <c r="B86" s="29" t="s">
        <v>97</v>
      </c>
      <c r="C86" s="25" t="s">
        <v>96</v>
      </c>
      <c r="D86" s="39">
        <v>1773.9548</v>
      </c>
    </row>
    <row r="87" spans="1:4" ht="15.75" thickBot="1" x14ac:dyDescent="0.3">
      <c r="A87" s="24"/>
      <c r="B87" s="29" t="s">
        <v>98</v>
      </c>
      <c r="C87" s="25" t="s">
        <v>13</v>
      </c>
      <c r="D87" s="39">
        <f>1771291.16+7871.08</f>
        <v>1779162.24</v>
      </c>
    </row>
    <row r="88" spans="1:4" ht="15.75" thickBot="1" x14ac:dyDescent="0.3">
      <c r="A88" s="24"/>
      <c r="B88" s="25" t="s">
        <v>99</v>
      </c>
      <c r="C88" s="25" t="s">
        <v>13</v>
      </c>
      <c r="D88" s="43">
        <v>1675573.67</v>
      </c>
    </row>
    <row r="89" spans="1:4" ht="15.75" thickBot="1" x14ac:dyDescent="0.3">
      <c r="A89" s="24"/>
      <c r="B89" s="25" t="s">
        <v>100</v>
      </c>
      <c r="C89" s="25" t="s">
        <v>13</v>
      </c>
      <c r="D89" s="43">
        <f>D87-D88</f>
        <v>103588.57000000007</v>
      </c>
    </row>
    <row r="90" spans="1:4" ht="15.75" thickBot="1" x14ac:dyDescent="0.3">
      <c r="A90" s="24"/>
      <c r="B90" s="25" t="s">
        <v>101</v>
      </c>
      <c r="C90" s="25" t="s">
        <v>13</v>
      </c>
      <c r="D90" s="43">
        <f>731191.17+794167.03+11360.06</f>
        <v>1536718.2600000002</v>
      </c>
    </row>
    <row r="91" spans="1:4" ht="15.75" thickBot="1" x14ac:dyDescent="0.3">
      <c r="A91" s="24"/>
      <c r="B91" s="25" t="s">
        <v>102</v>
      </c>
      <c r="C91" s="25" t="s">
        <v>13</v>
      </c>
      <c r="D91" s="43">
        <f>D88</f>
        <v>1675573.67</v>
      </c>
    </row>
    <row r="92" spans="1:4" ht="15.75" thickBot="1" x14ac:dyDescent="0.3">
      <c r="A92" s="24"/>
      <c r="B92" s="25" t="s">
        <v>103</v>
      </c>
      <c r="C92" s="25" t="s">
        <v>13</v>
      </c>
      <c r="D92" s="43">
        <f>D89</f>
        <v>103588.57000000007</v>
      </c>
    </row>
    <row r="93" spans="1:4" ht="15.75" thickBot="1" x14ac:dyDescent="0.3">
      <c r="A93" s="24"/>
      <c r="B93" s="29" t="s">
        <v>104</v>
      </c>
      <c r="C93" s="25" t="s">
        <v>13</v>
      </c>
      <c r="D93" s="39">
        <v>0</v>
      </c>
    </row>
    <row r="94" spans="1:4" ht="15.75" thickBot="1" x14ac:dyDescent="0.3">
      <c r="A94" s="40" t="s">
        <v>105</v>
      </c>
      <c r="B94" s="41" t="s">
        <v>93</v>
      </c>
      <c r="C94" s="42" t="s">
        <v>47</v>
      </c>
      <c r="D94" s="41" t="s">
        <v>106</v>
      </c>
    </row>
    <row r="95" spans="1:4" ht="15.75" thickBot="1" x14ac:dyDescent="0.3">
      <c r="A95" s="24"/>
      <c r="B95" s="29" t="s">
        <v>95</v>
      </c>
      <c r="C95" s="25" t="s">
        <v>47</v>
      </c>
      <c r="D95" s="29" t="s">
        <v>107</v>
      </c>
    </row>
    <row r="96" spans="1:4" ht="15.75" thickBot="1" x14ac:dyDescent="0.3">
      <c r="A96" s="24"/>
      <c r="B96" s="29" t="s">
        <v>97</v>
      </c>
      <c r="C96" s="25" t="s">
        <v>107</v>
      </c>
      <c r="D96" s="44">
        <v>14197.816199999999</v>
      </c>
    </row>
    <row r="97" spans="1:4" ht="15.75" thickBot="1" x14ac:dyDescent="0.3">
      <c r="A97" s="24"/>
      <c r="B97" s="29" t="s">
        <v>98</v>
      </c>
      <c r="C97" s="25" t="s">
        <v>13</v>
      </c>
      <c r="D97" s="44">
        <f>144675.93-3850.75+2731.71+850.96</f>
        <v>144407.84999999998</v>
      </c>
    </row>
    <row r="98" spans="1:4" ht="15.75" thickBot="1" x14ac:dyDescent="0.3">
      <c r="A98" s="24"/>
      <c r="B98" s="25" t="s">
        <v>99</v>
      </c>
      <c r="C98" s="25" t="s">
        <v>13</v>
      </c>
      <c r="D98" s="45">
        <f>6633.4+144775.75</f>
        <v>151409.15</v>
      </c>
    </row>
    <row r="99" spans="1:4" ht="15.75" thickBot="1" x14ac:dyDescent="0.3">
      <c r="A99" s="24"/>
      <c r="B99" s="25" t="s">
        <v>100</v>
      </c>
      <c r="C99" s="25" t="s">
        <v>13</v>
      </c>
      <c r="D99" s="45">
        <v>0</v>
      </c>
    </row>
    <row r="100" spans="1:4" ht="15.75" thickBot="1" x14ac:dyDescent="0.3">
      <c r="A100" s="24"/>
      <c r="B100" s="25" t="s">
        <v>101</v>
      </c>
      <c r="C100" s="25" t="s">
        <v>13</v>
      </c>
      <c r="D100" s="45">
        <v>171199.35</v>
      </c>
    </row>
    <row r="101" spans="1:4" ht="15.75" thickBot="1" x14ac:dyDescent="0.3">
      <c r="A101" s="24"/>
      <c r="B101" s="25" t="s">
        <v>102</v>
      </c>
      <c r="C101" s="25" t="s">
        <v>13</v>
      </c>
      <c r="D101" s="45">
        <f>D98</f>
        <v>151409.15</v>
      </c>
    </row>
    <row r="102" spans="1:4" ht="15.75" thickBot="1" x14ac:dyDescent="0.3">
      <c r="A102" s="24"/>
      <c r="B102" s="25" t="s">
        <v>103</v>
      </c>
      <c r="C102" s="25" t="s">
        <v>13</v>
      </c>
      <c r="D102" s="45">
        <v>0</v>
      </c>
    </row>
    <row r="103" spans="1:4" ht="15.75" thickBot="1" x14ac:dyDescent="0.3">
      <c r="A103" s="24"/>
      <c r="B103" s="29" t="s">
        <v>104</v>
      </c>
      <c r="C103" s="25" t="s">
        <v>13</v>
      </c>
      <c r="D103" s="44">
        <v>0</v>
      </c>
    </row>
    <row r="104" spans="1:4" ht="15.75" thickBot="1" x14ac:dyDescent="0.3">
      <c r="A104" s="40" t="s">
        <v>108</v>
      </c>
      <c r="B104" s="41" t="s">
        <v>93</v>
      </c>
      <c r="C104" s="42" t="s">
        <v>47</v>
      </c>
      <c r="D104" s="41" t="s">
        <v>109</v>
      </c>
    </row>
    <row r="105" spans="1:4" ht="15.75" thickBot="1" x14ac:dyDescent="0.3">
      <c r="A105" s="24"/>
      <c r="B105" s="29" t="s">
        <v>95</v>
      </c>
      <c r="C105" s="25" t="s">
        <v>47</v>
      </c>
      <c r="D105" s="29" t="s">
        <v>107</v>
      </c>
    </row>
    <row r="106" spans="1:4" ht="15.75" thickBot="1" x14ac:dyDescent="0.3">
      <c r="A106" s="24"/>
      <c r="B106" s="29" t="s">
        <v>97</v>
      </c>
      <c r="C106" s="25" t="s">
        <v>107</v>
      </c>
      <c r="D106" s="44">
        <v>9254.2916000000005</v>
      </c>
    </row>
    <row r="107" spans="1:4" ht="15.75" thickBot="1" x14ac:dyDescent="0.3">
      <c r="A107" s="24"/>
      <c r="B107" s="29" t="s">
        <v>98</v>
      </c>
      <c r="C107" s="25" t="s">
        <v>13</v>
      </c>
      <c r="D107" s="44">
        <f>648074.25-14383.78+20028.88+881.92</f>
        <v>654601.27</v>
      </c>
    </row>
    <row r="108" spans="1:4" ht="15.75" thickBot="1" x14ac:dyDescent="0.3">
      <c r="A108" s="24"/>
      <c r="B108" s="25" t="s">
        <v>99</v>
      </c>
      <c r="C108" s="25" t="s">
        <v>13</v>
      </c>
      <c r="D108" s="45">
        <f>22193.78+622888.79</f>
        <v>645082.57000000007</v>
      </c>
    </row>
    <row r="109" spans="1:4" ht="15.75" thickBot="1" x14ac:dyDescent="0.3">
      <c r="A109" s="24"/>
      <c r="B109" s="25" t="s">
        <v>100</v>
      </c>
      <c r="C109" s="25" t="s">
        <v>13</v>
      </c>
      <c r="D109" s="45">
        <f>D107-D108</f>
        <v>9518.6999999999534</v>
      </c>
    </row>
    <row r="110" spans="1:4" ht="15.75" thickBot="1" x14ac:dyDescent="0.3">
      <c r="A110" s="24"/>
      <c r="B110" s="25" t="s">
        <v>101</v>
      </c>
      <c r="C110" s="25" t="s">
        <v>13</v>
      </c>
      <c r="D110" s="45">
        <f>448622.84+488675.74+564.19</f>
        <v>937862.77</v>
      </c>
    </row>
    <row r="111" spans="1:4" ht="15.75" thickBot="1" x14ac:dyDescent="0.3">
      <c r="A111" s="24"/>
      <c r="B111" s="25" t="s">
        <v>102</v>
      </c>
      <c r="C111" s="25" t="s">
        <v>13</v>
      </c>
      <c r="D111" s="45">
        <f>D108</f>
        <v>645082.57000000007</v>
      </c>
    </row>
    <row r="112" spans="1:4" ht="15.75" thickBot="1" x14ac:dyDescent="0.3">
      <c r="A112" s="24"/>
      <c r="B112" s="25" t="s">
        <v>103</v>
      </c>
      <c r="C112" s="25" t="s">
        <v>13</v>
      </c>
      <c r="D112" s="45">
        <f>D109</f>
        <v>9518.6999999999534</v>
      </c>
    </row>
    <row r="113" spans="1:4" ht="15.75" thickBot="1" x14ac:dyDescent="0.3">
      <c r="A113" s="24"/>
      <c r="B113" s="29" t="s">
        <v>104</v>
      </c>
      <c r="C113" s="25" t="s">
        <v>13</v>
      </c>
      <c r="D113" s="44">
        <v>0</v>
      </c>
    </row>
    <row r="114" spans="1:4" ht="15.75" thickBot="1" x14ac:dyDescent="0.3">
      <c r="A114" s="40" t="s">
        <v>110</v>
      </c>
      <c r="B114" s="41" t="s">
        <v>93</v>
      </c>
      <c r="C114" s="42" t="s">
        <v>47</v>
      </c>
      <c r="D114" s="41" t="s">
        <v>111</v>
      </c>
    </row>
    <row r="115" spans="1:4" ht="15.75" thickBot="1" x14ac:dyDescent="0.3">
      <c r="A115" s="24"/>
      <c r="B115" s="29" t="s">
        <v>95</v>
      </c>
      <c r="C115" s="25" t="s">
        <v>47</v>
      </c>
      <c r="D115" s="29" t="s">
        <v>107</v>
      </c>
    </row>
    <row r="116" spans="1:4" ht="15.75" thickBot="1" x14ac:dyDescent="0.3">
      <c r="A116" s="24"/>
      <c r="B116" s="29" t="s">
        <v>97</v>
      </c>
      <c r="C116" s="25" t="s">
        <v>107</v>
      </c>
      <c r="D116" s="39">
        <v>23452.096699999998</v>
      </c>
    </row>
    <row r="117" spans="1:4" ht="15.75" thickBot="1" x14ac:dyDescent="0.3">
      <c r="A117" s="24"/>
      <c r="B117" s="29" t="s">
        <v>98</v>
      </c>
      <c r="C117" s="25" t="s">
        <v>13</v>
      </c>
      <c r="D117" s="39">
        <f>247585.25-8469.9</f>
        <v>239115.35</v>
      </c>
    </row>
    <row r="118" spans="1:4" ht="15.75" thickBot="1" x14ac:dyDescent="0.3">
      <c r="A118" s="24"/>
      <c r="B118" s="25" t="s">
        <v>99</v>
      </c>
      <c r="C118" s="25" t="s">
        <v>13</v>
      </c>
      <c r="D118" s="43">
        <v>257547.05</v>
      </c>
    </row>
    <row r="119" spans="1:4" ht="15.75" thickBot="1" x14ac:dyDescent="0.3">
      <c r="A119" s="24"/>
      <c r="B119" s="25" t="s">
        <v>100</v>
      </c>
      <c r="C119" s="25" t="s">
        <v>13</v>
      </c>
      <c r="D119" s="43">
        <v>0</v>
      </c>
    </row>
    <row r="120" spans="1:4" ht="15.75" thickBot="1" x14ac:dyDescent="0.3">
      <c r="A120" s="24"/>
      <c r="B120" s="25" t="s">
        <v>101</v>
      </c>
      <c r="C120" s="25" t="s">
        <v>13</v>
      </c>
      <c r="D120" s="43">
        <v>305205.34999999998</v>
      </c>
    </row>
    <row r="121" spans="1:4" ht="15.75" thickBot="1" x14ac:dyDescent="0.3">
      <c r="A121" s="24"/>
      <c r="B121" s="25" t="s">
        <v>102</v>
      </c>
      <c r="C121" s="25" t="s">
        <v>13</v>
      </c>
      <c r="D121" s="43">
        <f>D118</f>
        <v>257547.05</v>
      </c>
    </row>
    <row r="122" spans="1:4" ht="15.75" thickBot="1" x14ac:dyDescent="0.3">
      <c r="A122" s="24"/>
      <c r="B122" s="25" t="s">
        <v>103</v>
      </c>
      <c r="C122" s="25" t="s">
        <v>13</v>
      </c>
      <c r="D122" s="43">
        <v>0</v>
      </c>
    </row>
    <row r="123" spans="1:4" ht="15.75" thickBot="1" x14ac:dyDescent="0.3">
      <c r="A123" s="24"/>
      <c r="B123" s="29" t="s">
        <v>104</v>
      </c>
      <c r="C123" s="25" t="s">
        <v>13</v>
      </c>
      <c r="D123" s="39">
        <v>0</v>
      </c>
    </row>
    <row r="124" spans="1:4" x14ac:dyDescent="0.25">
      <c r="A124" s="46"/>
      <c r="B124" s="47"/>
      <c r="C124" s="48"/>
      <c r="D124" s="49"/>
    </row>
    <row r="125" spans="1:4" ht="15.75" thickBot="1" x14ac:dyDescent="0.3">
      <c r="A125" s="8" t="s">
        <v>112</v>
      </c>
      <c r="B125" s="2"/>
      <c r="C125" s="2"/>
      <c r="D125" s="2"/>
    </row>
    <row r="126" spans="1:4" ht="15.75" thickBot="1" x14ac:dyDescent="0.3">
      <c r="A126" s="22" t="s">
        <v>113</v>
      </c>
      <c r="B126" s="33" t="s">
        <v>73</v>
      </c>
      <c r="C126" s="32" t="s">
        <v>114</v>
      </c>
      <c r="D126" s="33">
        <v>0</v>
      </c>
    </row>
    <row r="127" spans="1:4" ht="15.75" thickBot="1" x14ac:dyDescent="0.3">
      <c r="A127" s="24" t="s">
        <v>115</v>
      </c>
      <c r="B127" s="29" t="s">
        <v>75</v>
      </c>
      <c r="C127" s="25" t="s">
        <v>114</v>
      </c>
      <c r="D127" s="29">
        <v>0</v>
      </c>
    </row>
    <row r="128" spans="1:4" ht="15.75" thickBot="1" x14ac:dyDescent="0.3">
      <c r="A128" s="24" t="s">
        <v>116</v>
      </c>
      <c r="B128" s="29" t="s">
        <v>77</v>
      </c>
      <c r="C128" s="25" t="s">
        <v>114</v>
      </c>
      <c r="D128" s="29">
        <v>0</v>
      </c>
    </row>
    <row r="129" spans="1:4" ht="15.75" thickBot="1" x14ac:dyDescent="0.3">
      <c r="A129" s="24" t="s">
        <v>117</v>
      </c>
      <c r="B129" s="29" t="s">
        <v>79</v>
      </c>
      <c r="C129" s="25" t="s">
        <v>13</v>
      </c>
      <c r="D129" s="39">
        <v>0</v>
      </c>
    </row>
    <row r="130" spans="1:4" x14ac:dyDescent="0.25">
      <c r="A130" s="2"/>
      <c r="B130" s="2"/>
      <c r="C130" s="2"/>
      <c r="D130" s="2"/>
    </row>
    <row r="131" spans="1:4" ht="15.75" thickBot="1" x14ac:dyDescent="0.3">
      <c r="A131" s="8" t="s">
        <v>118</v>
      </c>
      <c r="B131" s="2"/>
      <c r="C131" s="2"/>
      <c r="D131" s="2"/>
    </row>
    <row r="132" spans="1:4" ht="15.75" thickBot="1" x14ac:dyDescent="0.3">
      <c r="A132" s="34">
        <v>48</v>
      </c>
      <c r="B132" s="33" t="s">
        <v>119</v>
      </c>
      <c r="C132" s="32" t="s">
        <v>114</v>
      </c>
      <c r="D132" s="33">
        <v>1</v>
      </c>
    </row>
    <row r="133" spans="1:4" ht="15.75" thickBot="1" x14ac:dyDescent="0.3">
      <c r="A133" s="50">
        <v>49</v>
      </c>
      <c r="B133" s="29" t="s">
        <v>120</v>
      </c>
      <c r="C133" s="25" t="s">
        <v>114</v>
      </c>
      <c r="D133" s="29">
        <v>5</v>
      </c>
    </row>
    <row r="134" spans="1:4" ht="15.75" thickBot="1" x14ac:dyDescent="0.3">
      <c r="A134" s="51">
        <v>50</v>
      </c>
      <c r="B134" s="52" t="s">
        <v>121</v>
      </c>
      <c r="C134" s="53" t="s">
        <v>13</v>
      </c>
      <c r="D134" s="56">
        <v>76334.539999999994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46" workbookViewId="0">
      <selection sqref="A1:D126"/>
    </sheetView>
  </sheetViews>
  <sheetFormatPr defaultRowHeight="15" x14ac:dyDescent="0.25"/>
  <cols>
    <col min="2" max="2" width="66.7109375" customWidth="1"/>
    <col min="3" max="3" width="12.42578125" customWidth="1"/>
    <col min="4" max="4" width="57.140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336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337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134986.17000000001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134986.17000000001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243913.44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169528.8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64784.639999999999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236627.53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163369.05+62948.48</f>
        <v>226317.53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10310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D20-D15</f>
        <v>101641.35999999999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120469.55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120469.55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132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3808170471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143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134</v>
      </c>
    </row>
    <row r="58" spans="1:4" ht="15.75" thickBot="1" x14ac:dyDescent="0.3">
      <c r="A58" s="24"/>
      <c r="B58" s="25" t="s">
        <v>51</v>
      </c>
      <c r="C58" s="25" t="s">
        <v>47</v>
      </c>
      <c r="D58" s="55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68</v>
      </c>
    </row>
    <row r="60" spans="1:4" x14ac:dyDescent="0.25">
      <c r="A60" s="2"/>
      <c r="B60" s="2"/>
      <c r="C60" s="2"/>
      <c r="D60" s="2"/>
    </row>
    <row r="61" spans="1:4" ht="15.75" thickBot="1" x14ac:dyDescent="0.3">
      <c r="A61" s="8" t="s">
        <v>71</v>
      </c>
      <c r="B61" s="2"/>
      <c r="C61" s="2"/>
      <c r="D61" s="2"/>
    </row>
    <row r="62" spans="1:4" ht="15.75" thickBot="1" x14ac:dyDescent="0.3">
      <c r="A62" s="22" t="s">
        <v>72</v>
      </c>
      <c r="B62" s="32" t="s">
        <v>73</v>
      </c>
      <c r="C62" s="32" t="s">
        <v>47</v>
      </c>
      <c r="D62" s="33">
        <v>0</v>
      </c>
    </row>
    <row r="63" spans="1:4" ht="15.75" thickBot="1" x14ac:dyDescent="0.3">
      <c r="A63" s="24" t="s">
        <v>74</v>
      </c>
      <c r="B63" s="25" t="s">
        <v>75</v>
      </c>
      <c r="C63" s="25" t="s">
        <v>47</v>
      </c>
      <c r="D63" s="29">
        <v>0</v>
      </c>
    </row>
    <row r="64" spans="1:4" ht="15.75" thickBot="1" x14ac:dyDescent="0.3">
      <c r="A64" s="24" t="s">
        <v>76</v>
      </c>
      <c r="B64" s="25" t="s">
        <v>77</v>
      </c>
      <c r="C64" s="25" t="s">
        <v>47</v>
      </c>
      <c r="D64" s="29">
        <v>0</v>
      </c>
    </row>
    <row r="65" spans="1:4" ht="15.75" thickBot="1" x14ac:dyDescent="0.3">
      <c r="A65" s="22" t="s">
        <v>78</v>
      </c>
      <c r="B65" s="34" t="s">
        <v>79</v>
      </c>
      <c r="C65" s="34" t="s">
        <v>13</v>
      </c>
      <c r="D65" s="35">
        <v>0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80</v>
      </c>
      <c r="B67" s="2"/>
      <c r="C67" s="2"/>
      <c r="D67" s="2"/>
    </row>
    <row r="68" spans="1:4" ht="15.75" thickBot="1" x14ac:dyDescent="0.3">
      <c r="A68" s="36" t="s">
        <v>81</v>
      </c>
      <c r="B68" s="33" t="s">
        <v>82</v>
      </c>
      <c r="C68" s="32" t="s">
        <v>13</v>
      </c>
      <c r="D68" s="37">
        <f>D70-D69</f>
        <v>21740.909999999989</v>
      </c>
    </row>
    <row r="69" spans="1:4" ht="15.75" thickBot="1" x14ac:dyDescent="0.3">
      <c r="A69" s="38" t="s">
        <v>83</v>
      </c>
      <c r="B69" s="25" t="s">
        <v>84</v>
      </c>
      <c r="C69" s="25" t="s">
        <v>13</v>
      </c>
      <c r="D69" s="39">
        <f>29010.63+1537.93+2892.61+728.76+8.05+113.57</f>
        <v>34291.550000000003</v>
      </c>
    </row>
    <row r="70" spans="1:4" ht="15.75" thickBot="1" x14ac:dyDescent="0.3">
      <c r="A70" s="38" t="s">
        <v>85</v>
      </c>
      <c r="B70" s="25" t="s">
        <v>86</v>
      </c>
      <c r="C70" s="25" t="s">
        <v>13</v>
      </c>
      <c r="D70" s="39">
        <f>15866.91+3350.48+27306.7+9031.49+54.27+422.61</f>
        <v>56032.459999999992</v>
      </c>
    </row>
    <row r="71" spans="1:4" ht="15.75" thickBot="1" x14ac:dyDescent="0.3">
      <c r="A71" s="38" t="s">
        <v>87</v>
      </c>
      <c r="B71" s="29" t="s">
        <v>88</v>
      </c>
      <c r="C71" s="25" t="s">
        <v>13</v>
      </c>
      <c r="D71" s="39">
        <f>D73-D72</f>
        <v>98010.34</v>
      </c>
    </row>
    <row r="72" spans="1:4" ht="15.75" thickBot="1" x14ac:dyDescent="0.3">
      <c r="A72" s="38" t="s">
        <v>89</v>
      </c>
      <c r="B72" s="25" t="s">
        <v>84</v>
      </c>
      <c r="C72" s="25" t="s">
        <v>13</v>
      </c>
      <c r="D72" s="39">
        <f>901.33+1246.41+77.85+505.01+272.9</f>
        <v>3003.5000000000005</v>
      </c>
    </row>
    <row r="73" spans="1:4" ht="15.75" thickBot="1" x14ac:dyDescent="0.3">
      <c r="A73" s="38" t="s">
        <v>90</v>
      </c>
      <c r="B73" s="25" t="s">
        <v>86</v>
      </c>
      <c r="C73" s="25" t="s">
        <v>13</v>
      </c>
      <c r="D73" s="39">
        <f>46961.92+6845.94+33928.1+12708.8+64.27+504.81</f>
        <v>101013.84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91</v>
      </c>
      <c r="B75" s="2"/>
      <c r="C75" s="2"/>
      <c r="D75" s="2"/>
    </row>
    <row r="76" spans="1:4" ht="15.75" thickBot="1" x14ac:dyDescent="0.3">
      <c r="A76" s="40" t="s">
        <v>92</v>
      </c>
      <c r="B76" s="41" t="s">
        <v>93</v>
      </c>
      <c r="C76" s="42" t="s">
        <v>47</v>
      </c>
      <c r="D76" s="41" t="s">
        <v>94</v>
      </c>
    </row>
    <row r="77" spans="1:4" ht="15.75" thickBot="1" x14ac:dyDescent="0.3">
      <c r="A77" s="24"/>
      <c r="B77" s="29" t="s">
        <v>95</v>
      </c>
      <c r="C77" s="25" t="s">
        <v>47</v>
      </c>
      <c r="D77" s="29" t="s">
        <v>96</v>
      </c>
    </row>
    <row r="78" spans="1:4" ht="15.75" thickBot="1" x14ac:dyDescent="0.3">
      <c r="A78" s="24"/>
      <c r="B78" s="29" t="s">
        <v>97</v>
      </c>
      <c r="C78" s="25" t="s">
        <v>96</v>
      </c>
      <c r="D78" s="39">
        <v>216.75360000000001</v>
      </c>
    </row>
    <row r="79" spans="1:4" ht="15.75" thickBot="1" x14ac:dyDescent="0.3">
      <c r="A79" s="24"/>
      <c r="B79" s="29" t="s">
        <v>98</v>
      </c>
      <c r="C79" s="25" t="s">
        <v>13</v>
      </c>
      <c r="D79" s="39">
        <f>216430.2+1068.81</f>
        <v>217499.01</v>
      </c>
    </row>
    <row r="80" spans="1:4" ht="15.75" thickBot="1" x14ac:dyDescent="0.3">
      <c r="A80" s="24"/>
      <c r="B80" s="25" t="s">
        <v>99</v>
      </c>
      <c r="C80" s="25" t="s">
        <v>13</v>
      </c>
      <c r="D80" s="43">
        <v>157393.37</v>
      </c>
    </row>
    <row r="81" spans="1:4" ht="15.75" thickBot="1" x14ac:dyDescent="0.3">
      <c r="A81" s="24"/>
      <c r="B81" s="25" t="s">
        <v>100</v>
      </c>
      <c r="C81" s="25" t="s">
        <v>13</v>
      </c>
      <c r="D81" s="43">
        <f>D79-D80</f>
        <v>60105.640000000014</v>
      </c>
    </row>
    <row r="82" spans="1:4" ht="15.75" thickBot="1" x14ac:dyDescent="0.3">
      <c r="A82" s="24"/>
      <c r="B82" s="25" t="s">
        <v>101</v>
      </c>
      <c r="C82" s="25" t="s">
        <v>13</v>
      </c>
      <c r="D82" s="43">
        <v>190699.99</v>
      </c>
    </row>
    <row r="83" spans="1:4" ht="15.75" thickBot="1" x14ac:dyDescent="0.3">
      <c r="A83" s="24"/>
      <c r="B83" s="25" t="s">
        <v>102</v>
      </c>
      <c r="C83" s="25" t="s">
        <v>13</v>
      </c>
      <c r="D83" s="43">
        <f>D80</f>
        <v>157393.37</v>
      </c>
    </row>
    <row r="84" spans="1:4" ht="15.75" thickBot="1" x14ac:dyDescent="0.3">
      <c r="A84" s="24"/>
      <c r="B84" s="25" t="s">
        <v>103</v>
      </c>
      <c r="C84" s="25" t="s">
        <v>13</v>
      </c>
      <c r="D84" s="43">
        <f>D81</f>
        <v>60105.640000000014</v>
      </c>
    </row>
    <row r="85" spans="1:4" ht="15.75" thickBot="1" x14ac:dyDescent="0.3">
      <c r="A85" s="24"/>
      <c r="B85" s="29" t="s">
        <v>104</v>
      </c>
      <c r="C85" s="25" t="s">
        <v>13</v>
      </c>
      <c r="D85" s="39">
        <v>0</v>
      </c>
    </row>
    <row r="86" spans="1:4" ht="15.75" thickBot="1" x14ac:dyDescent="0.3">
      <c r="A86" s="40" t="s">
        <v>105</v>
      </c>
      <c r="B86" s="41" t="s">
        <v>93</v>
      </c>
      <c r="C86" s="42" t="s">
        <v>47</v>
      </c>
      <c r="D86" s="41" t="s">
        <v>106</v>
      </c>
    </row>
    <row r="87" spans="1:4" ht="15.75" thickBot="1" x14ac:dyDescent="0.3">
      <c r="A87" s="24"/>
      <c r="B87" s="29" t="s">
        <v>95</v>
      </c>
      <c r="C87" s="25" t="s">
        <v>47</v>
      </c>
      <c r="D87" s="29" t="s">
        <v>107</v>
      </c>
    </row>
    <row r="88" spans="1:4" ht="15.75" thickBot="1" x14ac:dyDescent="0.3">
      <c r="A88" s="24"/>
      <c r="B88" s="29" t="s">
        <v>97</v>
      </c>
      <c r="C88" s="25" t="s">
        <v>107</v>
      </c>
      <c r="D88" s="44">
        <v>2393.2192</v>
      </c>
    </row>
    <row r="89" spans="1:4" ht="15.75" thickBot="1" x14ac:dyDescent="0.3">
      <c r="A89" s="24"/>
      <c r="B89" s="29" t="s">
        <v>98</v>
      </c>
      <c r="C89" s="25" t="s">
        <v>13</v>
      </c>
      <c r="D89" s="44">
        <f>24393.97-318.37+376.5</f>
        <v>24452.100000000002</v>
      </c>
    </row>
    <row r="90" spans="1:4" ht="15.75" thickBot="1" x14ac:dyDescent="0.3">
      <c r="A90" s="24"/>
      <c r="B90" s="25" t="s">
        <v>99</v>
      </c>
      <c r="C90" s="25" t="s">
        <v>13</v>
      </c>
      <c r="D90" s="45">
        <f>863.46+19943.54</f>
        <v>20807</v>
      </c>
    </row>
    <row r="91" spans="1:4" ht="15.75" thickBot="1" x14ac:dyDescent="0.3">
      <c r="A91" s="24"/>
      <c r="B91" s="25" t="s">
        <v>100</v>
      </c>
      <c r="C91" s="25" t="s">
        <v>13</v>
      </c>
      <c r="D91" s="45">
        <f>D89-D90</f>
        <v>3645.1000000000022</v>
      </c>
    </row>
    <row r="92" spans="1:4" ht="15.75" thickBot="1" x14ac:dyDescent="0.3">
      <c r="A92" s="24"/>
      <c r="B92" s="25" t="s">
        <v>101</v>
      </c>
      <c r="C92" s="25" t="s">
        <v>13</v>
      </c>
      <c r="D92" s="45">
        <v>25832.080000000002</v>
      </c>
    </row>
    <row r="93" spans="1:4" ht="15.75" thickBot="1" x14ac:dyDescent="0.3">
      <c r="A93" s="24"/>
      <c r="B93" s="25" t="s">
        <v>102</v>
      </c>
      <c r="C93" s="25" t="s">
        <v>13</v>
      </c>
      <c r="D93" s="45">
        <f>D90</f>
        <v>20807</v>
      </c>
    </row>
    <row r="94" spans="1:4" ht="15.75" thickBot="1" x14ac:dyDescent="0.3">
      <c r="A94" s="24"/>
      <c r="B94" s="25" t="s">
        <v>103</v>
      </c>
      <c r="C94" s="25" t="s">
        <v>13</v>
      </c>
      <c r="D94" s="45">
        <f>D91</f>
        <v>3645.1000000000022</v>
      </c>
    </row>
    <row r="95" spans="1:4" ht="15.75" thickBot="1" x14ac:dyDescent="0.3">
      <c r="A95" s="24"/>
      <c r="B95" s="29" t="s">
        <v>104</v>
      </c>
      <c r="C95" s="25" t="s">
        <v>13</v>
      </c>
      <c r="D95" s="44">
        <v>0</v>
      </c>
    </row>
    <row r="96" spans="1:4" ht="15.75" thickBot="1" x14ac:dyDescent="0.3">
      <c r="A96" s="40" t="s">
        <v>108</v>
      </c>
      <c r="B96" s="41" t="s">
        <v>93</v>
      </c>
      <c r="C96" s="42" t="s">
        <v>47</v>
      </c>
      <c r="D96" s="41" t="s">
        <v>109</v>
      </c>
    </row>
    <row r="97" spans="1:4" ht="15.75" thickBot="1" x14ac:dyDescent="0.3">
      <c r="A97" s="24"/>
      <c r="B97" s="29" t="s">
        <v>95</v>
      </c>
      <c r="C97" s="25" t="s">
        <v>47</v>
      </c>
      <c r="D97" s="29" t="s">
        <v>107</v>
      </c>
    </row>
    <row r="98" spans="1:4" ht="15.75" thickBot="1" x14ac:dyDescent="0.3">
      <c r="A98" s="24"/>
      <c r="B98" s="29" t="s">
        <v>97</v>
      </c>
      <c r="C98" s="25" t="s">
        <v>107</v>
      </c>
      <c r="D98" s="44">
        <v>1575.3904</v>
      </c>
    </row>
    <row r="99" spans="1:4" ht="15.75" thickBot="1" x14ac:dyDescent="0.3">
      <c r="A99" s="24"/>
      <c r="B99" s="29" t="s">
        <v>98</v>
      </c>
      <c r="C99" s="25" t="s">
        <v>13</v>
      </c>
      <c r="D99" s="44">
        <f>110513.97-687.86</f>
        <v>109826.11</v>
      </c>
    </row>
    <row r="100" spans="1:4" ht="15.75" thickBot="1" x14ac:dyDescent="0.3">
      <c r="A100" s="24"/>
      <c r="B100" s="25" t="s">
        <v>99</v>
      </c>
      <c r="C100" s="25" t="s">
        <v>13</v>
      </c>
      <c r="D100" s="45">
        <v>101558.51</v>
      </c>
    </row>
    <row r="101" spans="1:4" ht="15.75" thickBot="1" x14ac:dyDescent="0.3">
      <c r="A101" s="24"/>
      <c r="B101" s="25" t="s">
        <v>100</v>
      </c>
      <c r="C101" s="25" t="s">
        <v>13</v>
      </c>
      <c r="D101" s="45">
        <f>D99-D100</f>
        <v>8267.6000000000058</v>
      </c>
    </row>
    <row r="102" spans="1:4" ht="15.75" thickBot="1" x14ac:dyDescent="0.3">
      <c r="A102" s="24"/>
      <c r="B102" s="25" t="s">
        <v>101</v>
      </c>
      <c r="C102" s="25" t="s">
        <v>13</v>
      </c>
      <c r="D102" s="45">
        <v>142290.66</v>
      </c>
    </row>
    <row r="103" spans="1:4" ht="15.75" thickBot="1" x14ac:dyDescent="0.3">
      <c r="A103" s="24"/>
      <c r="B103" s="25" t="s">
        <v>102</v>
      </c>
      <c r="C103" s="25" t="s">
        <v>13</v>
      </c>
      <c r="D103" s="45">
        <f>D100</f>
        <v>101558.51</v>
      </c>
    </row>
    <row r="104" spans="1:4" ht="15.75" thickBot="1" x14ac:dyDescent="0.3">
      <c r="A104" s="24"/>
      <c r="B104" s="25" t="s">
        <v>103</v>
      </c>
      <c r="C104" s="25" t="s">
        <v>13</v>
      </c>
      <c r="D104" s="45">
        <f>D101</f>
        <v>8267.6000000000058</v>
      </c>
    </row>
    <row r="105" spans="1:4" ht="15.75" thickBot="1" x14ac:dyDescent="0.3">
      <c r="A105" s="24"/>
      <c r="B105" s="29" t="s">
        <v>104</v>
      </c>
      <c r="C105" s="25" t="s">
        <v>13</v>
      </c>
      <c r="D105" s="44">
        <v>0</v>
      </c>
    </row>
    <row r="106" spans="1:4" ht="15.75" thickBot="1" x14ac:dyDescent="0.3">
      <c r="A106" s="40" t="s">
        <v>110</v>
      </c>
      <c r="B106" s="41" t="s">
        <v>93</v>
      </c>
      <c r="C106" s="42" t="s">
        <v>47</v>
      </c>
      <c r="D106" s="41" t="s">
        <v>111</v>
      </c>
    </row>
    <row r="107" spans="1:4" ht="15.75" thickBot="1" x14ac:dyDescent="0.3">
      <c r="A107" s="24"/>
      <c r="B107" s="29" t="s">
        <v>95</v>
      </c>
      <c r="C107" s="25" t="s">
        <v>47</v>
      </c>
      <c r="D107" s="29" t="s">
        <v>107</v>
      </c>
    </row>
    <row r="108" spans="1:4" ht="15.75" thickBot="1" x14ac:dyDescent="0.3">
      <c r="A108" s="24"/>
      <c r="B108" s="29" t="s">
        <v>97</v>
      </c>
      <c r="C108" s="25" t="s">
        <v>107</v>
      </c>
      <c r="D108" s="39">
        <v>3968.6079</v>
      </c>
    </row>
    <row r="109" spans="1:4" ht="15.75" thickBot="1" x14ac:dyDescent="0.3">
      <c r="A109" s="24"/>
      <c r="B109" s="29" t="s">
        <v>98</v>
      </c>
      <c r="C109" s="25" t="s">
        <v>13</v>
      </c>
      <c r="D109" s="39">
        <f>41967.03-549.04</f>
        <v>41417.99</v>
      </c>
    </row>
    <row r="110" spans="1:4" ht="15.75" thickBot="1" x14ac:dyDescent="0.3">
      <c r="A110" s="24"/>
      <c r="B110" s="25" t="s">
        <v>99</v>
      </c>
      <c r="C110" s="25" t="s">
        <v>13</v>
      </c>
      <c r="D110" s="43">
        <v>37089.769999999997</v>
      </c>
    </row>
    <row r="111" spans="1:4" ht="15.75" thickBot="1" x14ac:dyDescent="0.3">
      <c r="A111" s="24"/>
      <c r="B111" s="25" t="s">
        <v>100</v>
      </c>
      <c r="C111" s="25" t="s">
        <v>13</v>
      </c>
      <c r="D111" s="43">
        <f>D109-D110</f>
        <v>4328.2200000000012</v>
      </c>
    </row>
    <row r="112" spans="1:4" ht="15.75" thickBot="1" x14ac:dyDescent="0.3">
      <c r="A112" s="24"/>
      <c r="B112" s="25" t="s">
        <v>101</v>
      </c>
      <c r="C112" s="25" t="s">
        <v>13</v>
      </c>
      <c r="D112" s="43">
        <v>46862.37</v>
      </c>
    </row>
    <row r="113" spans="1:4" ht="15.75" thickBot="1" x14ac:dyDescent="0.3">
      <c r="A113" s="24"/>
      <c r="B113" s="25" t="s">
        <v>102</v>
      </c>
      <c r="C113" s="25" t="s">
        <v>13</v>
      </c>
      <c r="D113" s="43">
        <f>D110</f>
        <v>37089.769999999997</v>
      </c>
    </row>
    <row r="114" spans="1:4" ht="15.75" thickBot="1" x14ac:dyDescent="0.3">
      <c r="A114" s="24"/>
      <c r="B114" s="25" t="s">
        <v>103</v>
      </c>
      <c r="C114" s="25" t="s">
        <v>13</v>
      </c>
      <c r="D114" s="43">
        <f>D111</f>
        <v>4328.2200000000012</v>
      </c>
    </row>
    <row r="115" spans="1:4" ht="15.75" thickBot="1" x14ac:dyDescent="0.3">
      <c r="A115" s="24"/>
      <c r="B115" s="29" t="s">
        <v>104</v>
      </c>
      <c r="C115" s="25" t="s">
        <v>13</v>
      </c>
      <c r="D115" s="39">
        <v>0</v>
      </c>
    </row>
    <row r="116" spans="1:4" x14ac:dyDescent="0.25">
      <c r="A116" s="46"/>
      <c r="B116" s="47"/>
      <c r="C116" s="48"/>
      <c r="D116" s="49"/>
    </row>
    <row r="117" spans="1:4" ht="15.75" thickBot="1" x14ac:dyDescent="0.3">
      <c r="A117" s="8" t="s">
        <v>112</v>
      </c>
      <c r="B117" s="2"/>
      <c r="C117" s="2"/>
      <c r="D117" s="2"/>
    </row>
    <row r="118" spans="1:4" ht="15.75" thickBot="1" x14ac:dyDescent="0.3">
      <c r="A118" s="22" t="s">
        <v>113</v>
      </c>
      <c r="B118" s="33" t="s">
        <v>73</v>
      </c>
      <c r="C118" s="32" t="s">
        <v>114</v>
      </c>
      <c r="D118" s="33">
        <v>0</v>
      </c>
    </row>
    <row r="119" spans="1:4" ht="15.75" thickBot="1" x14ac:dyDescent="0.3">
      <c r="A119" s="24" t="s">
        <v>115</v>
      </c>
      <c r="B119" s="29" t="s">
        <v>75</v>
      </c>
      <c r="C119" s="25" t="s">
        <v>114</v>
      </c>
      <c r="D119" s="29">
        <v>0</v>
      </c>
    </row>
    <row r="120" spans="1:4" ht="15.75" thickBot="1" x14ac:dyDescent="0.3">
      <c r="A120" s="24" t="s">
        <v>116</v>
      </c>
      <c r="B120" s="29" t="s">
        <v>77</v>
      </c>
      <c r="C120" s="25" t="s">
        <v>114</v>
      </c>
      <c r="D120" s="29">
        <v>0</v>
      </c>
    </row>
    <row r="121" spans="1:4" ht="15.75" thickBot="1" x14ac:dyDescent="0.3">
      <c r="A121" s="24" t="s">
        <v>117</v>
      </c>
      <c r="B121" s="29" t="s">
        <v>79</v>
      </c>
      <c r="C121" s="25" t="s">
        <v>13</v>
      </c>
      <c r="D121" s="39">
        <v>0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118</v>
      </c>
      <c r="B123" s="2"/>
      <c r="C123" s="2"/>
      <c r="D123" s="2"/>
    </row>
    <row r="124" spans="1:4" ht="15.75" thickBot="1" x14ac:dyDescent="0.3">
      <c r="A124" s="34">
        <v>48</v>
      </c>
      <c r="B124" s="33" t="s">
        <v>119</v>
      </c>
      <c r="C124" s="32" t="s">
        <v>114</v>
      </c>
      <c r="D124" s="33">
        <v>0</v>
      </c>
    </row>
    <row r="125" spans="1:4" ht="15.75" thickBot="1" x14ac:dyDescent="0.3">
      <c r="A125" s="50">
        <v>49</v>
      </c>
      <c r="B125" s="29" t="s">
        <v>120</v>
      </c>
      <c r="C125" s="25" t="s">
        <v>114</v>
      </c>
      <c r="D125" s="29">
        <v>1</v>
      </c>
    </row>
    <row r="126" spans="1:4" ht="15.75" thickBot="1" x14ac:dyDescent="0.3">
      <c r="A126" s="51">
        <v>50</v>
      </c>
      <c r="B126" s="52" t="s">
        <v>121</v>
      </c>
      <c r="C126" s="53" t="s">
        <v>13</v>
      </c>
      <c r="D126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34" workbookViewId="0">
      <selection sqref="A1:D126"/>
    </sheetView>
  </sheetViews>
  <sheetFormatPr defaultRowHeight="15" x14ac:dyDescent="0.25"/>
  <cols>
    <col min="2" max="2" width="70.7109375" customWidth="1"/>
    <col min="3" max="3" width="17" customWidth="1"/>
    <col min="4" max="4" width="55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338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339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27461.71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27461.71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496998.40000000002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314021.4+32700.28</f>
        <v>346721.68000000005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120001.59+13783.77+12891.36</f>
        <v>146676.71999999997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485979.93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306641.94+117703.97+45581.59+12152.43</f>
        <v>482079.93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3900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D20-D13</f>
        <v>458518.22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119354.71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119354.71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132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3808170471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143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134</v>
      </c>
    </row>
    <row r="58" spans="1:4" ht="15.75" thickBot="1" x14ac:dyDescent="0.3">
      <c r="A58" s="24"/>
      <c r="B58" s="25" t="s">
        <v>51</v>
      </c>
      <c r="C58" s="25" t="s">
        <v>47</v>
      </c>
      <c r="D58" s="55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68</v>
      </c>
    </row>
    <row r="60" spans="1:4" x14ac:dyDescent="0.25">
      <c r="A60" s="2"/>
      <c r="B60" s="2"/>
      <c r="C60" s="2"/>
      <c r="D60" s="2"/>
    </row>
    <row r="61" spans="1:4" ht="15.75" thickBot="1" x14ac:dyDescent="0.3">
      <c r="A61" s="8" t="s">
        <v>71</v>
      </c>
      <c r="B61" s="2"/>
      <c r="C61" s="2"/>
      <c r="D61" s="2"/>
    </row>
    <row r="62" spans="1:4" ht="15.75" thickBot="1" x14ac:dyDescent="0.3">
      <c r="A62" s="22" t="s">
        <v>72</v>
      </c>
      <c r="B62" s="32" t="s">
        <v>73</v>
      </c>
      <c r="C62" s="32" t="s">
        <v>47</v>
      </c>
      <c r="D62" s="33">
        <v>0</v>
      </c>
    </row>
    <row r="63" spans="1:4" ht="15.75" thickBot="1" x14ac:dyDescent="0.3">
      <c r="A63" s="24" t="s">
        <v>74</v>
      </c>
      <c r="B63" s="25" t="s">
        <v>75</v>
      </c>
      <c r="C63" s="25" t="s">
        <v>47</v>
      </c>
      <c r="D63" s="29">
        <v>0</v>
      </c>
    </row>
    <row r="64" spans="1:4" ht="15.75" thickBot="1" x14ac:dyDescent="0.3">
      <c r="A64" s="24" t="s">
        <v>76</v>
      </c>
      <c r="B64" s="25" t="s">
        <v>77</v>
      </c>
      <c r="C64" s="25" t="s">
        <v>47</v>
      </c>
      <c r="D64" s="29">
        <v>0</v>
      </c>
    </row>
    <row r="65" spans="1:4" ht="15.75" thickBot="1" x14ac:dyDescent="0.3">
      <c r="A65" s="22" t="s">
        <v>78</v>
      </c>
      <c r="B65" s="34" t="s">
        <v>79</v>
      </c>
      <c r="C65" s="34" t="s">
        <v>13</v>
      </c>
      <c r="D65" s="35">
        <v>0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80</v>
      </c>
      <c r="B67" s="2"/>
      <c r="C67" s="2"/>
      <c r="D67" s="2"/>
    </row>
    <row r="68" spans="1:4" ht="15.75" thickBot="1" x14ac:dyDescent="0.3">
      <c r="A68" s="36" t="s">
        <v>81</v>
      </c>
      <c r="B68" s="33" t="s">
        <v>82</v>
      </c>
      <c r="C68" s="32" t="s">
        <v>13</v>
      </c>
      <c r="D68" s="37">
        <f>D70-D69</f>
        <v>32812.340000000004</v>
      </c>
    </row>
    <row r="69" spans="1:4" ht="15.75" thickBot="1" x14ac:dyDescent="0.3">
      <c r="A69" s="38" t="s">
        <v>83</v>
      </c>
      <c r="B69" s="25" t="s">
        <v>84</v>
      </c>
      <c r="C69" s="25" t="s">
        <v>13</v>
      </c>
      <c r="D69" s="39">
        <f>23764.47+8436.32+486.47+655.64</f>
        <v>33342.9</v>
      </c>
    </row>
    <row r="70" spans="1:4" ht="15.75" thickBot="1" x14ac:dyDescent="0.3">
      <c r="A70" s="38" t="s">
        <v>85</v>
      </c>
      <c r="B70" s="25" t="s">
        <v>86</v>
      </c>
      <c r="C70" s="25" t="s">
        <v>13</v>
      </c>
      <c r="D70" s="39">
        <f>31532.09+1596.1+21237.17+10457.4+153.02+1179.46</f>
        <v>66155.240000000005</v>
      </c>
    </row>
    <row r="71" spans="1:4" ht="15.75" thickBot="1" x14ac:dyDescent="0.3">
      <c r="A71" s="38" t="s">
        <v>87</v>
      </c>
      <c r="B71" s="29" t="s">
        <v>88</v>
      </c>
      <c r="C71" s="25" t="s">
        <v>13</v>
      </c>
      <c r="D71" s="39">
        <f>D73-D72</f>
        <v>117913.35</v>
      </c>
    </row>
    <row r="72" spans="1:4" ht="15.75" thickBot="1" x14ac:dyDescent="0.3">
      <c r="A72" s="38" t="s">
        <v>89</v>
      </c>
      <c r="B72" s="25" t="s">
        <v>84</v>
      </c>
      <c r="C72" s="25" t="s">
        <v>13</v>
      </c>
      <c r="D72" s="39">
        <f>1845.45+142.14+450.92+1938.29+1121.96</f>
        <v>5498.76</v>
      </c>
    </row>
    <row r="73" spans="1:4" ht="15.75" thickBot="1" x14ac:dyDescent="0.3">
      <c r="A73" s="38" t="s">
        <v>90</v>
      </c>
      <c r="B73" s="25" t="s">
        <v>86</v>
      </c>
      <c r="C73" s="25" t="s">
        <v>13</v>
      </c>
      <c r="D73" s="39">
        <f>86959.5+4336.22+22650.6+8434.21+120.97+910.61</f>
        <v>123412.11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91</v>
      </c>
      <c r="B75" s="2"/>
      <c r="C75" s="2"/>
      <c r="D75" s="2"/>
    </row>
    <row r="76" spans="1:4" ht="15.75" thickBot="1" x14ac:dyDescent="0.3">
      <c r="A76" s="40" t="s">
        <v>92</v>
      </c>
      <c r="B76" s="41" t="s">
        <v>93</v>
      </c>
      <c r="C76" s="42" t="s">
        <v>47</v>
      </c>
      <c r="D76" s="41" t="s">
        <v>94</v>
      </c>
    </row>
    <row r="77" spans="1:4" ht="15.75" thickBot="1" x14ac:dyDescent="0.3">
      <c r="A77" s="24"/>
      <c r="B77" s="29" t="s">
        <v>95</v>
      </c>
      <c r="C77" s="25" t="s">
        <v>47</v>
      </c>
      <c r="D77" s="29" t="s">
        <v>96</v>
      </c>
    </row>
    <row r="78" spans="1:4" ht="15.75" thickBot="1" x14ac:dyDescent="0.3">
      <c r="A78" s="24"/>
      <c r="B78" s="29" t="s">
        <v>97</v>
      </c>
      <c r="C78" s="25" t="s">
        <v>96</v>
      </c>
      <c r="D78" s="39">
        <v>408.22980000000001</v>
      </c>
    </row>
    <row r="79" spans="1:4" ht="15.75" thickBot="1" x14ac:dyDescent="0.3">
      <c r="A79" s="24"/>
      <c r="B79" s="29" t="s">
        <v>98</v>
      </c>
      <c r="C79" s="25" t="s">
        <v>13</v>
      </c>
      <c r="D79" s="39">
        <f>407601.65+23457.2</f>
        <v>431058.85000000003</v>
      </c>
    </row>
    <row r="80" spans="1:4" ht="15.75" thickBot="1" x14ac:dyDescent="0.3">
      <c r="A80" s="24"/>
      <c r="B80" s="25" t="s">
        <v>99</v>
      </c>
      <c r="C80" s="25" t="s">
        <v>13</v>
      </c>
      <c r="D80" s="43">
        <v>351866.97</v>
      </c>
    </row>
    <row r="81" spans="1:4" ht="15.75" thickBot="1" x14ac:dyDescent="0.3">
      <c r="A81" s="24"/>
      <c r="B81" s="25" t="s">
        <v>100</v>
      </c>
      <c r="C81" s="25" t="s">
        <v>13</v>
      </c>
      <c r="D81" s="43">
        <f>D79-D80</f>
        <v>79191.880000000063</v>
      </c>
    </row>
    <row r="82" spans="1:4" ht="15.75" thickBot="1" x14ac:dyDescent="0.3">
      <c r="A82" s="24"/>
      <c r="B82" s="25" t="s">
        <v>101</v>
      </c>
      <c r="C82" s="25" t="s">
        <v>13</v>
      </c>
      <c r="D82" s="43">
        <v>428833.45</v>
      </c>
    </row>
    <row r="83" spans="1:4" ht="15.75" thickBot="1" x14ac:dyDescent="0.3">
      <c r="A83" s="24"/>
      <c r="B83" s="25" t="s">
        <v>102</v>
      </c>
      <c r="C83" s="25" t="s">
        <v>13</v>
      </c>
      <c r="D83" s="43">
        <f>D80</f>
        <v>351866.97</v>
      </c>
    </row>
    <row r="84" spans="1:4" ht="15.75" thickBot="1" x14ac:dyDescent="0.3">
      <c r="A84" s="24"/>
      <c r="B84" s="25" t="s">
        <v>103</v>
      </c>
      <c r="C84" s="25" t="s">
        <v>13</v>
      </c>
      <c r="D84" s="43">
        <f>D81</f>
        <v>79191.880000000063</v>
      </c>
    </row>
    <row r="85" spans="1:4" ht="15.75" thickBot="1" x14ac:dyDescent="0.3">
      <c r="A85" s="24"/>
      <c r="B85" s="29" t="s">
        <v>104</v>
      </c>
      <c r="C85" s="25" t="s">
        <v>13</v>
      </c>
      <c r="D85" s="39">
        <v>0</v>
      </c>
    </row>
    <row r="86" spans="1:4" ht="15.75" thickBot="1" x14ac:dyDescent="0.3">
      <c r="A86" s="40" t="s">
        <v>105</v>
      </c>
      <c r="B86" s="41" t="s">
        <v>93</v>
      </c>
      <c r="C86" s="42" t="s">
        <v>47</v>
      </c>
      <c r="D86" s="41" t="s">
        <v>106</v>
      </c>
    </row>
    <row r="87" spans="1:4" ht="15.75" thickBot="1" x14ac:dyDescent="0.3">
      <c r="A87" s="24"/>
      <c r="B87" s="29" t="s">
        <v>95</v>
      </c>
      <c r="C87" s="25" t="s">
        <v>47</v>
      </c>
      <c r="D87" s="29" t="s">
        <v>107</v>
      </c>
    </row>
    <row r="88" spans="1:4" ht="15.75" thickBot="1" x14ac:dyDescent="0.3">
      <c r="A88" s="24"/>
      <c r="B88" s="29" t="s">
        <v>97</v>
      </c>
      <c r="C88" s="25" t="s">
        <v>107</v>
      </c>
      <c r="D88" s="44">
        <v>4133.8</v>
      </c>
    </row>
    <row r="89" spans="1:4" ht="15.75" thickBot="1" x14ac:dyDescent="0.3">
      <c r="A89" s="24"/>
      <c r="B89" s="29" t="s">
        <v>98</v>
      </c>
      <c r="C89" s="25" t="s">
        <v>13</v>
      </c>
      <c r="D89" s="44">
        <f>42115.53-1177.91+930.66+638.59</f>
        <v>42506.869999999995</v>
      </c>
    </row>
    <row r="90" spans="1:4" ht="15.75" thickBot="1" x14ac:dyDescent="0.3">
      <c r="A90" s="24"/>
      <c r="B90" s="25" t="s">
        <v>99</v>
      </c>
      <c r="C90" s="25" t="s">
        <v>13</v>
      </c>
      <c r="D90" s="45">
        <f>3539.59+31606.63</f>
        <v>35146.22</v>
      </c>
    </row>
    <row r="91" spans="1:4" ht="15.75" thickBot="1" x14ac:dyDescent="0.3">
      <c r="A91" s="24"/>
      <c r="B91" s="25" t="s">
        <v>100</v>
      </c>
      <c r="C91" s="25" t="s">
        <v>13</v>
      </c>
      <c r="D91" s="45">
        <f>D89-D90</f>
        <v>7360.6499999999942</v>
      </c>
    </row>
    <row r="92" spans="1:4" ht="15.75" thickBot="1" x14ac:dyDescent="0.3">
      <c r="A92" s="24"/>
      <c r="B92" s="25" t="s">
        <v>101</v>
      </c>
      <c r="C92" s="25" t="s">
        <v>13</v>
      </c>
      <c r="D92" s="45">
        <v>31626.93</v>
      </c>
    </row>
    <row r="93" spans="1:4" ht="15.75" thickBot="1" x14ac:dyDescent="0.3">
      <c r="A93" s="24"/>
      <c r="B93" s="25" t="s">
        <v>102</v>
      </c>
      <c r="C93" s="25" t="s">
        <v>13</v>
      </c>
      <c r="D93" s="45">
        <f>D90</f>
        <v>35146.22</v>
      </c>
    </row>
    <row r="94" spans="1:4" ht="15.75" thickBot="1" x14ac:dyDescent="0.3">
      <c r="A94" s="24"/>
      <c r="B94" s="25" t="s">
        <v>103</v>
      </c>
      <c r="C94" s="25" t="s">
        <v>13</v>
      </c>
      <c r="D94" s="45">
        <f>D91</f>
        <v>7360.6499999999942</v>
      </c>
    </row>
    <row r="95" spans="1:4" ht="15.75" thickBot="1" x14ac:dyDescent="0.3">
      <c r="A95" s="24"/>
      <c r="B95" s="29" t="s">
        <v>104</v>
      </c>
      <c r="C95" s="25" t="s">
        <v>13</v>
      </c>
      <c r="D95" s="44">
        <v>0</v>
      </c>
    </row>
    <row r="96" spans="1:4" ht="15.75" thickBot="1" x14ac:dyDescent="0.3">
      <c r="A96" s="40" t="s">
        <v>108</v>
      </c>
      <c r="B96" s="41" t="s">
        <v>93</v>
      </c>
      <c r="C96" s="42" t="s">
        <v>47</v>
      </c>
      <c r="D96" s="41" t="s">
        <v>109</v>
      </c>
    </row>
    <row r="97" spans="1:4" ht="15.75" thickBot="1" x14ac:dyDescent="0.3">
      <c r="A97" s="24"/>
      <c r="B97" s="29" t="s">
        <v>95</v>
      </c>
      <c r="C97" s="25" t="s">
        <v>47</v>
      </c>
      <c r="D97" s="29" t="s">
        <v>107</v>
      </c>
    </row>
    <row r="98" spans="1:4" ht="15.75" thickBot="1" x14ac:dyDescent="0.3">
      <c r="A98" s="24"/>
      <c r="B98" s="29" t="s">
        <v>97</v>
      </c>
      <c r="C98" s="25" t="s">
        <v>107</v>
      </c>
      <c r="D98" s="44">
        <v>2753.7492000000002</v>
      </c>
    </row>
    <row r="99" spans="1:4" ht="15.75" thickBot="1" x14ac:dyDescent="0.3">
      <c r="A99" s="24"/>
      <c r="B99" s="29" t="s">
        <v>98</v>
      </c>
      <c r="C99" s="25" t="s">
        <v>13</v>
      </c>
      <c r="D99" s="44">
        <f>192937.03-4409.9+6895.31+3043.68</f>
        <v>198466.12</v>
      </c>
    </row>
    <row r="100" spans="1:4" ht="15.75" thickBot="1" x14ac:dyDescent="0.3">
      <c r="A100" s="24"/>
      <c r="B100" s="25" t="s">
        <v>99</v>
      </c>
      <c r="C100" s="25" t="s">
        <v>13</v>
      </c>
      <c r="D100" s="45">
        <f>11329.8+186769.37</f>
        <v>198099.16999999998</v>
      </c>
    </row>
    <row r="101" spans="1:4" ht="15.75" thickBot="1" x14ac:dyDescent="0.3">
      <c r="A101" s="24"/>
      <c r="B101" s="25" t="s">
        <v>100</v>
      </c>
      <c r="C101" s="25" t="s">
        <v>13</v>
      </c>
      <c r="D101" s="45">
        <f>D99-D100</f>
        <v>366.95000000001164</v>
      </c>
    </row>
    <row r="102" spans="1:4" ht="15.75" thickBot="1" x14ac:dyDescent="0.3">
      <c r="A102" s="24"/>
      <c r="B102" s="25" t="s">
        <v>101</v>
      </c>
      <c r="C102" s="25" t="s">
        <v>13</v>
      </c>
      <c r="D102" s="45">
        <v>210872.86</v>
      </c>
    </row>
    <row r="103" spans="1:4" ht="15.75" thickBot="1" x14ac:dyDescent="0.3">
      <c r="A103" s="24"/>
      <c r="B103" s="25" t="s">
        <v>102</v>
      </c>
      <c r="C103" s="25" t="s">
        <v>13</v>
      </c>
      <c r="D103" s="45">
        <f>D100</f>
        <v>198099.16999999998</v>
      </c>
    </row>
    <row r="104" spans="1:4" ht="15.75" thickBot="1" x14ac:dyDescent="0.3">
      <c r="A104" s="24"/>
      <c r="B104" s="25" t="s">
        <v>103</v>
      </c>
      <c r="C104" s="25" t="s">
        <v>13</v>
      </c>
      <c r="D104" s="45">
        <f>D101</f>
        <v>366.95000000001164</v>
      </c>
    </row>
    <row r="105" spans="1:4" ht="15.75" thickBot="1" x14ac:dyDescent="0.3">
      <c r="A105" s="24"/>
      <c r="B105" s="29" t="s">
        <v>104</v>
      </c>
      <c r="C105" s="25" t="s">
        <v>13</v>
      </c>
      <c r="D105" s="44">
        <v>0</v>
      </c>
    </row>
    <row r="106" spans="1:4" ht="15.75" thickBot="1" x14ac:dyDescent="0.3">
      <c r="A106" s="40" t="s">
        <v>110</v>
      </c>
      <c r="B106" s="41" t="s">
        <v>93</v>
      </c>
      <c r="C106" s="42" t="s">
        <v>47</v>
      </c>
      <c r="D106" s="41" t="s">
        <v>111</v>
      </c>
    </row>
    <row r="107" spans="1:4" ht="15.75" thickBot="1" x14ac:dyDescent="0.3">
      <c r="A107" s="24"/>
      <c r="B107" s="29" t="s">
        <v>95</v>
      </c>
      <c r="C107" s="25" t="s">
        <v>47</v>
      </c>
      <c r="D107" s="29" t="s">
        <v>107</v>
      </c>
    </row>
    <row r="108" spans="1:4" ht="15.75" thickBot="1" x14ac:dyDescent="0.3">
      <c r="A108" s="24"/>
      <c r="B108" s="29" t="s">
        <v>97</v>
      </c>
      <c r="C108" s="25" t="s">
        <v>107</v>
      </c>
      <c r="D108" s="39">
        <v>6887.5460999999996</v>
      </c>
    </row>
    <row r="109" spans="1:4" ht="15.75" thickBot="1" x14ac:dyDescent="0.3">
      <c r="A109" s="24"/>
      <c r="B109" s="29" t="s">
        <v>98</v>
      </c>
      <c r="C109" s="25" t="s">
        <v>13</v>
      </c>
      <c r="D109" s="39">
        <f>72702.34-2548.45</f>
        <v>70153.89</v>
      </c>
    </row>
    <row r="110" spans="1:4" ht="15.75" thickBot="1" x14ac:dyDescent="0.3">
      <c r="A110" s="24"/>
      <c r="B110" s="25" t="s">
        <v>99</v>
      </c>
      <c r="C110" s="25" t="s">
        <v>13</v>
      </c>
      <c r="D110" s="43">
        <v>71972.36</v>
      </c>
    </row>
    <row r="111" spans="1:4" ht="15.75" thickBot="1" x14ac:dyDescent="0.3">
      <c r="A111" s="24"/>
      <c r="B111" s="25" t="s">
        <v>100</v>
      </c>
      <c r="C111" s="25" t="s">
        <v>13</v>
      </c>
      <c r="D111" s="43">
        <v>0</v>
      </c>
    </row>
    <row r="112" spans="1:4" ht="15.75" thickBot="1" x14ac:dyDescent="0.3">
      <c r="A112" s="24"/>
      <c r="B112" s="25" t="s">
        <v>101</v>
      </c>
      <c r="C112" s="25" t="s">
        <v>13</v>
      </c>
      <c r="D112" s="43">
        <v>61387.93</v>
      </c>
    </row>
    <row r="113" spans="1:4" ht="15.75" thickBot="1" x14ac:dyDescent="0.3">
      <c r="A113" s="24"/>
      <c r="B113" s="25" t="s">
        <v>102</v>
      </c>
      <c r="C113" s="25" t="s">
        <v>13</v>
      </c>
      <c r="D113" s="43">
        <f>D110</f>
        <v>71972.36</v>
      </c>
    </row>
    <row r="114" spans="1:4" ht="15.75" thickBot="1" x14ac:dyDescent="0.3">
      <c r="A114" s="24"/>
      <c r="B114" s="25" t="s">
        <v>103</v>
      </c>
      <c r="C114" s="25" t="s">
        <v>13</v>
      </c>
      <c r="D114" s="43">
        <v>0</v>
      </c>
    </row>
    <row r="115" spans="1:4" ht="15.75" thickBot="1" x14ac:dyDescent="0.3">
      <c r="A115" s="24"/>
      <c r="B115" s="29" t="s">
        <v>104</v>
      </c>
      <c r="C115" s="25" t="s">
        <v>13</v>
      </c>
      <c r="D115" s="39">
        <v>0</v>
      </c>
    </row>
    <row r="116" spans="1:4" x14ac:dyDescent="0.25">
      <c r="A116" s="46"/>
      <c r="B116" s="47"/>
      <c r="C116" s="48"/>
      <c r="D116" s="49"/>
    </row>
    <row r="117" spans="1:4" ht="15.75" thickBot="1" x14ac:dyDescent="0.3">
      <c r="A117" s="8" t="s">
        <v>112</v>
      </c>
      <c r="B117" s="2"/>
      <c r="C117" s="2"/>
      <c r="D117" s="2"/>
    </row>
    <row r="118" spans="1:4" ht="15.75" thickBot="1" x14ac:dyDescent="0.3">
      <c r="A118" s="22" t="s">
        <v>113</v>
      </c>
      <c r="B118" s="33" t="s">
        <v>73</v>
      </c>
      <c r="C118" s="32" t="s">
        <v>114</v>
      </c>
      <c r="D118" s="33">
        <v>0</v>
      </c>
    </row>
    <row r="119" spans="1:4" ht="15.75" thickBot="1" x14ac:dyDescent="0.3">
      <c r="A119" s="24" t="s">
        <v>115</v>
      </c>
      <c r="B119" s="29" t="s">
        <v>75</v>
      </c>
      <c r="C119" s="25" t="s">
        <v>114</v>
      </c>
      <c r="D119" s="29">
        <v>0</v>
      </c>
    </row>
    <row r="120" spans="1:4" ht="15.75" thickBot="1" x14ac:dyDescent="0.3">
      <c r="A120" s="24" t="s">
        <v>116</v>
      </c>
      <c r="B120" s="29" t="s">
        <v>77</v>
      </c>
      <c r="C120" s="25" t="s">
        <v>114</v>
      </c>
      <c r="D120" s="29">
        <v>0</v>
      </c>
    </row>
    <row r="121" spans="1:4" ht="15.75" thickBot="1" x14ac:dyDescent="0.3">
      <c r="A121" s="24" t="s">
        <v>117</v>
      </c>
      <c r="B121" s="29" t="s">
        <v>79</v>
      </c>
      <c r="C121" s="25" t="s">
        <v>13</v>
      </c>
      <c r="D121" s="39">
        <v>0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118</v>
      </c>
      <c r="B123" s="2"/>
      <c r="C123" s="2"/>
      <c r="D123" s="2"/>
    </row>
    <row r="124" spans="1:4" ht="15.75" thickBot="1" x14ac:dyDescent="0.3">
      <c r="A124" s="34">
        <v>48</v>
      </c>
      <c r="B124" s="33" t="s">
        <v>119</v>
      </c>
      <c r="C124" s="32" t="s">
        <v>114</v>
      </c>
      <c r="D124" s="33">
        <v>0</v>
      </c>
    </row>
    <row r="125" spans="1:4" ht="15.75" thickBot="1" x14ac:dyDescent="0.3">
      <c r="A125" s="50">
        <v>49</v>
      </c>
      <c r="B125" s="29" t="s">
        <v>120</v>
      </c>
      <c r="C125" s="25" t="s">
        <v>114</v>
      </c>
      <c r="D125" s="29">
        <v>0</v>
      </c>
    </row>
    <row r="126" spans="1:4" ht="15.75" thickBot="1" x14ac:dyDescent="0.3">
      <c r="A126" s="51">
        <v>50</v>
      </c>
      <c r="B126" s="52" t="s">
        <v>121</v>
      </c>
      <c r="C126" s="53" t="s">
        <v>13</v>
      </c>
      <c r="D126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tabSelected="1" workbookViewId="0">
      <selection activeCell="G137" sqref="G137"/>
    </sheetView>
  </sheetViews>
  <sheetFormatPr defaultRowHeight="15" x14ac:dyDescent="0.25"/>
  <cols>
    <col min="2" max="2" width="66.28515625" customWidth="1"/>
    <col min="3" max="3" width="13.85546875" customWidth="1"/>
    <col min="4" max="4" width="57.140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340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341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87443.49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87443.49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474312.69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335284.59999999998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128128.09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447279.25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315912.25+121517</f>
        <v>437429.25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9850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D20+D14</f>
        <v>534722.74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84330.19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84330.19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342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70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3811171757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343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298</v>
      </c>
    </row>
    <row r="58" spans="1:4" ht="15.75" thickBot="1" x14ac:dyDescent="0.3">
      <c r="A58" s="24"/>
      <c r="B58" s="25" t="s">
        <v>51</v>
      </c>
      <c r="C58" s="25" t="s">
        <v>47</v>
      </c>
      <c r="D58" s="55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335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344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153</v>
      </c>
    </row>
    <row r="62" spans="1:4" ht="15.75" thickBot="1" x14ac:dyDescent="0.3">
      <c r="A62" s="24"/>
      <c r="B62" s="25" t="s">
        <v>51</v>
      </c>
      <c r="C62" s="25" t="s">
        <v>47</v>
      </c>
      <c r="D62" s="55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1" t="s">
        <v>345</v>
      </c>
    </row>
    <row r="64" spans="1:4" x14ac:dyDescent="0.25">
      <c r="A64" s="2"/>
      <c r="B64" s="2"/>
      <c r="C64" s="2"/>
      <c r="D64" s="2"/>
    </row>
    <row r="65" spans="1:4" ht="15.75" thickBot="1" x14ac:dyDescent="0.3">
      <c r="A65" s="8" t="s">
        <v>71</v>
      </c>
      <c r="B65" s="2"/>
      <c r="C65" s="2"/>
      <c r="D65" s="2"/>
    </row>
    <row r="66" spans="1:4" ht="15.75" thickBot="1" x14ac:dyDescent="0.3">
      <c r="A66" s="22" t="s">
        <v>72</v>
      </c>
      <c r="B66" s="32" t="s">
        <v>73</v>
      </c>
      <c r="C66" s="32" t="s">
        <v>47</v>
      </c>
      <c r="D66" s="33">
        <v>0</v>
      </c>
    </row>
    <row r="67" spans="1:4" ht="15.75" thickBot="1" x14ac:dyDescent="0.3">
      <c r="A67" s="24" t="s">
        <v>74</v>
      </c>
      <c r="B67" s="25" t="s">
        <v>75</v>
      </c>
      <c r="C67" s="25" t="s">
        <v>47</v>
      </c>
      <c r="D67" s="29">
        <v>0</v>
      </c>
    </row>
    <row r="68" spans="1:4" ht="15.75" thickBot="1" x14ac:dyDescent="0.3">
      <c r="A68" s="24" t="s">
        <v>76</v>
      </c>
      <c r="B68" s="25" t="s">
        <v>77</v>
      </c>
      <c r="C68" s="25" t="s">
        <v>47</v>
      </c>
      <c r="D68" s="29">
        <v>0</v>
      </c>
    </row>
    <row r="69" spans="1:4" ht="15.75" thickBot="1" x14ac:dyDescent="0.3">
      <c r="A69" s="22" t="s">
        <v>78</v>
      </c>
      <c r="B69" s="34" t="s">
        <v>79</v>
      </c>
      <c r="C69" s="34" t="s">
        <v>13</v>
      </c>
      <c r="D69" s="35">
        <v>0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80</v>
      </c>
      <c r="B71" s="2"/>
      <c r="C71" s="2"/>
      <c r="D71" s="2"/>
    </row>
    <row r="72" spans="1:4" ht="15.75" thickBot="1" x14ac:dyDescent="0.3">
      <c r="A72" s="36" t="s">
        <v>81</v>
      </c>
      <c r="B72" s="33" t="s">
        <v>82</v>
      </c>
      <c r="C72" s="32" t="s">
        <v>13</v>
      </c>
      <c r="D72" s="37">
        <f>D74-D73</f>
        <v>217002.91000000003</v>
      </c>
    </row>
    <row r="73" spans="1:4" ht="15.75" thickBot="1" x14ac:dyDescent="0.3">
      <c r="A73" s="38" t="s">
        <v>83</v>
      </c>
      <c r="B73" s="25" t="s">
        <v>84</v>
      </c>
      <c r="C73" s="25" t="s">
        <v>13</v>
      </c>
      <c r="D73" s="39">
        <f>9977.16+5288.24+4242.36+499.24+10.45+89.04</f>
        <v>20106.490000000002</v>
      </c>
    </row>
    <row r="74" spans="1:4" ht="15.75" thickBot="1" x14ac:dyDescent="0.3">
      <c r="A74" s="38" t="s">
        <v>85</v>
      </c>
      <c r="B74" s="25" t="s">
        <v>86</v>
      </c>
      <c r="C74" s="25" t="s">
        <v>13</v>
      </c>
      <c r="D74" s="39">
        <f>91079.61+18483.4+83805.07+42945.06+83.69+712.57</f>
        <v>237109.40000000002</v>
      </c>
    </row>
    <row r="75" spans="1:4" ht="15.75" thickBot="1" x14ac:dyDescent="0.3">
      <c r="A75" s="38" t="s">
        <v>87</v>
      </c>
      <c r="B75" s="29" t="s">
        <v>88</v>
      </c>
      <c r="C75" s="25" t="s">
        <v>13</v>
      </c>
      <c r="D75" s="39">
        <f>D77-D76</f>
        <v>295870.28000000003</v>
      </c>
    </row>
    <row r="76" spans="1:4" ht="15.75" thickBot="1" x14ac:dyDescent="0.3">
      <c r="A76" s="38" t="s">
        <v>89</v>
      </c>
      <c r="B76" s="25" t="s">
        <v>84</v>
      </c>
      <c r="C76" s="25" t="s">
        <v>13</v>
      </c>
      <c r="D76" s="39">
        <f>2340.13+3772.32+2015.38+1984.54+1677.37+1104.63</f>
        <v>12894.370000000003</v>
      </c>
    </row>
    <row r="77" spans="1:4" ht="15.75" thickBot="1" x14ac:dyDescent="0.3">
      <c r="A77" s="38" t="s">
        <v>90</v>
      </c>
      <c r="B77" s="25" t="s">
        <v>86</v>
      </c>
      <c r="C77" s="25" t="s">
        <v>13</v>
      </c>
      <c r="D77" s="39">
        <f>150858.39+22055.31+96095.72+38649.36+92.51+1013.36</f>
        <v>308764.65000000002</v>
      </c>
    </row>
    <row r="78" spans="1:4" x14ac:dyDescent="0.25">
      <c r="A78" s="2"/>
      <c r="B78" s="2"/>
      <c r="C78" s="2"/>
      <c r="D78" s="2"/>
    </row>
    <row r="79" spans="1:4" ht="15.75" thickBot="1" x14ac:dyDescent="0.3">
      <c r="A79" s="8" t="s">
        <v>91</v>
      </c>
      <c r="B79" s="2"/>
      <c r="C79" s="2"/>
      <c r="D79" s="2"/>
    </row>
    <row r="80" spans="1:4" ht="15.75" thickBot="1" x14ac:dyDescent="0.3">
      <c r="A80" s="40" t="s">
        <v>92</v>
      </c>
      <c r="B80" s="41" t="s">
        <v>93</v>
      </c>
      <c r="C80" s="42" t="s">
        <v>47</v>
      </c>
      <c r="D80" s="41" t="s">
        <v>94</v>
      </c>
    </row>
    <row r="81" spans="1:4" ht="15.75" thickBot="1" x14ac:dyDescent="0.3">
      <c r="A81" s="24"/>
      <c r="B81" s="29" t="s">
        <v>95</v>
      </c>
      <c r="C81" s="25" t="s">
        <v>47</v>
      </c>
      <c r="D81" s="29" t="s">
        <v>96</v>
      </c>
    </row>
    <row r="82" spans="1:4" ht="15.75" thickBot="1" x14ac:dyDescent="0.3">
      <c r="A82" s="24"/>
      <c r="B82" s="29" t="s">
        <v>97</v>
      </c>
      <c r="C82" s="25" t="s">
        <v>96</v>
      </c>
      <c r="D82" s="39">
        <v>459.81619999999998</v>
      </c>
    </row>
    <row r="83" spans="1:4" ht="15.75" thickBot="1" x14ac:dyDescent="0.3">
      <c r="A83" s="24"/>
      <c r="B83" s="29" t="s">
        <v>98</v>
      </c>
      <c r="C83" s="25" t="s">
        <v>13</v>
      </c>
      <c r="D83" s="39">
        <f>459153.34+2832.97</f>
        <v>461986.31</v>
      </c>
    </row>
    <row r="84" spans="1:4" ht="15.75" thickBot="1" x14ac:dyDescent="0.3">
      <c r="A84" s="24"/>
      <c r="B84" s="25" t="s">
        <v>99</v>
      </c>
      <c r="C84" s="25" t="s">
        <v>13</v>
      </c>
      <c r="D84" s="43">
        <v>394570.5</v>
      </c>
    </row>
    <row r="85" spans="1:4" ht="15.75" thickBot="1" x14ac:dyDescent="0.3">
      <c r="A85" s="24"/>
      <c r="B85" s="25" t="s">
        <v>100</v>
      </c>
      <c r="C85" s="25" t="s">
        <v>13</v>
      </c>
      <c r="D85" s="43">
        <f>D83-D84</f>
        <v>67415.81</v>
      </c>
    </row>
    <row r="86" spans="1:4" ht="15.75" thickBot="1" x14ac:dyDescent="0.3">
      <c r="A86" s="24"/>
      <c r="B86" s="25" t="s">
        <v>101</v>
      </c>
      <c r="C86" s="25" t="s">
        <v>13</v>
      </c>
      <c r="D86" s="43">
        <v>432349.59</v>
      </c>
    </row>
    <row r="87" spans="1:4" ht="15.75" thickBot="1" x14ac:dyDescent="0.3">
      <c r="A87" s="24"/>
      <c r="B87" s="25" t="s">
        <v>102</v>
      </c>
      <c r="C87" s="25" t="s">
        <v>13</v>
      </c>
      <c r="D87" s="43">
        <f>D84</f>
        <v>394570.5</v>
      </c>
    </row>
    <row r="88" spans="1:4" ht="15.75" thickBot="1" x14ac:dyDescent="0.3">
      <c r="A88" s="24"/>
      <c r="B88" s="25" t="s">
        <v>103</v>
      </c>
      <c r="C88" s="25" t="s">
        <v>13</v>
      </c>
      <c r="D88" s="43">
        <f>D85</f>
        <v>67415.81</v>
      </c>
    </row>
    <row r="89" spans="1:4" ht="15.75" thickBot="1" x14ac:dyDescent="0.3">
      <c r="A89" s="24"/>
      <c r="B89" s="29" t="s">
        <v>104</v>
      </c>
      <c r="C89" s="25" t="s">
        <v>13</v>
      </c>
      <c r="D89" s="39">
        <v>0</v>
      </c>
    </row>
    <row r="90" spans="1:4" ht="15.75" thickBot="1" x14ac:dyDescent="0.3">
      <c r="A90" s="40" t="s">
        <v>105</v>
      </c>
      <c r="B90" s="41" t="s">
        <v>93</v>
      </c>
      <c r="C90" s="42" t="s">
        <v>47</v>
      </c>
      <c r="D90" s="41" t="s">
        <v>106</v>
      </c>
    </row>
    <row r="91" spans="1:4" ht="15.75" thickBot="1" x14ac:dyDescent="0.3">
      <c r="A91" s="24"/>
      <c r="B91" s="29" t="s">
        <v>95</v>
      </c>
      <c r="C91" s="25" t="s">
        <v>47</v>
      </c>
      <c r="D91" s="29" t="s">
        <v>107</v>
      </c>
    </row>
    <row r="92" spans="1:4" ht="15.75" thickBot="1" x14ac:dyDescent="0.3">
      <c r="A92" s="24"/>
      <c r="B92" s="29" t="s">
        <v>97</v>
      </c>
      <c r="C92" s="25" t="s">
        <v>107</v>
      </c>
      <c r="D92" s="44">
        <v>4949.6808000000001</v>
      </c>
    </row>
    <row r="93" spans="1:4" ht="15.75" thickBot="1" x14ac:dyDescent="0.3">
      <c r="A93" s="24"/>
      <c r="B93" s="29" t="s">
        <v>98</v>
      </c>
      <c r="C93" s="25" t="s">
        <v>13</v>
      </c>
      <c r="D93" s="44">
        <f>50496.79-602.55+496.67</f>
        <v>50390.909999999996</v>
      </c>
    </row>
    <row r="94" spans="1:4" ht="15.75" thickBot="1" x14ac:dyDescent="0.3">
      <c r="A94" s="24"/>
      <c r="B94" s="25" t="s">
        <v>99</v>
      </c>
      <c r="C94" s="25" t="s">
        <v>13</v>
      </c>
      <c r="D94" s="45">
        <f>2154.77+44806.41</f>
        <v>46961.18</v>
      </c>
    </row>
    <row r="95" spans="1:4" ht="15.75" thickBot="1" x14ac:dyDescent="0.3">
      <c r="A95" s="24"/>
      <c r="B95" s="25" t="s">
        <v>100</v>
      </c>
      <c r="C95" s="25" t="s">
        <v>13</v>
      </c>
      <c r="D95" s="45">
        <f>D93-D94</f>
        <v>3429.7299999999959</v>
      </c>
    </row>
    <row r="96" spans="1:4" ht="15.75" thickBot="1" x14ac:dyDescent="0.3">
      <c r="A96" s="24"/>
      <c r="B96" s="25" t="s">
        <v>101</v>
      </c>
      <c r="C96" s="25" t="s">
        <v>13</v>
      </c>
      <c r="D96" s="45">
        <v>71209.13</v>
      </c>
    </row>
    <row r="97" spans="1:4" ht="15.75" thickBot="1" x14ac:dyDescent="0.3">
      <c r="A97" s="24"/>
      <c r="B97" s="25" t="s">
        <v>102</v>
      </c>
      <c r="C97" s="25" t="s">
        <v>13</v>
      </c>
      <c r="D97" s="45">
        <f>D94</f>
        <v>46961.18</v>
      </c>
    </row>
    <row r="98" spans="1:4" ht="15.75" thickBot="1" x14ac:dyDescent="0.3">
      <c r="A98" s="24"/>
      <c r="B98" s="25" t="s">
        <v>103</v>
      </c>
      <c r="C98" s="25" t="s">
        <v>13</v>
      </c>
      <c r="D98" s="45">
        <f>D95</f>
        <v>3429.7299999999959</v>
      </c>
    </row>
    <row r="99" spans="1:4" ht="15.75" thickBot="1" x14ac:dyDescent="0.3">
      <c r="A99" s="24"/>
      <c r="B99" s="29" t="s">
        <v>104</v>
      </c>
      <c r="C99" s="25" t="s">
        <v>13</v>
      </c>
      <c r="D99" s="44">
        <v>0</v>
      </c>
    </row>
    <row r="100" spans="1:4" ht="15.75" thickBot="1" x14ac:dyDescent="0.3">
      <c r="A100" s="40" t="s">
        <v>108</v>
      </c>
      <c r="B100" s="41" t="s">
        <v>93</v>
      </c>
      <c r="C100" s="42" t="s">
        <v>47</v>
      </c>
      <c r="D100" s="41" t="s">
        <v>109</v>
      </c>
    </row>
    <row r="101" spans="1:4" ht="15.75" thickBot="1" x14ac:dyDescent="0.3">
      <c r="A101" s="24"/>
      <c r="B101" s="29" t="s">
        <v>95</v>
      </c>
      <c r="C101" s="25" t="s">
        <v>47</v>
      </c>
      <c r="D101" s="29" t="s">
        <v>107</v>
      </c>
    </row>
    <row r="102" spans="1:4" ht="15.75" thickBot="1" x14ac:dyDescent="0.3">
      <c r="A102" s="24"/>
      <c r="B102" s="29" t="s">
        <v>97</v>
      </c>
      <c r="C102" s="25" t="s">
        <v>107</v>
      </c>
      <c r="D102" s="44">
        <v>3231.1792</v>
      </c>
    </row>
    <row r="103" spans="1:4" ht="15.75" thickBot="1" x14ac:dyDescent="0.3">
      <c r="A103" s="24"/>
      <c r="B103" s="29" t="s">
        <v>98</v>
      </c>
      <c r="C103" s="25" t="s">
        <v>13</v>
      </c>
      <c r="D103" s="44">
        <f>226826.54-2027.53+5462.36+247.93</f>
        <v>230509.3</v>
      </c>
    </row>
    <row r="104" spans="1:4" ht="15.75" thickBot="1" x14ac:dyDescent="0.3">
      <c r="A104" s="24"/>
      <c r="B104" s="25" t="s">
        <v>99</v>
      </c>
      <c r="C104" s="25" t="s">
        <v>13</v>
      </c>
      <c r="D104" s="45">
        <f>6425.09+210281.38</f>
        <v>216706.47</v>
      </c>
    </row>
    <row r="105" spans="1:4" ht="15.75" thickBot="1" x14ac:dyDescent="0.3">
      <c r="A105" s="24"/>
      <c r="B105" s="25" t="s">
        <v>100</v>
      </c>
      <c r="C105" s="25" t="s">
        <v>13</v>
      </c>
      <c r="D105" s="45">
        <f>D103-D104</f>
        <v>13802.829999999987</v>
      </c>
    </row>
    <row r="106" spans="1:4" ht="15.75" thickBot="1" x14ac:dyDescent="0.3">
      <c r="A106" s="24"/>
      <c r="B106" s="25" t="s">
        <v>101</v>
      </c>
      <c r="C106" s="25" t="s">
        <v>13</v>
      </c>
      <c r="D106" s="45">
        <v>273758.99</v>
      </c>
    </row>
    <row r="107" spans="1:4" ht="15.75" thickBot="1" x14ac:dyDescent="0.3">
      <c r="A107" s="24"/>
      <c r="B107" s="25" t="s">
        <v>102</v>
      </c>
      <c r="C107" s="25" t="s">
        <v>13</v>
      </c>
      <c r="D107" s="45">
        <f>D104</f>
        <v>216706.47</v>
      </c>
    </row>
    <row r="108" spans="1:4" ht="15.75" thickBot="1" x14ac:dyDescent="0.3">
      <c r="A108" s="24"/>
      <c r="B108" s="25" t="s">
        <v>103</v>
      </c>
      <c r="C108" s="25" t="s">
        <v>13</v>
      </c>
      <c r="D108" s="45">
        <f>D105</f>
        <v>13802.829999999987</v>
      </c>
    </row>
    <row r="109" spans="1:4" ht="15.75" thickBot="1" x14ac:dyDescent="0.3">
      <c r="A109" s="24"/>
      <c r="B109" s="29" t="s">
        <v>104</v>
      </c>
      <c r="C109" s="25" t="s">
        <v>13</v>
      </c>
      <c r="D109" s="44">
        <v>0</v>
      </c>
    </row>
    <row r="110" spans="1:4" ht="15.75" thickBot="1" x14ac:dyDescent="0.3">
      <c r="A110" s="40" t="s">
        <v>110</v>
      </c>
      <c r="B110" s="41" t="s">
        <v>93</v>
      </c>
      <c r="C110" s="42" t="s">
        <v>47</v>
      </c>
      <c r="D110" s="41" t="s">
        <v>111</v>
      </c>
    </row>
    <row r="111" spans="1:4" ht="15.75" thickBot="1" x14ac:dyDescent="0.3">
      <c r="A111" s="24"/>
      <c r="B111" s="29" t="s">
        <v>95</v>
      </c>
      <c r="C111" s="25" t="s">
        <v>47</v>
      </c>
      <c r="D111" s="29" t="s">
        <v>107</v>
      </c>
    </row>
    <row r="112" spans="1:4" ht="15.75" thickBot="1" x14ac:dyDescent="0.3">
      <c r="A112" s="24"/>
      <c r="B112" s="29" t="s">
        <v>97</v>
      </c>
      <c r="C112" s="25" t="s">
        <v>107</v>
      </c>
      <c r="D112" s="39">
        <v>8180.8540999999996</v>
      </c>
    </row>
    <row r="113" spans="1:4" ht="15.75" thickBot="1" x14ac:dyDescent="0.3">
      <c r="A113" s="24"/>
      <c r="B113" s="29" t="s">
        <v>98</v>
      </c>
      <c r="C113" s="25" t="s">
        <v>13</v>
      </c>
      <c r="D113" s="39">
        <f>86638.12-1012.14</f>
        <v>85625.98</v>
      </c>
    </row>
    <row r="114" spans="1:4" ht="15.75" thickBot="1" x14ac:dyDescent="0.3">
      <c r="A114" s="24"/>
      <c r="B114" s="25" t="s">
        <v>99</v>
      </c>
      <c r="C114" s="25" t="s">
        <v>13</v>
      </c>
      <c r="D114" s="43">
        <v>91406.98</v>
      </c>
    </row>
    <row r="115" spans="1:4" ht="15.75" thickBot="1" x14ac:dyDescent="0.3">
      <c r="A115" s="24"/>
      <c r="B115" s="25" t="s">
        <v>100</v>
      </c>
      <c r="C115" s="25" t="s">
        <v>13</v>
      </c>
      <c r="D115" s="43">
        <v>0</v>
      </c>
    </row>
    <row r="116" spans="1:4" ht="15.75" thickBot="1" x14ac:dyDescent="0.3">
      <c r="A116" s="24"/>
      <c r="B116" s="25" t="s">
        <v>101</v>
      </c>
      <c r="C116" s="25" t="s">
        <v>13</v>
      </c>
      <c r="D116" s="43">
        <v>115398.51</v>
      </c>
    </row>
    <row r="117" spans="1:4" ht="15.75" thickBot="1" x14ac:dyDescent="0.3">
      <c r="A117" s="24"/>
      <c r="B117" s="25" t="s">
        <v>102</v>
      </c>
      <c r="C117" s="25" t="s">
        <v>13</v>
      </c>
      <c r="D117" s="43">
        <f>D114</f>
        <v>91406.98</v>
      </c>
    </row>
    <row r="118" spans="1:4" ht="15.75" thickBot="1" x14ac:dyDescent="0.3">
      <c r="A118" s="24"/>
      <c r="B118" s="25" t="s">
        <v>103</v>
      </c>
      <c r="C118" s="25" t="s">
        <v>13</v>
      </c>
      <c r="D118" s="43">
        <v>0</v>
      </c>
    </row>
    <row r="119" spans="1:4" ht="15.75" thickBot="1" x14ac:dyDescent="0.3">
      <c r="A119" s="24"/>
      <c r="B119" s="29" t="s">
        <v>104</v>
      </c>
      <c r="C119" s="25" t="s">
        <v>13</v>
      </c>
      <c r="D119" s="39">
        <v>0</v>
      </c>
    </row>
    <row r="120" spans="1:4" x14ac:dyDescent="0.25">
      <c r="A120" s="46"/>
      <c r="B120" s="47"/>
      <c r="C120" s="48"/>
      <c r="D120" s="49"/>
    </row>
    <row r="121" spans="1:4" ht="15.75" thickBot="1" x14ac:dyDescent="0.3">
      <c r="A121" s="8" t="s">
        <v>112</v>
      </c>
      <c r="B121" s="2"/>
      <c r="C121" s="2"/>
      <c r="D121" s="2"/>
    </row>
    <row r="122" spans="1:4" ht="15.75" thickBot="1" x14ac:dyDescent="0.3">
      <c r="A122" s="22" t="s">
        <v>113</v>
      </c>
      <c r="B122" s="33" t="s">
        <v>73</v>
      </c>
      <c r="C122" s="32" t="s">
        <v>114</v>
      </c>
      <c r="D122" s="33">
        <v>0</v>
      </c>
    </row>
    <row r="123" spans="1:4" ht="15.75" thickBot="1" x14ac:dyDescent="0.3">
      <c r="A123" s="24" t="s">
        <v>115</v>
      </c>
      <c r="B123" s="29" t="s">
        <v>75</v>
      </c>
      <c r="C123" s="25" t="s">
        <v>114</v>
      </c>
      <c r="D123" s="29">
        <v>0</v>
      </c>
    </row>
    <row r="124" spans="1:4" ht="15.75" thickBot="1" x14ac:dyDescent="0.3">
      <c r="A124" s="24" t="s">
        <v>116</v>
      </c>
      <c r="B124" s="29" t="s">
        <v>77</v>
      </c>
      <c r="C124" s="25" t="s">
        <v>114</v>
      </c>
      <c r="D124" s="29">
        <v>0</v>
      </c>
    </row>
    <row r="125" spans="1:4" ht="15.75" thickBot="1" x14ac:dyDescent="0.3">
      <c r="A125" s="24" t="s">
        <v>117</v>
      </c>
      <c r="B125" s="29" t="s">
        <v>79</v>
      </c>
      <c r="C125" s="25" t="s">
        <v>13</v>
      </c>
      <c r="D125" s="39">
        <v>0</v>
      </c>
    </row>
    <row r="126" spans="1:4" x14ac:dyDescent="0.25">
      <c r="A126" s="2"/>
      <c r="B126" s="2"/>
      <c r="C126" s="2"/>
      <c r="D126" s="2"/>
    </row>
    <row r="127" spans="1:4" ht="15.75" thickBot="1" x14ac:dyDescent="0.3">
      <c r="A127" s="8" t="s">
        <v>118</v>
      </c>
      <c r="B127" s="2"/>
      <c r="C127" s="2"/>
      <c r="D127" s="2"/>
    </row>
    <row r="128" spans="1:4" ht="15.75" thickBot="1" x14ac:dyDescent="0.3">
      <c r="A128" s="34">
        <v>48</v>
      </c>
      <c r="B128" s="33" t="s">
        <v>119</v>
      </c>
      <c r="C128" s="32" t="s">
        <v>114</v>
      </c>
      <c r="D128" s="33">
        <v>1</v>
      </c>
    </row>
    <row r="129" spans="1:4" ht="15.75" thickBot="1" x14ac:dyDescent="0.3">
      <c r="A129" s="50">
        <v>49</v>
      </c>
      <c r="B129" s="29" t="s">
        <v>120</v>
      </c>
      <c r="C129" s="25" t="s">
        <v>114</v>
      </c>
      <c r="D129" s="29">
        <v>0</v>
      </c>
    </row>
    <row r="130" spans="1:4" ht="15.75" thickBot="1" x14ac:dyDescent="0.3">
      <c r="A130" s="51">
        <v>50</v>
      </c>
      <c r="B130" s="52" t="s">
        <v>121</v>
      </c>
      <c r="C130" s="53" t="s">
        <v>13</v>
      </c>
      <c r="D130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8"/>
  <sheetViews>
    <sheetView topLeftCell="A58" workbookViewId="0">
      <selection activeCell="D84" sqref="D84"/>
    </sheetView>
  </sheetViews>
  <sheetFormatPr defaultRowHeight="15" x14ac:dyDescent="0.25"/>
  <cols>
    <col min="2" max="2" width="73.7109375" customWidth="1"/>
    <col min="3" max="3" width="13.5703125" customWidth="1"/>
    <col min="4" max="4" width="56.71093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148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149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103192.34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103192.34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1540443.69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933290.4+175555.335</f>
        <v>1108845.7350000001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356652.72+3775.495</f>
        <v>360428.21499999997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1441777.86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937644.07+356942.56+129145.15</f>
        <v>1423731.7799999998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18046.080000000002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1441777.86+103192.34</f>
        <v>1544970.2000000002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72557.48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72557.48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64</v>
      </c>
      <c r="B52" s="27" t="s">
        <v>46</v>
      </c>
      <c r="C52" s="27" t="s">
        <v>47</v>
      </c>
      <c r="D52" s="28" t="s">
        <v>132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3808170471</v>
      </c>
    </row>
    <row r="56" spans="1:4" ht="15.75" thickBot="1" x14ac:dyDescent="0.3">
      <c r="A56" s="24" t="s">
        <v>66</v>
      </c>
      <c r="B56" s="27" t="s">
        <v>46</v>
      </c>
      <c r="C56" s="27" t="s">
        <v>47</v>
      </c>
      <c r="D56" s="28" t="s">
        <v>143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134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68</v>
      </c>
    </row>
    <row r="60" spans="1:4" ht="15.75" thickBot="1" x14ac:dyDescent="0.3">
      <c r="A60" s="24" t="s">
        <v>67</v>
      </c>
      <c r="B60" s="27" t="s">
        <v>46</v>
      </c>
      <c r="C60" s="27" t="s">
        <v>47</v>
      </c>
      <c r="D60" s="28" t="s">
        <v>150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151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65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3827043895</v>
      </c>
    </row>
    <row r="64" spans="1:4" ht="15.75" thickBot="1" x14ac:dyDescent="0.3">
      <c r="A64" s="24" t="s">
        <v>69</v>
      </c>
      <c r="B64" s="27" t="s">
        <v>46</v>
      </c>
      <c r="C64" s="27" t="s">
        <v>47</v>
      </c>
      <c r="D64" s="28" t="s">
        <v>147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70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57</v>
      </c>
    </row>
    <row r="67" spans="1:4" ht="15.75" thickBot="1" x14ac:dyDescent="0.3">
      <c r="A67" s="24"/>
      <c r="B67" s="25" t="s">
        <v>53</v>
      </c>
      <c r="C67" s="25" t="s">
        <v>47</v>
      </c>
      <c r="D67" s="30">
        <v>3811171757</v>
      </c>
    </row>
    <row r="68" spans="1:4" ht="15.75" thickBot="1" x14ac:dyDescent="0.3">
      <c r="A68" s="24" t="s">
        <v>154</v>
      </c>
      <c r="B68" s="27" t="s">
        <v>46</v>
      </c>
      <c r="C68" s="27" t="s">
        <v>47</v>
      </c>
      <c r="D68" s="28" t="s">
        <v>152</v>
      </c>
    </row>
    <row r="69" spans="1:4" ht="15.75" thickBot="1" x14ac:dyDescent="0.3">
      <c r="A69" s="24"/>
      <c r="B69" s="25" t="s">
        <v>49</v>
      </c>
      <c r="C69" s="25" t="s">
        <v>47</v>
      </c>
      <c r="D69" s="29" t="s">
        <v>153</v>
      </c>
    </row>
    <row r="70" spans="1:4" ht="15.75" thickBot="1" x14ac:dyDescent="0.3">
      <c r="A70" s="24"/>
      <c r="B70" s="25" t="s">
        <v>51</v>
      </c>
      <c r="C70" s="25" t="s">
        <v>47</v>
      </c>
      <c r="D70" s="29" t="s">
        <v>57</v>
      </c>
    </row>
    <row r="71" spans="1:4" ht="15.75" thickBot="1" x14ac:dyDescent="0.3">
      <c r="A71" s="24"/>
      <c r="B71" s="25" t="s">
        <v>53</v>
      </c>
      <c r="C71" s="25" t="s">
        <v>47</v>
      </c>
      <c r="D71" s="30">
        <v>3811096740</v>
      </c>
    </row>
    <row r="72" spans="1:4" x14ac:dyDescent="0.25">
      <c r="A72" s="2"/>
      <c r="B72" s="2"/>
      <c r="C72" s="2"/>
      <c r="D72" s="2"/>
    </row>
    <row r="73" spans="1:4" ht="15.75" thickBot="1" x14ac:dyDescent="0.3">
      <c r="A73" s="8" t="s">
        <v>71</v>
      </c>
      <c r="B73" s="2"/>
      <c r="C73" s="2"/>
      <c r="D73" s="2"/>
    </row>
    <row r="74" spans="1:4" ht="15.75" thickBot="1" x14ac:dyDescent="0.3">
      <c r="A74" s="22" t="s">
        <v>72</v>
      </c>
      <c r="B74" s="32" t="s">
        <v>73</v>
      </c>
      <c r="C74" s="32" t="s">
        <v>47</v>
      </c>
      <c r="D74" s="33">
        <v>0</v>
      </c>
    </row>
    <row r="75" spans="1:4" ht="15.75" thickBot="1" x14ac:dyDescent="0.3">
      <c r="A75" s="24" t="s">
        <v>74</v>
      </c>
      <c r="B75" s="25" t="s">
        <v>75</v>
      </c>
      <c r="C75" s="25" t="s">
        <v>47</v>
      </c>
      <c r="D75" s="29">
        <v>0</v>
      </c>
    </row>
    <row r="76" spans="1:4" ht="15.75" thickBot="1" x14ac:dyDescent="0.3">
      <c r="A76" s="24" t="s">
        <v>76</v>
      </c>
      <c r="B76" s="25" t="s">
        <v>77</v>
      </c>
      <c r="C76" s="25" t="s">
        <v>47</v>
      </c>
      <c r="D76" s="29">
        <v>0</v>
      </c>
    </row>
    <row r="77" spans="1:4" ht="15.75" thickBot="1" x14ac:dyDescent="0.3">
      <c r="A77" s="22" t="s">
        <v>78</v>
      </c>
      <c r="B77" s="34" t="s">
        <v>79</v>
      </c>
      <c r="C77" s="34" t="s">
        <v>13</v>
      </c>
      <c r="D77" s="35">
        <v>0</v>
      </c>
    </row>
    <row r="78" spans="1:4" x14ac:dyDescent="0.25">
      <c r="A78" s="2"/>
      <c r="B78" s="2"/>
      <c r="C78" s="2"/>
      <c r="D78" s="2"/>
    </row>
    <row r="79" spans="1:4" ht="15.75" thickBot="1" x14ac:dyDescent="0.3">
      <c r="A79" s="8" t="s">
        <v>80</v>
      </c>
      <c r="B79" s="2"/>
      <c r="C79" s="2"/>
      <c r="D79" s="2"/>
    </row>
    <row r="80" spans="1:4" ht="15.75" thickBot="1" x14ac:dyDescent="0.3">
      <c r="A80" s="36" t="s">
        <v>81</v>
      </c>
      <c r="B80" s="33" t="s">
        <v>82</v>
      </c>
      <c r="C80" s="32" t="s">
        <v>13</v>
      </c>
      <c r="D80" s="37">
        <f>-(D82+D81)</f>
        <v>40966.690000000031</v>
      </c>
    </row>
    <row r="81" spans="1:4" ht="15.75" thickBot="1" x14ac:dyDescent="0.3">
      <c r="A81" s="38" t="s">
        <v>83</v>
      </c>
      <c r="B81" s="25" t="s">
        <v>84</v>
      </c>
      <c r="C81" s="25" t="s">
        <v>13</v>
      </c>
      <c r="D81" s="39">
        <f>-(166902.51+5958.94+13063.06+3985.66+203.47+1556.2)</f>
        <v>-191669.84000000003</v>
      </c>
    </row>
    <row r="82" spans="1:4" ht="15.75" thickBot="1" x14ac:dyDescent="0.3">
      <c r="A82" s="38" t="s">
        <v>85</v>
      </c>
      <c r="B82" s="25" t="s">
        <v>86</v>
      </c>
      <c r="C82" s="25" t="s">
        <v>13</v>
      </c>
      <c r="D82" s="39">
        <f>39062.37+9072.67+73956.81+25810.27+324.95+2476.08</f>
        <v>150703.15</v>
      </c>
    </row>
    <row r="83" spans="1:4" ht="15.75" thickBot="1" x14ac:dyDescent="0.3">
      <c r="A83" s="38" t="s">
        <v>87</v>
      </c>
      <c r="B83" s="29" t="s">
        <v>88</v>
      </c>
      <c r="C83" s="25" t="s">
        <v>13</v>
      </c>
      <c r="D83" s="39">
        <f>D85+D84</f>
        <v>168221.24</v>
      </c>
    </row>
    <row r="84" spans="1:4" ht="15.75" thickBot="1" x14ac:dyDescent="0.3">
      <c r="A84" s="38" t="s">
        <v>89</v>
      </c>
      <c r="B84" s="25" t="s">
        <v>84</v>
      </c>
      <c r="C84" s="25" t="s">
        <v>13</v>
      </c>
      <c r="D84" s="39">
        <f>-(6902.3+6179.61+7659.59+5144.53+8043.91+9612.17)</f>
        <v>-43542.11</v>
      </c>
    </row>
    <row r="85" spans="1:4" ht="15.75" thickBot="1" x14ac:dyDescent="0.3">
      <c r="A85" s="38" t="s">
        <v>90</v>
      </c>
      <c r="B85" s="25" t="s">
        <v>86</v>
      </c>
      <c r="C85" s="25" t="s">
        <v>13</v>
      </c>
      <c r="D85" s="39">
        <f>123946.29+11328.25+53974.8+20790.24+197.92+1525.85</f>
        <v>211763.34999999998</v>
      </c>
    </row>
    <row r="86" spans="1:4" x14ac:dyDescent="0.25">
      <c r="A86" s="2"/>
      <c r="B86" s="2"/>
      <c r="C86" s="2"/>
      <c r="D86" s="2"/>
    </row>
    <row r="87" spans="1:4" ht="15.75" thickBot="1" x14ac:dyDescent="0.3">
      <c r="A87" s="8" t="s">
        <v>91</v>
      </c>
      <c r="B87" s="2"/>
      <c r="C87" s="2"/>
      <c r="D87" s="2"/>
    </row>
    <row r="88" spans="1:4" ht="15.75" thickBot="1" x14ac:dyDescent="0.3">
      <c r="A88" s="40" t="s">
        <v>92</v>
      </c>
      <c r="B88" s="41" t="s">
        <v>93</v>
      </c>
      <c r="C88" s="42" t="s">
        <v>47</v>
      </c>
      <c r="D88" s="41" t="s">
        <v>94</v>
      </c>
    </row>
    <row r="89" spans="1:4" ht="15.75" thickBot="1" x14ac:dyDescent="0.3">
      <c r="A89" s="24"/>
      <c r="B89" s="29" t="s">
        <v>95</v>
      </c>
      <c r="C89" s="25" t="s">
        <v>47</v>
      </c>
      <c r="D89" s="29" t="s">
        <v>96</v>
      </c>
    </row>
    <row r="90" spans="1:4" ht="15.75" thickBot="1" x14ac:dyDescent="0.3">
      <c r="A90" s="24"/>
      <c r="B90" s="29" t="s">
        <v>97</v>
      </c>
      <c r="C90" s="25" t="s">
        <v>96</v>
      </c>
      <c r="D90" s="39">
        <v>1059.9499000000001</v>
      </c>
    </row>
    <row r="91" spans="1:4" ht="15.75" thickBot="1" x14ac:dyDescent="0.3">
      <c r="A91" s="24"/>
      <c r="B91" s="29" t="s">
        <v>98</v>
      </c>
      <c r="C91" s="25" t="s">
        <v>13</v>
      </c>
      <c r="D91" s="39">
        <f>1058362.39+1567.84</f>
        <v>1059930.23</v>
      </c>
    </row>
    <row r="92" spans="1:4" ht="15.75" thickBot="1" x14ac:dyDescent="0.3">
      <c r="A92" s="24"/>
      <c r="B92" s="25" t="s">
        <v>99</v>
      </c>
      <c r="C92" s="25" t="s">
        <v>13</v>
      </c>
      <c r="D92" s="43">
        <v>815046.1</v>
      </c>
    </row>
    <row r="93" spans="1:4" ht="15.75" thickBot="1" x14ac:dyDescent="0.3">
      <c r="A93" s="24"/>
      <c r="B93" s="25" t="s">
        <v>100</v>
      </c>
      <c r="C93" s="25" t="s">
        <v>13</v>
      </c>
      <c r="D93" s="43">
        <f>D91-D92</f>
        <v>244884.13</v>
      </c>
    </row>
    <row r="94" spans="1:4" ht="15.75" thickBot="1" x14ac:dyDescent="0.3">
      <c r="A94" s="24"/>
      <c r="B94" s="25" t="s">
        <v>101</v>
      </c>
      <c r="C94" s="25" t="s">
        <v>13</v>
      </c>
      <c r="D94" s="43">
        <f>500154.29+521549.17</f>
        <v>1021703.46</v>
      </c>
    </row>
    <row r="95" spans="1:4" ht="15.75" thickBot="1" x14ac:dyDescent="0.3">
      <c r="A95" s="24"/>
      <c r="B95" s="25" t="s">
        <v>102</v>
      </c>
      <c r="C95" s="25" t="s">
        <v>13</v>
      </c>
      <c r="D95" s="43">
        <f>D92</f>
        <v>815046.1</v>
      </c>
    </row>
    <row r="96" spans="1:4" ht="15.75" thickBot="1" x14ac:dyDescent="0.3">
      <c r="A96" s="24"/>
      <c r="B96" s="25" t="s">
        <v>103</v>
      </c>
      <c r="C96" s="25" t="s">
        <v>13</v>
      </c>
      <c r="D96" s="43">
        <f>D93</f>
        <v>244884.13</v>
      </c>
    </row>
    <row r="97" spans="1:4" ht="15.75" thickBot="1" x14ac:dyDescent="0.3">
      <c r="A97" s="24"/>
      <c r="B97" s="29" t="s">
        <v>104</v>
      </c>
      <c r="C97" s="25" t="s">
        <v>13</v>
      </c>
      <c r="D97" s="39">
        <v>0</v>
      </c>
    </row>
    <row r="98" spans="1:4" ht="15.75" thickBot="1" x14ac:dyDescent="0.3">
      <c r="A98" s="40" t="s">
        <v>105</v>
      </c>
      <c r="B98" s="41" t="s">
        <v>93</v>
      </c>
      <c r="C98" s="42" t="s">
        <v>47</v>
      </c>
      <c r="D98" s="41" t="s">
        <v>106</v>
      </c>
    </row>
    <row r="99" spans="1:4" ht="15.75" thickBot="1" x14ac:dyDescent="0.3">
      <c r="A99" s="24"/>
      <c r="B99" s="29" t="s">
        <v>95</v>
      </c>
      <c r="C99" s="25" t="s">
        <v>47</v>
      </c>
      <c r="D99" s="29" t="s">
        <v>107</v>
      </c>
    </row>
    <row r="100" spans="1:4" ht="15.75" thickBot="1" x14ac:dyDescent="0.3">
      <c r="A100" s="24"/>
      <c r="B100" s="29" t="s">
        <v>97</v>
      </c>
      <c r="C100" s="25" t="s">
        <v>107</v>
      </c>
      <c r="D100" s="44">
        <v>9952.4675000000007</v>
      </c>
    </row>
    <row r="101" spans="1:4" ht="15.75" thickBot="1" x14ac:dyDescent="0.3">
      <c r="A101" s="24"/>
      <c r="B101" s="29" t="s">
        <v>98</v>
      </c>
      <c r="C101" s="25" t="s">
        <v>13</v>
      </c>
      <c r="D101" s="44">
        <f>2073.48+4530.46+101415.74-3360.74</f>
        <v>104658.94</v>
      </c>
    </row>
    <row r="102" spans="1:4" ht="15.75" thickBot="1" x14ac:dyDescent="0.3">
      <c r="A102" s="24"/>
      <c r="B102" s="25" t="s">
        <v>99</v>
      </c>
      <c r="C102" s="25" t="s">
        <v>13</v>
      </c>
      <c r="D102" s="45">
        <f>14571.41+96020.09</f>
        <v>110591.5</v>
      </c>
    </row>
    <row r="103" spans="1:4" ht="15.75" thickBot="1" x14ac:dyDescent="0.3">
      <c r="A103" s="24"/>
      <c r="B103" s="25" t="s">
        <v>100</v>
      </c>
      <c r="C103" s="25" t="s">
        <v>13</v>
      </c>
      <c r="D103" s="45">
        <v>0</v>
      </c>
    </row>
    <row r="104" spans="1:4" ht="15.75" thickBot="1" x14ac:dyDescent="0.3">
      <c r="A104" s="24"/>
      <c r="B104" s="25" t="s">
        <v>101</v>
      </c>
      <c r="C104" s="25" t="s">
        <v>13</v>
      </c>
      <c r="D104" s="45">
        <v>104563.05</v>
      </c>
    </row>
    <row r="105" spans="1:4" ht="15.75" thickBot="1" x14ac:dyDescent="0.3">
      <c r="A105" s="24"/>
      <c r="B105" s="25" t="s">
        <v>102</v>
      </c>
      <c r="C105" s="25" t="s">
        <v>13</v>
      </c>
      <c r="D105" s="45">
        <f>D102</f>
        <v>110591.5</v>
      </c>
    </row>
    <row r="106" spans="1:4" ht="15.75" thickBot="1" x14ac:dyDescent="0.3">
      <c r="A106" s="24"/>
      <c r="B106" s="25" t="s">
        <v>103</v>
      </c>
      <c r="C106" s="25" t="s">
        <v>13</v>
      </c>
      <c r="D106" s="45">
        <v>0</v>
      </c>
    </row>
    <row r="107" spans="1:4" ht="15.75" thickBot="1" x14ac:dyDescent="0.3">
      <c r="A107" s="24"/>
      <c r="B107" s="29" t="s">
        <v>104</v>
      </c>
      <c r="C107" s="25" t="s">
        <v>13</v>
      </c>
      <c r="D107" s="44">
        <v>0</v>
      </c>
    </row>
    <row r="108" spans="1:4" ht="15.75" thickBot="1" x14ac:dyDescent="0.3">
      <c r="A108" s="40" t="s">
        <v>108</v>
      </c>
      <c r="B108" s="41" t="s">
        <v>93</v>
      </c>
      <c r="C108" s="42" t="s">
        <v>47</v>
      </c>
      <c r="D108" s="41" t="s">
        <v>109</v>
      </c>
    </row>
    <row r="109" spans="1:4" ht="15.75" thickBot="1" x14ac:dyDescent="0.3">
      <c r="A109" s="24"/>
      <c r="B109" s="29" t="s">
        <v>95</v>
      </c>
      <c r="C109" s="25" t="s">
        <v>47</v>
      </c>
      <c r="D109" s="29" t="s">
        <v>107</v>
      </c>
    </row>
    <row r="110" spans="1:4" ht="15.75" thickBot="1" x14ac:dyDescent="0.3">
      <c r="A110" s="24"/>
      <c r="B110" s="29" t="s">
        <v>97</v>
      </c>
      <c r="C110" s="25" t="s">
        <v>107</v>
      </c>
      <c r="D110" s="44">
        <v>6807.7807000000003</v>
      </c>
    </row>
    <row r="111" spans="1:4" ht="15.75" thickBot="1" x14ac:dyDescent="0.3">
      <c r="A111" s="24"/>
      <c r="B111" s="29" t="s">
        <v>98</v>
      </c>
      <c r="C111" s="25" t="s">
        <v>13</v>
      </c>
      <c r="D111" s="44">
        <f>477123.04-7163.15+15204.07+7165.77</f>
        <v>492329.73</v>
      </c>
    </row>
    <row r="112" spans="1:4" ht="15.75" thickBot="1" x14ac:dyDescent="0.3">
      <c r="A112" s="24"/>
      <c r="B112" s="25" t="s">
        <v>99</v>
      </c>
      <c r="C112" s="25" t="s">
        <v>13</v>
      </c>
      <c r="D112" s="45">
        <f>484538.43+31376.04</f>
        <v>515914.47</v>
      </c>
    </row>
    <row r="113" spans="1:4" ht="15.75" thickBot="1" x14ac:dyDescent="0.3">
      <c r="A113" s="24"/>
      <c r="B113" s="25" t="s">
        <v>100</v>
      </c>
      <c r="C113" s="25" t="s">
        <v>13</v>
      </c>
      <c r="D113" s="45">
        <v>0</v>
      </c>
    </row>
    <row r="114" spans="1:4" ht="15.75" thickBot="1" x14ac:dyDescent="0.3">
      <c r="A114" s="24"/>
      <c r="B114" s="25" t="s">
        <v>101</v>
      </c>
      <c r="C114" s="25" t="s">
        <v>13</v>
      </c>
      <c r="D114" s="45">
        <v>549643.54</v>
      </c>
    </row>
    <row r="115" spans="1:4" ht="15.75" thickBot="1" x14ac:dyDescent="0.3">
      <c r="A115" s="24"/>
      <c r="B115" s="25" t="s">
        <v>102</v>
      </c>
      <c r="C115" s="25" t="s">
        <v>13</v>
      </c>
      <c r="D115" s="45">
        <f>D112</f>
        <v>515914.47</v>
      </c>
    </row>
    <row r="116" spans="1:4" ht="15.75" thickBot="1" x14ac:dyDescent="0.3">
      <c r="A116" s="24"/>
      <c r="B116" s="25" t="s">
        <v>103</v>
      </c>
      <c r="C116" s="25" t="s">
        <v>13</v>
      </c>
      <c r="D116" s="45">
        <v>0</v>
      </c>
    </row>
    <row r="117" spans="1:4" ht="15.75" thickBot="1" x14ac:dyDescent="0.3">
      <c r="A117" s="24"/>
      <c r="B117" s="29" t="s">
        <v>104</v>
      </c>
      <c r="C117" s="25" t="s">
        <v>13</v>
      </c>
      <c r="D117" s="44">
        <v>0</v>
      </c>
    </row>
    <row r="118" spans="1:4" ht="15.75" thickBot="1" x14ac:dyDescent="0.3">
      <c r="A118" s="40" t="s">
        <v>110</v>
      </c>
      <c r="B118" s="41" t="s">
        <v>93</v>
      </c>
      <c r="C118" s="42" t="s">
        <v>47</v>
      </c>
      <c r="D118" s="41" t="s">
        <v>111</v>
      </c>
    </row>
    <row r="119" spans="1:4" ht="15.75" thickBot="1" x14ac:dyDescent="0.3">
      <c r="A119" s="24"/>
      <c r="B119" s="29" t="s">
        <v>95</v>
      </c>
      <c r="C119" s="25" t="s">
        <v>47</v>
      </c>
      <c r="D119" s="29" t="s">
        <v>107</v>
      </c>
    </row>
    <row r="120" spans="1:4" ht="15.75" thickBot="1" x14ac:dyDescent="0.3">
      <c r="A120" s="24"/>
      <c r="B120" s="29" t="s">
        <v>97</v>
      </c>
      <c r="C120" s="25" t="s">
        <v>107</v>
      </c>
      <c r="D120" s="39">
        <v>16686.838899999999</v>
      </c>
    </row>
    <row r="121" spans="1:4" ht="15.75" thickBot="1" x14ac:dyDescent="0.3">
      <c r="A121" s="24"/>
      <c r="B121" s="29" t="s">
        <v>98</v>
      </c>
      <c r="C121" s="25" t="s">
        <v>13</v>
      </c>
      <c r="D121" s="39">
        <f>176228.77-4320.23</f>
        <v>171908.53999999998</v>
      </c>
    </row>
    <row r="122" spans="1:4" ht="15.75" thickBot="1" x14ac:dyDescent="0.3">
      <c r="A122" s="24"/>
      <c r="B122" s="25" t="s">
        <v>99</v>
      </c>
      <c r="C122" s="25" t="s">
        <v>13</v>
      </c>
      <c r="D122" s="43">
        <v>178087.44</v>
      </c>
    </row>
    <row r="123" spans="1:4" ht="15.75" thickBot="1" x14ac:dyDescent="0.3">
      <c r="A123" s="24"/>
      <c r="B123" s="25" t="s">
        <v>100</v>
      </c>
      <c r="C123" s="25" t="s">
        <v>13</v>
      </c>
      <c r="D123" s="43">
        <v>0</v>
      </c>
    </row>
    <row r="124" spans="1:4" ht="15.75" thickBot="1" x14ac:dyDescent="0.3">
      <c r="A124" s="24"/>
      <c r="B124" s="25" t="s">
        <v>101</v>
      </c>
      <c r="C124" s="25" t="s">
        <v>13</v>
      </c>
      <c r="D124" s="43">
        <v>185556.35</v>
      </c>
    </row>
    <row r="125" spans="1:4" ht="15.75" thickBot="1" x14ac:dyDescent="0.3">
      <c r="A125" s="24"/>
      <c r="B125" s="25" t="s">
        <v>102</v>
      </c>
      <c r="C125" s="25" t="s">
        <v>13</v>
      </c>
      <c r="D125" s="43">
        <f>D122</f>
        <v>178087.44</v>
      </c>
    </row>
    <row r="126" spans="1:4" ht="15.75" thickBot="1" x14ac:dyDescent="0.3">
      <c r="A126" s="24"/>
      <c r="B126" s="25" t="s">
        <v>103</v>
      </c>
      <c r="C126" s="25" t="s">
        <v>13</v>
      </c>
      <c r="D126" s="43">
        <v>0</v>
      </c>
    </row>
    <row r="127" spans="1:4" ht="15.75" thickBot="1" x14ac:dyDescent="0.3">
      <c r="A127" s="24"/>
      <c r="B127" s="29" t="s">
        <v>104</v>
      </c>
      <c r="C127" s="25" t="s">
        <v>13</v>
      </c>
      <c r="D127" s="39">
        <v>0</v>
      </c>
    </row>
    <row r="128" spans="1:4" x14ac:dyDescent="0.25">
      <c r="A128" s="46"/>
      <c r="B128" s="47"/>
      <c r="C128" s="48"/>
      <c r="D128" s="49"/>
    </row>
    <row r="129" spans="1:4" ht="15.75" thickBot="1" x14ac:dyDescent="0.3">
      <c r="A129" s="8" t="s">
        <v>112</v>
      </c>
      <c r="B129" s="2"/>
      <c r="C129" s="2"/>
      <c r="D129" s="2"/>
    </row>
    <row r="130" spans="1:4" ht="15.75" thickBot="1" x14ac:dyDescent="0.3">
      <c r="A130" s="22" t="s">
        <v>113</v>
      </c>
      <c r="B130" s="33" t="s">
        <v>73</v>
      </c>
      <c r="C130" s="32" t="s">
        <v>114</v>
      </c>
      <c r="D130" s="33">
        <v>0</v>
      </c>
    </row>
    <row r="131" spans="1:4" ht="15.75" thickBot="1" x14ac:dyDescent="0.3">
      <c r="A131" s="24" t="s">
        <v>115</v>
      </c>
      <c r="B131" s="29" t="s">
        <v>75</v>
      </c>
      <c r="C131" s="25" t="s">
        <v>114</v>
      </c>
      <c r="D131" s="29">
        <v>0</v>
      </c>
    </row>
    <row r="132" spans="1:4" ht="15.75" thickBot="1" x14ac:dyDescent="0.3">
      <c r="A132" s="24" t="s">
        <v>116</v>
      </c>
      <c r="B132" s="29" t="s">
        <v>77</v>
      </c>
      <c r="C132" s="25" t="s">
        <v>114</v>
      </c>
      <c r="D132" s="29">
        <v>0</v>
      </c>
    </row>
    <row r="133" spans="1:4" ht="15.75" thickBot="1" x14ac:dyDescent="0.3">
      <c r="A133" s="24" t="s">
        <v>117</v>
      </c>
      <c r="B133" s="29" t="s">
        <v>79</v>
      </c>
      <c r="C133" s="25" t="s">
        <v>13</v>
      </c>
      <c r="D133" s="39">
        <v>0</v>
      </c>
    </row>
    <row r="134" spans="1:4" x14ac:dyDescent="0.25">
      <c r="A134" s="2"/>
      <c r="B134" s="2"/>
      <c r="C134" s="2"/>
      <c r="D134" s="2"/>
    </row>
    <row r="135" spans="1:4" ht="15.75" thickBot="1" x14ac:dyDescent="0.3">
      <c r="A135" s="8" t="s">
        <v>118</v>
      </c>
      <c r="B135" s="2"/>
      <c r="C135" s="2"/>
      <c r="D135" s="2"/>
    </row>
    <row r="136" spans="1:4" ht="15.75" thickBot="1" x14ac:dyDescent="0.3">
      <c r="A136" s="34">
        <v>48</v>
      </c>
      <c r="B136" s="33" t="s">
        <v>119</v>
      </c>
      <c r="C136" s="32" t="s">
        <v>114</v>
      </c>
      <c r="D136" s="33">
        <v>0</v>
      </c>
    </row>
    <row r="137" spans="1:4" ht="15.75" thickBot="1" x14ac:dyDescent="0.3">
      <c r="A137" s="50">
        <v>49</v>
      </c>
      <c r="B137" s="29" t="s">
        <v>120</v>
      </c>
      <c r="C137" s="25" t="s">
        <v>114</v>
      </c>
      <c r="D137" s="29">
        <v>0</v>
      </c>
    </row>
    <row r="138" spans="1:4" ht="15.75" thickBot="1" x14ac:dyDescent="0.3">
      <c r="A138" s="51">
        <v>50</v>
      </c>
      <c r="B138" s="52" t="s">
        <v>121</v>
      </c>
      <c r="C138" s="53" t="s">
        <v>13</v>
      </c>
      <c r="D138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topLeftCell="A100" workbookViewId="0">
      <selection activeCell="D76" sqref="D76"/>
    </sheetView>
  </sheetViews>
  <sheetFormatPr defaultRowHeight="15" x14ac:dyDescent="0.25"/>
  <cols>
    <col min="2" max="2" width="73.42578125" customWidth="1"/>
    <col min="3" max="3" width="10.28515625" customWidth="1"/>
    <col min="4" max="4" width="55.71093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155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156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95427.09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95427.09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992494.12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675470.52+115860.864</f>
        <v>791331.38400000008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118846.12+28117.716</f>
        <v>146963.83600000001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1010527.64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652071.37+130881.39+158696.88</f>
        <v>941649.64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68878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1010527.64+95427.09</f>
        <v>1105954.73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14597.54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14597.54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0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132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3808170471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143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134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68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147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70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3811171757</v>
      </c>
    </row>
    <row r="64" spans="1:4" x14ac:dyDescent="0.25">
      <c r="A64" s="2"/>
      <c r="B64" s="2"/>
      <c r="C64" s="2"/>
      <c r="D64" s="2"/>
    </row>
    <row r="65" spans="1:4" ht="15.75" thickBot="1" x14ac:dyDescent="0.3">
      <c r="A65" s="8" t="s">
        <v>71</v>
      </c>
      <c r="B65" s="2"/>
      <c r="C65" s="2"/>
      <c r="D65" s="2"/>
    </row>
    <row r="66" spans="1:4" ht="15.75" thickBot="1" x14ac:dyDescent="0.3">
      <c r="A66" s="22" t="s">
        <v>72</v>
      </c>
      <c r="B66" s="32" t="s">
        <v>73</v>
      </c>
      <c r="C66" s="32" t="s">
        <v>47</v>
      </c>
      <c r="D66" s="33">
        <v>0</v>
      </c>
    </row>
    <row r="67" spans="1:4" ht="15.75" thickBot="1" x14ac:dyDescent="0.3">
      <c r="A67" s="24" t="s">
        <v>74</v>
      </c>
      <c r="B67" s="25" t="s">
        <v>75</v>
      </c>
      <c r="C67" s="25" t="s">
        <v>47</v>
      </c>
      <c r="D67" s="29">
        <v>0</v>
      </c>
    </row>
    <row r="68" spans="1:4" ht="15.75" thickBot="1" x14ac:dyDescent="0.3">
      <c r="A68" s="24" t="s">
        <v>76</v>
      </c>
      <c r="B68" s="25" t="s">
        <v>77</v>
      </c>
      <c r="C68" s="25" t="s">
        <v>47</v>
      </c>
      <c r="D68" s="29">
        <v>0</v>
      </c>
    </row>
    <row r="69" spans="1:4" ht="15.75" thickBot="1" x14ac:dyDescent="0.3">
      <c r="A69" s="22" t="s">
        <v>78</v>
      </c>
      <c r="B69" s="34" t="s">
        <v>79</v>
      </c>
      <c r="C69" s="34" t="s">
        <v>13</v>
      </c>
      <c r="D69" s="35">
        <v>0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80</v>
      </c>
      <c r="B71" s="2"/>
      <c r="C71" s="2"/>
      <c r="D71" s="2"/>
    </row>
    <row r="72" spans="1:4" ht="15.75" thickBot="1" x14ac:dyDescent="0.3">
      <c r="A72" s="36" t="s">
        <v>81</v>
      </c>
      <c r="B72" s="33" t="s">
        <v>82</v>
      </c>
      <c r="C72" s="32" t="s">
        <v>13</v>
      </c>
      <c r="D72" s="37">
        <f>D74+D73</f>
        <v>35282</v>
      </c>
    </row>
    <row r="73" spans="1:4" ht="15.75" thickBot="1" x14ac:dyDescent="0.3">
      <c r="A73" s="38" t="s">
        <v>83</v>
      </c>
      <c r="B73" s="25" t="s">
        <v>84</v>
      </c>
      <c r="C73" s="25" t="s">
        <v>13</v>
      </c>
      <c r="D73" s="39">
        <f>-(55716.04+7799.49+7166.19+9549.39+686.14+2346.34)</f>
        <v>-83263.59</v>
      </c>
    </row>
    <row r="74" spans="1:4" ht="15.75" thickBot="1" x14ac:dyDescent="0.3">
      <c r="A74" s="38" t="s">
        <v>85</v>
      </c>
      <c r="B74" s="25" t="s">
        <v>86</v>
      </c>
      <c r="C74" s="25" t="s">
        <v>13</v>
      </c>
      <c r="D74" s="39">
        <f>24756.94+19099.37+46478.27+26097.64+243.88+1869.49</f>
        <v>118545.59</v>
      </c>
    </row>
    <row r="75" spans="1:4" ht="15.75" thickBot="1" x14ac:dyDescent="0.3">
      <c r="A75" s="38" t="s">
        <v>87</v>
      </c>
      <c r="B75" s="29" t="s">
        <v>88</v>
      </c>
      <c r="C75" s="25" t="s">
        <v>13</v>
      </c>
      <c r="D75" s="39">
        <f>D77+D76</f>
        <v>174569.27999999997</v>
      </c>
    </row>
    <row r="76" spans="1:4" ht="15.75" thickBot="1" x14ac:dyDescent="0.3">
      <c r="A76" s="38" t="s">
        <v>89</v>
      </c>
      <c r="B76" s="25" t="s">
        <v>84</v>
      </c>
      <c r="C76" s="25" t="s">
        <v>13</v>
      </c>
      <c r="D76" s="39">
        <f>-(221.29+6338.21+3010.42+3524.83+3001.18+3941.27)</f>
        <v>-20037.2</v>
      </c>
    </row>
    <row r="77" spans="1:4" ht="15.75" thickBot="1" x14ac:dyDescent="0.3">
      <c r="A77" s="38" t="s">
        <v>90</v>
      </c>
      <c r="B77" s="25" t="s">
        <v>86</v>
      </c>
      <c r="C77" s="25" t="s">
        <v>13</v>
      </c>
      <c r="D77" s="39">
        <f>140210.27+6509.52+34198.82+12292.99+163.01+1231.87</f>
        <v>194606.47999999998</v>
      </c>
    </row>
    <row r="78" spans="1:4" x14ac:dyDescent="0.25">
      <c r="A78" s="2"/>
      <c r="B78" s="2"/>
      <c r="C78" s="2"/>
      <c r="D78" s="2"/>
    </row>
    <row r="79" spans="1:4" ht="15.75" thickBot="1" x14ac:dyDescent="0.3">
      <c r="A79" s="8" t="s">
        <v>91</v>
      </c>
      <c r="B79" s="2"/>
      <c r="C79" s="2"/>
      <c r="D79" s="2"/>
    </row>
    <row r="80" spans="1:4" ht="15.75" thickBot="1" x14ac:dyDescent="0.3">
      <c r="A80" s="40" t="s">
        <v>92</v>
      </c>
      <c r="B80" s="41" t="s">
        <v>93</v>
      </c>
      <c r="C80" s="42" t="s">
        <v>47</v>
      </c>
      <c r="D80" s="41" t="s">
        <v>94</v>
      </c>
    </row>
    <row r="81" spans="1:4" ht="15.75" thickBot="1" x14ac:dyDescent="0.3">
      <c r="A81" s="24"/>
      <c r="B81" s="29" t="s">
        <v>95</v>
      </c>
      <c r="C81" s="25" t="s">
        <v>47</v>
      </c>
      <c r="D81" s="29" t="s">
        <v>96</v>
      </c>
    </row>
    <row r="82" spans="1:4" ht="15.75" thickBot="1" x14ac:dyDescent="0.3">
      <c r="A82" s="24"/>
      <c r="B82" s="29" t="s">
        <v>97</v>
      </c>
      <c r="C82" s="25" t="s">
        <v>96</v>
      </c>
      <c r="D82" s="39">
        <v>545.11199999999997</v>
      </c>
    </row>
    <row r="83" spans="1:4" ht="15.75" thickBot="1" x14ac:dyDescent="0.3">
      <c r="A83" s="24"/>
      <c r="B83" s="29" t="s">
        <v>98</v>
      </c>
      <c r="C83" s="25" t="s">
        <v>13</v>
      </c>
      <c r="D83" s="39">
        <f>544530.72+78074.28</f>
        <v>622605</v>
      </c>
    </row>
    <row r="84" spans="1:4" ht="15.75" thickBot="1" x14ac:dyDescent="0.3">
      <c r="A84" s="24"/>
      <c r="B84" s="25" t="s">
        <v>99</v>
      </c>
      <c r="C84" s="25" t="s">
        <v>13</v>
      </c>
      <c r="D84" s="43">
        <v>451656.92</v>
      </c>
    </row>
    <row r="85" spans="1:4" ht="15.75" thickBot="1" x14ac:dyDescent="0.3">
      <c r="A85" s="24"/>
      <c r="B85" s="25" t="s">
        <v>100</v>
      </c>
      <c r="C85" s="25" t="s">
        <v>13</v>
      </c>
      <c r="D85" s="43">
        <f>D83-D84</f>
        <v>170948.08000000002</v>
      </c>
    </row>
    <row r="86" spans="1:4" ht="15.75" thickBot="1" x14ac:dyDescent="0.3">
      <c r="A86" s="24"/>
      <c r="B86" s="25" t="s">
        <v>101</v>
      </c>
      <c r="C86" s="25" t="s">
        <v>13</v>
      </c>
      <c r="D86" s="43">
        <v>618974.22</v>
      </c>
    </row>
    <row r="87" spans="1:4" ht="15.75" thickBot="1" x14ac:dyDescent="0.3">
      <c r="A87" s="24"/>
      <c r="B87" s="25" t="s">
        <v>102</v>
      </c>
      <c r="C87" s="25" t="s">
        <v>13</v>
      </c>
      <c r="D87" s="43">
        <f>D84</f>
        <v>451656.92</v>
      </c>
    </row>
    <row r="88" spans="1:4" ht="15.75" thickBot="1" x14ac:dyDescent="0.3">
      <c r="A88" s="24"/>
      <c r="B88" s="25" t="s">
        <v>103</v>
      </c>
      <c r="C88" s="25" t="s">
        <v>13</v>
      </c>
      <c r="D88" s="43">
        <f>D85</f>
        <v>170948.08000000002</v>
      </c>
    </row>
    <row r="89" spans="1:4" ht="15.75" thickBot="1" x14ac:dyDescent="0.3">
      <c r="A89" s="24"/>
      <c r="B89" s="29" t="s">
        <v>104</v>
      </c>
      <c r="C89" s="25" t="s">
        <v>13</v>
      </c>
      <c r="D89" s="39">
        <v>0</v>
      </c>
    </row>
    <row r="90" spans="1:4" ht="15.75" thickBot="1" x14ac:dyDescent="0.3">
      <c r="A90" s="40" t="s">
        <v>105</v>
      </c>
      <c r="B90" s="41" t="s">
        <v>93</v>
      </c>
      <c r="C90" s="42" t="s">
        <v>47</v>
      </c>
      <c r="D90" s="41" t="s">
        <v>106</v>
      </c>
    </row>
    <row r="91" spans="1:4" ht="15.75" thickBot="1" x14ac:dyDescent="0.3">
      <c r="A91" s="24"/>
      <c r="B91" s="29" t="s">
        <v>95</v>
      </c>
      <c r="C91" s="25" t="s">
        <v>47</v>
      </c>
      <c r="D91" s="29" t="s">
        <v>107</v>
      </c>
    </row>
    <row r="92" spans="1:4" ht="15.75" thickBot="1" x14ac:dyDescent="0.3">
      <c r="A92" s="24"/>
      <c r="B92" s="29" t="s">
        <v>97</v>
      </c>
      <c r="C92" s="25" t="s">
        <v>107</v>
      </c>
      <c r="D92" s="44">
        <v>6538.4354000000003</v>
      </c>
    </row>
    <row r="93" spans="1:4" ht="15.75" thickBot="1" x14ac:dyDescent="0.3">
      <c r="A93" s="24"/>
      <c r="B93" s="29" t="s">
        <v>98</v>
      </c>
      <c r="C93" s="25" t="s">
        <v>13</v>
      </c>
      <c r="D93" s="44">
        <f>1334.56+66603.24-683.59</f>
        <v>67254.210000000006</v>
      </c>
    </row>
    <row r="94" spans="1:4" ht="15.75" thickBot="1" x14ac:dyDescent="0.3">
      <c r="A94" s="24"/>
      <c r="B94" s="25" t="s">
        <v>99</v>
      </c>
      <c r="C94" s="25" t="s">
        <v>13</v>
      </c>
      <c r="D94" s="45">
        <f>3730.47+77048.22</f>
        <v>80778.69</v>
      </c>
    </row>
    <row r="95" spans="1:4" ht="15.75" thickBot="1" x14ac:dyDescent="0.3">
      <c r="A95" s="24"/>
      <c r="B95" s="25" t="s">
        <v>100</v>
      </c>
      <c r="C95" s="25" t="s">
        <v>13</v>
      </c>
      <c r="D95" s="45">
        <v>0</v>
      </c>
    </row>
    <row r="96" spans="1:4" ht="15.75" thickBot="1" x14ac:dyDescent="0.3">
      <c r="A96" s="24"/>
      <c r="B96" s="25" t="s">
        <v>101</v>
      </c>
      <c r="C96" s="25" t="s">
        <v>13</v>
      </c>
      <c r="D96" s="45">
        <v>143352.39000000001</v>
      </c>
    </row>
    <row r="97" spans="1:4" ht="15.75" thickBot="1" x14ac:dyDescent="0.3">
      <c r="A97" s="24"/>
      <c r="B97" s="25" t="s">
        <v>102</v>
      </c>
      <c r="C97" s="25" t="s">
        <v>13</v>
      </c>
      <c r="D97" s="45">
        <f>D94</f>
        <v>80778.69</v>
      </c>
    </row>
    <row r="98" spans="1:4" ht="15.75" thickBot="1" x14ac:dyDescent="0.3">
      <c r="A98" s="24"/>
      <c r="B98" s="25" t="s">
        <v>103</v>
      </c>
      <c r="C98" s="25" t="s">
        <v>13</v>
      </c>
      <c r="D98" s="45">
        <v>0</v>
      </c>
    </row>
    <row r="99" spans="1:4" ht="15.75" thickBot="1" x14ac:dyDescent="0.3">
      <c r="A99" s="24"/>
      <c r="B99" s="29" t="s">
        <v>104</v>
      </c>
      <c r="C99" s="25" t="s">
        <v>13</v>
      </c>
      <c r="D99" s="44">
        <v>0</v>
      </c>
    </row>
    <row r="100" spans="1:4" ht="15.75" thickBot="1" x14ac:dyDescent="0.3">
      <c r="A100" s="40" t="s">
        <v>108</v>
      </c>
      <c r="B100" s="41" t="s">
        <v>93</v>
      </c>
      <c r="C100" s="42" t="s">
        <v>47</v>
      </c>
      <c r="D100" s="41" t="s">
        <v>109</v>
      </c>
    </row>
    <row r="101" spans="1:4" ht="15.75" thickBot="1" x14ac:dyDescent="0.3">
      <c r="A101" s="24"/>
      <c r="B101" s="29" t="s">
        <v>95</v>
      </c>
      <c r="C101" s="25" t="s">
        <v>47</v>
      </c>
      <c r="D101" s="29" t="s">
        <v>107</v>
      </c>
    </row>
    <row r="102" spans="1:4" ht="15.75" thickBot="1" x14ac:dyDescent="0.3">
      <c r="A102" s="24"/>
      <c r="B102" s="29" t="s">
        <v>97</v>
      </c>
      <c r="C102" s="25" t="s">
        <v>107</v>
      </c>
      <c r="D102" s="44">
        <v>4401.7721000000001</v>
      </c>
    </row>
    <row r="103" spans="1:4" ht="15.75" thickBot="1" x14ac:dyDescent="0.3">
      <c r="A103" s="24"/>
      <c r="B103" s="29" t="s">
        <v>98</v>
      </c>
      <c r="C103" s="25" t="s">
        <v>13</v>
      </c>
      <c r="D103" s="44">
        <f>308396.25-5077.45+9785.44+28.23</f>
        <v>313132.46999999997</v>
      </c>
    </row>
    <row r="104" spans="1:4" ht="15.75" thickBot="1" x14ac:dyDescent="0.3">
      <c r="A104" s="24"/>
      <c r="B104" s="25" t="s">
        <v>99</v>
      </c>
      <c r="C104" s="25" t="s">
        <v>13</v>
      </c>
      <c r="D104" s="45">
        <f>311442.48+12046.22</f>
        <v>323488.69999999995</v>
      </c>
    </row>
    <row r="105" spans="1:4" ht="15.75" thickBot="1" x14ac:dyDescent="0.3">
      <c r="A105" s="24"/>
      <c r="B105" s="25" t="s">
        <v>100</v>
      </c>
      <c r="C105" s="25" t="s">
        <v>13</v>
      </c>
      <c r="D105" s="45">
        <v>0</v>
      </c>
    </row>
    <row r="106" spans="1:4" ht="15.75" thickBot="1" x14ac:dyDescent="0.3">
      <c r="A106" s="24"/>
      <c r="B106" s="25" t="s">
        <v>101</v>
      </c>
      <c r="C106" s="25" t="s">
        <v>13</v>
      </c>
      <c r="D106" s="45">
        <v>373240.71</v>
      </c>
    </row>
    <row r="107" spans="1:4" ht="15.75" thickBot="1" x14ac:dyDescent="0.3">
      <c r="A107" s="24"/>
      <c r="B107" s="25" t="s">
        <v>102</v>
      </c>
      <c r="C107" s="25" t="s">
        <v>13</v>
      </c>
      <c r="D107" s="45">
        <f>D104</f>
        <v>323488.69999999995</v>
      </c>
    </row>
    <row r="108" spans="1:4" ht="15.75" thickBot="1" x14ac:dyDescent="0.3">
      <c r="A108" s="24"/>
      <c r="B108" s="25" t="s">
        <v>103</v>
      </c>
      <c r="C108" s="25" t="s">
        <v>13</v>
      </c>
      <c r="D108" s="45">
        <v>0</v>
      </c>
    </row>
    <row r="109" spans="1:4" ht="15.75" thickBot="1" x14ac:dyDescent="0.3">
      <c r="A109" s="24"/>
      <c r="B109" s="29" t="s">
        <v>104</v>
      </c>
      <c r="C109" s="25" t="s">
        <v>13</v>
      </c>
      <c r="D109" s="44">
        <v>0</v>
      </c>
    </row>
    <row r="110" spans="1:4" ht="15.75" thickBot="1" x14ac:dyDescent="0.3">
      <c r="A110" s="40" t="s">
        <v>110</v>
      </c>
      <c r="B110" s="41" t="s">
        <v>93</v>
      </c>
      <c r="C110" s="42" t="s">
        <v>47</v>
      </c>
      <c r="D110" s="41" t="s">
        <v>111</v>
      </c>
    </row>
    <row r="111" spans="1:4" ht="15.75" thickBot="1" x14ac:dyDescent="0.3">
      <c r="A111" s="24"/>
      <c r="B111" s="29" t="s">
        <v>95</v>
      </c>
      <c r="C111" s="25" t="s">
        <v>47</v>
      </c>
      <c r="D111" s="29" t="s">
        <v>107</v>
      </c>
    </row>
    <row r="112" spans="1:4" ht="15.75" thickBot="1" x14ac:dyDescent="0.3">
      <c r="A112" s="24"/>
      <c r="B112" s="29" t="s">
        <v>97</v>
      </c>
      <c r="C112" s="25" t="s">
        <v>107</v>
      </c>
      <c r="D112" s="39">
        <v>10940.203</v>
      </c>
    </row>
    <row r="113" spans="1:4" ht="15.75" thickBot="1" x14ac:dyDescent="0.3">
      <c r="A113" s="24"/>
      <c r="B113" s="29" t="s">
        <v>98</v>
      </c>
      <c r="C113" s="25" t="s">
        <v>13</v>
      </c>
      <c r="D113" s="39">
        <f>115429.55-768.76</f>
        <v>114660.79000000001</v>
      </c>
    </row>
    <row r="114" spans="1:4" ht="15.75" thickBot="1" x14ac:dyDescent="0.3">
      <c r="A114" s="24"/>
      <c r="B114" s="25" t="s">
        <v>99</v>
      </c>
      <c r="C114" s="25" t="s">
        <v>13</v>
      </c>
      <c r="D114" s="43">
        <v>122440.88</v>
      </c>
    </row>
    <row r="115" spans="1:4" ht="15.75" thickBot="1" x14ac:dyDescent="0.3">
      <c r="A115" s="24"/>
      <c r="B115" s="25" t="s">
        <v>100</v>
      </c>
      <c r="C115" s="25" t="s">
        <v>13</v>
      </c>
      <c r="D115" s="43">
        <v>0</v>
      </c>
    </row>
    <row r="116" spans="1:4" ht="15.75" thickBot="1" x14ac:dyDescent="0.3">
      <c r="A116" s="24"/>
      <c r="B116" s="25" t="s">
        <v>101</v>
      </c>
      <c r="C116" s="25" t="s">
        <v>13</v>
      </c>
      <c r="D116" s="43">
        <v>199068.87</v>
      </c>
    </row>
    <row r="117" spans="1:4" ht="15.75" thickBot="1" x14ac:dyDescent="0.3">
      <c r="A117" s="24"/>
      <c r="B117" s="25" t="s">
        <v>102</v>
      </c>
      <c r="C117" s="25" t="s">
        <v>13</v>
      </c>
      <c r="D117" s="43">
        <f>D114</f>
        <v>122440.88</v>
      </c>
    </row>
    <row r="118" spans="1:4" ht="15.75" thickBot="1" x14ac:dyDescent="0.3">
      <c r="A118" s="24"/>
      <c r="B118" s="25" t="s">
        <v>103</v>
      </c>
      <c r="C118" s="25" t="s">
        <v>13</v>
      </c>
      <c r="D118" s="43">
        <v>0</v>
      </c>
    </row>
    <row r="119" spans="1:4" ht="15.75" thickBot="1" x14ac:dyDescent="0.3">
      <c r="A119" s="24"/>
      <c r="B119" s="29" t="s">
        <v>104</v>
      </c>
      <c r="C119" s="25" t="s">
        <v>13</v>
      </c>
      <c r="D119" s="39">
        <v>0</v>
      </c>
    </row>
    <row r="120" spans="1:4" x14ac:dyDescent="0.25">
      <c r="A120" s="46"/>
      <c r="B120" s="47"/>
      <c r="C120" s="48"/>
      <c r="D120" s="49"/>
    </row>
    <row r="121" spans="1:4" ht="15.75" thickBot="1" x14ac:dyDescent="0.3">
      <c r="A121" s="8" t="s">
        <v>112</v>
      </c>
      <c r="B121" s="2"/>
      <c r="C121" s="2"/>
      <c r="D121" s="2"/>
    </row>
    <row r="122" spans="1:4" ht="15.75" thickBot="1" x14ac:dyDescent="0.3">
      <c r="A122" s="22" t="s">
        <v>113</v>
      </c>
      <c r="B122" s="33" t="s">
        <v>73</v>
      </c>
      <c r="C122" s="32" t="s">
        <v>114</v>
      </c>
      <c r="D122" s="33">
        <v>0</v>
      </c>
    </row>
    <row r="123" spans="1:4" ht="15.75" thickBot="1" x14ac:dyDescent="0.3">
      <c r="A123" s="24" t="s">
        <v>115</v>
      </c>
      <c r="B123" s="29" t="s">
        <v>75</v>
      </c>
      <c r="C123" s="25" t="s">
        <v>114</v>
      </c>
      <c r="D123" s="29">
        <v>0</v>
      </c>
    </row>
    <row r="124" spans="1:4" ht="15.75" thickBot="1" x14ac:dyDescent="0.3">
      <c r="A124" s="24" t="s">
        <v>116</v>
      </c>
      <c r="B124" s="29" t="s">
        <v>77</v>
      </c>
      <c r="C124" s="25" t="s">
        <v>114</v>
      </c>
      <c r="D124" s="29">
        <v>0</v>
      </c>
    </row>
    <row r="125" spans="1:4" ht="15.75" thickBot="1" x14ac:dyDescent="0.3">
      <c r="A125" s="24" t="s">
        <v>117</v>
      </c>
      <c r="B125" s="29" t="s">
        <v>79</v>
      </c>
      <c r="C125" s="25" t="s">
        <v>13</v>
      </c>
      <c r="D125" s="39">
        <v>0</v>
      </c>
    </row>
    <row r="126" spans="1:4" x14ac:dyDescent="0.25">
      <c r="A126" s="2"/>
      <c r="B126" s="2"/>
      <c r="C126" s="2"/>
      <c r="D126" s="2"/>
    </row>
    <row r="127" spans="1:4" ht="15.75" thickBot="1" x14ac:dyDescent="0.3">
      <c r="A127" s="8" t="s">
        <v>118</v>
      </c>
      <c r="B127" s="2"/>
      <c r="C127" s="2"/>
      <c r="D127" s="2"/>
    </row>
    <row r="128" spans="1:4" ht="15.75" thickBot="1" x14ac:dyDescent="0.3">
      <c r="A128" s="34">
        <v>48</v>
      </c>
      <c r="B128" s="33" t="s">
        <v>119</v>
      </c>
      <c r="C128" s="32" t="s">
        <v>114</v>
      </c>
      <c r="D128" s="33">
        <v>1</v>
      </c>
    </row>
    <row r="129" spans="1:4" ht="15.75" thickBot="1" x14ac:dyDescent="0.3">
      <c r="A129" s="50">
        <v>49</v>
      </c>
      <c r="B129" s="29" t="s">
        <v>120</v>
      </c>
      <c r="C129" s="25" t="s">
        <v>114</v>
      </c>
      <c r="D129" s="29">
        <v>0</v>
      </c>
    </row>
    <row r="130" spans="1:4" ht="15.75" thickBot="1" x14ac:dyDescent="0.3">
      <c r="A130" s="51">
        <v>50</v>
      </c>
      <c r="B130" s="52" t="s">
        <v>121</v>
      </c>
      <c r="C130" s="53" t="s">
        <v>13</v>
      </c>
      <c r="D130" s="56">
        <f>19275</f>
        <v>19275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opLeftCell="A70" workbookViewId="0">
      <selection activeCell="D76" sqref="D76"/>
    </sheetView>
  </sheetViews>
  <sheetFormatPr defaultRowHeight="15" x14ac:dyDescent="0.25"/>
  <cols>
    <col min="2" max="2" width="73.42578125" customWidth="1"/>
    <col min="3" max="3" width="10.42578125" customWidth="1"/>
    <col min="4" max="4" width="55.855468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157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158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176203.56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176203.56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1205269.71</v>
      </c>
    </row>
    <row r="17" spans="1:5" x14ac:dyDescent="0.25">
      <c r="A17" s="15" t="s">
        <v>20</v>
      </c>
      <c r="B17" s="16" t="s">
        <v>21</v>
      </c>
      <c r="C17" s="16" t="s">
        <v>13</v>
      </c>
      <c r="D17" s="17">
        <f>719275.2+123071.08+3361.55</f>
        <v>845707.83</v>
      </c>
    </row>
    <row r="18" spans="1:5" x14ac:dyDescent="0.25">
      <c r="A18" s="15" t="s">
        <v>22</v>
      </c>
      <c r="B18" s="15" t="s">
        <v>23</v>
      </c>
      <c r="C18" s="16" t="s">
        <v>13</v>
      </c>
      <c r="D18" s="17">
        <f>274867.92+53671.2</f>
        <v>328539.12</v>
      </c>
    </row>
    <row r="19" spans="1:5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5" x14ac:dyDescent="0.25">
      <c r="A20" s="15" t="s">
        <v>26</v>
      </c>
      <c r="B20" s="18" t="s">
        <v>27</v>
      </c>
      <c r="C20" s="16" t="s">
        <v>13</v>
      </c>
      <c r="D20" s="17">
        <v>1240678.73</v>
      </c>
    </row>
    <row r="21" spans="1:5" x14ac:dyDescent="0.25">
      <c r="A21" s="15" t="s">
        <v>28</v>
      </c>
      <c r="B21" s="16" t="s">
        <v>29</v>
      </c>
      <c r="C21" s="16" t="s">
        <v>13</v>
      </c>
      <c r="D21" s="17">
        <f>740252.98+283897.45+3361.55+200816.75</f>
        <v>1228328.73</v>
      </c>
    </row>
    <row r="22" spans="1:5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5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5" x14ac:dyDescent="0.25">
      <c r="A24" s="15" t="s">
        <v>34</v>
      </c>
      <c r="B24" s="16" t="s">
        <v>35</v>
      </c>
      <c r="C24" s="16" t="s">
        <v>13</v>
      </c>
      <c r="D24" s="17">
        <v>12350</v>
      </c>
    </row>
    <row r="25" spans="1:5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5" x14ac:dyDescent="0.25">
      <c r="A26" s="15" t="s">
        <v>38</v>
      </c>
      <c r="B26" s="18" t="s">
        <v>39</v>
      </c>
      <c r="C26" s="16" t="s">
        <v>13</v>
      </c>
      <c r="D26" s="17">
        <f>D20+D13</f>
        <v>1416882.29</v>
      </c>
    </row>
    <row r="27" spans="1:5" x14ac:dyDescent="0.25">
      <c r="A27" s="15" t="s">
        <v>40</v>
      </c>
      <c r="B27" s="18" t="s">
        <v>41</v>
      </c>
      <c r="C27" s="16" t="s">
        <v>13</v>
      </c>
      <c r="D27" s="17">
        <v>12144.69</v>
      </c>
    </row>
    <row r="28" spans="1:5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5" ht="15.75" thickBot="1" x14ac:dyDescent="0.3">
      <c r="A29" s="19" t="s">
        <v>43</v>
      </c>
      <c r="B29" s="20" t="s">
        <v>17</v>
      </c>
      <c r="C29" s="20" t="s">
        <v>13</v>
      </c>
      <c r="D29" s="21">
        <v>12144.69</v>
      </c>
    </row>
    <row r="30" spans="1:5" x14ac:dyDescent="0.25">
      <c r="A30" s="2"/>
      <c r="B30" s="2"/>
      <c r="C30" s="2"/>
      <c r="D30" s="2"/>
    </row>
    <row r="31" spans="1:5" ht="15.75" thickBot="1" x14ac:dyDescent="0.3">
      <c r="A31" s="8" t="s">
        <v>44</v>
      </c>
      <c r="B31" s="2"/>
      <c r="C31" s="2"/>
      <c r="D31" s="2"/>
    </row>
    <row r="32" spans="1:5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  <c r="E32" s="57"/>
    </row>
    <row r="33" spans="1:5" ht="15.75" thickBot="1" x14ac:dyDescent="0.3">
      <c r="A33" s="24"/>
      <c r="B33" s="25" t="s">
        <v>49</v>
      </c>
      <c r="C33" s="25" t="s">
        <v>47</v>
      </c>
      <c r="D33" s="29" t="s">
        <v>50</v>
      </c>
      <c r="E33" s="57"/>
    </row>
    <row r="34" spans="1:5" ht="15.75" thickBot="1" x14ac:dyDescent="0.3">
      <c r="A34" s="24"/>
      <c r="B34" s="25" t="s">
        <v>51</v>
      </c>
      <c r="C34" s="25" t="s">
        <v>47</v>
      </c>
      <c r="D34" s="29" t="s">
        <v>52</v>
      </c>
      <c r="E34" s="57"/>
    </row>
    <row r="35" spans="1:5" ht="15.75" thickBot="1" x14ac:dyDescent="0.3">
      <c r="A35" s="24"/>
      <c r="B35" s="25" t="s">
        <v>53</v>
      </c>
      <c r="C35" s="25" t="s">
        <v>47</v>
      </c>
      <c r="D35" s="26" t="s">
        <v>54</v>
      </c>
      <c r="E35" s="57"/>
    </row>
    <row r="36" spans="1:5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  <c r="E36" s="57"/>
    </row>
    <row r="37" spans="1:5" ht="15.75" thickBot="1" x14ac:dyDescent="0.3">
      <c r="A37" s="24"/>
      <c r="B37" s="25" t="s">
        <v>49</v>
      </c>
      <c r="C37" s="25" t="s">
        <v>47</v>
      </c>
      <c r="D37" s="29" t="s">
        <v>124</v>
      </c>
      <c r="E37" s="57"/>
    </row>
    <row r="38" spans="1:5" ht="15.75" thickBot="1" x14ac:dyDescent="0.3">
      <c r="A38" s="24"/>
      <c r="B38" s="25" t="s">
        <v>51</v>
      </c>
      <c r="C38" s="25" t="s">
        <v>47</v>
      </c>
      <c r="D38" s="29" t="s">
        <v>57</v>
      </c>
      <c r="E38" s="57"/>
    </row>
    <row r="39" spans="1:5" ht="15.75" thickBot="1" x14ac:dyDescent="0.3">
      <c r="A39" s="24"/>
      <c r="B39" s="25" t="s">
        <v>53</v>
      </c>
      <c r="C39" s="25" t="s">
        <v>47</v>
      </c>
      <c r="D39" s="30">
        <v>3808160770</v>
      </c>
      <c r="E39" s="57"/>
    </row>
    <row r="40" spans="1:5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  <c r="E40" s="57"/>
    </row>
    <row r="41" spans="1:5" ht="15.75" thickBot="1" x14ac:dyDescent="0.3">
      <c r="A41" s="24"/>
      <c r="B41" s="25" t="s">
        <v>49</v>
      </c>
      <c r="C41" s="25" t="s">
        <v>47</v>
      </c>
      <c r="D41" s="29" t="s">
        <v>59</v>
      </c>
      <c r="E41" s="57"/>
    </row>
    <row r="42" spans="1:5" ht="15.75" thickBot="1" x14ac:dyDescent="0.3">
      <c r="A42" s="24"/>
      <c r="B42" s="25" t="s">
        <v>51</v>
      </c>
      <c r="C42" s="25" t="s">
        <v>47</v>
      </c>
      <c r="D42" s="29" t="s">
        <v>52</v>
      </c>
      <c r="E42" s="57"/>
    </row>
    <row r="43" spans="1:5" ht="15.75" thickBot="1" x14ac:dyDescent="0.3">
      <c r="A43" s="24"/>
      <c r="B43" s="25" t="s">
        <v>53</v>
      </c>
      <c r="C43" s="25" t="s">
        <v>47</v>
      </c>
      <c r="D43" s="30">
        <v>3807000117</v>
      </c>
      <c r="E43" s="57"/>
    </row>
    <row r="44" spans="1:5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  <c r="E44" s="57"/>
    </row>
    <row r="45" spans="1:5" ht="15.75" thickBot="1" x14ac:dyDescent="0.3">
      <c r="A45" s="24"/>
      <c r="B45" s="25" t="s">
        <v>49</v>
      </c>
      <c r="C45" s="25" t="s">
        <v>47</v>
      </c>
      <c r="D45" s="29" t="s">
        <v>70</v>
      </c>
      <c r="E45" s="57"/>
    </row>
    <row r="46" spans="1:5" ht="15.75" thickBot="1" x14ac:dyDescent="0.3">
      <c r="A46" s="24"/>
      <c r="B46" s="25" t="s">
        <v>51</v>
      </c>
      <c r="C46" s="25" t="s">
        <v>47</v>
      </c>
      <c r="D46" s="29" t="s">
        <v>57</v>
      </c>
      <c r="E46" s="57"/>
    </row>
    <row r="47" spans="1:5" ht="15.75" thickBot="1" x14ac:dyDescent="0.3">
      <c r="A47" s="24"/>
      <c r="B47" s="25" t="s">
        <v>53</v>
      </c>
      <c r="C47" s="25" t="s">
        <v>47</v>
      </c>
      <c r="D47" s="30">
        <v>3811171757</v>
      </c>
      <c r="E47" s="57"/>
    </row>
    <row r="48" spans="1:5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  <c r="E48" s="57"/>
    </row>
    <row r="49" spans="1:5" ht="15.75" thickBot="1" x14ac:dyDescent="0.3">
      <c r="A49" s="24"/>
      <c r="B49" s="25" t="s">
        <v>49</v>
      </c>
      <c r="C49" s="25" t="s">
        <v>47</v>
      </c>
      <c r="D49" s="29" t="s">
        <v>134</v>
      </c>
      <c r="E49" s="57"/>
    </row>
    <row r="50" spans="1:5" ht="15.75" thickBot="1" x14ac:dyDescent="0.3">
      <c r="A50" s="24"/>
      <c r="B50" s="25" t="s">
        <v>51</v>
      </c>
      <c r="C50" s="25" t="s">
        <v>47</v>
      </c>
      <c r="D50" s="55" t="s">
        <v>57</v>
      </c>
      <c r="E50" s="57"/>
    </row>
    <row r="51" spans="1:5" ht="15.75" thickBot="1" x14ac:dyDescent="0.3">
      <c r="A51" s="24"/>
      <c r="B51" s="25" t="s">
        <v>53</v>
      </c>
      <c r="C51" s="25" t="s">
        <v>47</v>
      </c>
      <c r="D51" s="31" t="s">
        <v>68</v>
      </c>
      <c r="E51" s="57"/>
    </row>
    <row r="52" spans="1:5" ht="15.75" thickBot="1" x14ac:dyDescent="0.3">
      <c r="A52" s="24" t="s">
        <v>62</v>
      </c>
      <c r="B52" s="27" t="s">
        <v>46</v>
      </c>
      <c r="C52" s="27" t="s">
        <v>47</v>
      </c>
      <c r="D52" s="28" t="s">
        <v>132</v>
      </c>
      <c r="E52" s="57"/>
    </row>
    <row r="53" spans="1:5" ht="15.75" thickBot="1" x14ac:dyDescent="0.3">
      <c r="A53" s="24"/>
      <c r="B53" s="25" t="s">
        <v>49</v>
      </c>
      <c r="C53" s="25" t="s">
        <v>47</v>
      </c>
      <c r="D53" s="29" t="s">
        <v>133</v>
      </c>
      <c r="E53" s="57"/>
    </row>
    <row r="54" spans="1:5" ht="15.75" thickBot="1" x14ac:dyDescent="0.3">
      <c r="A54" s="24"/>
      <c r="B54" s="25" t="s">
        <v>51</v>
      </c>
      <c r="C54" s="25" t="s">
        <v>47</v>
      </c>
      <c r="D54" s="29" t="s">
        <v>57</v>
      </c>
      <c r="E54" s="57"/>
    </row>
    <row r="55" spans="1:5" ht="15.75" thickBot="1" x14ac:dyDescent="0.3">
      <c r="A55" s="24"/>
      <c r="B55" s="25" t="s">
        <v>53</v>
      </c>
      <c r="C55" s="25" t="s">
        <v>47</v>
      </c>
      <c r="D55" s="30">
        <v>3808170471</v>
      </c>
      <c r="E55" s="57"/>
    </row>
    <row r="56" spans="1:5" ht="15.75" thickBot="1" x14ac:dyDescent="0.3">
      <c r="A56" s="24" t="s">
        <v>63</v>
      </c>
      <c r="B56" s="27" t="s">
        <v>46</v>
      </c>
      <c r="C56" s="27" t="s">
        <v>47</v>
      </c>
      <c r="D56" s="28" t="s">
        <v>143</v>
      </c>
      <c r="E56" s="57"/>
    </row>
    <row r="57" spans="1:5" ht="15.75" thickBot="1" x14ac:dyDescent="0.3">
      <c r="A57" s="24"/>
      <c r="B57" s="25" t="s">
        <v>49</v>
      </c>
      <c r="C57" s="25" t="s">
        <v>47</v>
      </c>
      <c r="D57" s="29" t="s">
        <v>134</v>
      </c>
      <c r="E57" s="57"/>
    </row>
    <row r="58" spans="1:5" ht="15.75" thickBot="1" x14ac:dyDescent="0.3">
      <c r="A58" s="24"/>
      <c r="B58" s="25" t="s">
        <v>51</v>
      </c>
      <c r="C58" s="25" t="s">
        <v>47</v>
      </c>
      <c r="D58" s="29" t="s">
        <v>57</v>
      </c>
      <c r="E58" s="57"/>
    </row>
    <row r="59" spans="1:5" ht="15.75" thickBot="1" x14ac:dyDescent="0.3">
      <c r="A59" s="24"/>
      <c r="B59" s="25" t="s">
        <v>53</v>
      </c>
      <c r="C59" s="25" t="s">
        <v>47</v>
      </c>
      <c r="D59" s="31" t="s">
        <v>68</v>
      </c>
      <c r="E59" s="57"/>
    </row>
    <row r="60" spans="1:5" ht="15.75" thickBot="1" x14ac:dyDescent="0.3">
      <c r="A60" s="24" t="s">
        <v>64</v>
      </c>
      <c r="B60" s="27" t="s">
        <v>46</v>
      </c>
      <c r="C60" s="27" t="s">
        <v>47</v>
      </c>
      <c r="D60" s="28" t="s">
        <v>159</v>
      </c>
    </row>
    <row r="61" spans="1:5" ht="15.75" thickBot="1" x14ac:dyDescent="0.3">
      <c r="A61" s="24"/>
      <c r="B61" s="25" t="s">
        <v>49</v>
      </c>
      <c r="C61" s="25" t="s">
        <v>47</v>
      </c>
      <c r="D61" s="29" t="s">
        <v>151</v>
      </c>
    </row>
    <row r="62" spans="1:5" ht="15.75" thickBot="1" x14ac:dyDescent="0.3">
      <c r="A62" s="24"/>
      <c r="B62" s="25" t="s">
        <v>51</v>
      </c>
      <c r="C62" s="25" t="s">
        <v>47</v>
      </c>
      <c r="D62" s="29" t="s">
        <v>65</v>
      </c>
    </row>
    <row r="63" spans="1:5" ht="15.75" thickBot="1" x14ac:dyDescent="0.3">
      <c r="A63" s="24"/>
      <c r="B63" s="25" t="s">
        <v>53</v>
      </c>
      <c r="C63" s="25" t="s">
        <v>47</v>
      </c>
      <c r="D63" s="30">
        <v>3827043895</v>
      </c>
    </row>
    <row r="64" spans="1:5" x14ac:dyDescent="0.25">
      <c r="A64" s="2"/>
      <c r="B64" s="2"/>
      <c r="C64" s="2"/>
      <c r="D64" s="2"/>
    </row>
    <row r="65" spans="1:4" ht="15.75" thickBot="1" x14ac:dyDescent="0.3">
      <c r="A65" s="8" t="s">
        <v>71</v>
      </c>
      <c r="B65" s="2"/>
      <c r="C65" s="2"/>
      <c r="D65" s="2"/>
    </row>
    <row r="66" spans="1:4" ht="15.75" thickBot="1" x14ac:dyDescent="0.3">
      <c r="A66" s="22" t="s">
        <v>72</v>
      </c>
      <c r="B66" s="32" t="s">
        <v>73</v>
      </c>
      <c r="C66" s="32" t="s">
        <v>47</v>
      </c>
      <c r="D66" s="33">
        <v>0</v>
      </c>
    </row>
    <row r="67" spans="1:4" ht="15.75" thickBot="1" x14ac:dyDescent="0.3">
      <c r="A67" s="24" t="s">
        <v>74</v>
      </c>
      <c r="B67" s="25" t="s">
        <v>75</v>
      </c>
      <c r="C67" s="25" t="s">
        <v>47</v>
      </c>
      <c r="D67" s="29">
        <v>0</v>
      </c>
    </row>
    <row r="68" spans="1:4" ht="15.75" thickBot="1" x14ac:dyDescent="0.3">
      <c r="A68" s="24" t="s">
        <v>76</v>
      </c>
      <c r="B68" s="25" t="s">
        <v>77</v>
      </c>
      <c r="C68" s="25" t="s">
        <v>47</v>
      </c>
      <c r="D68" s="29">
        <v>0</v>
      </c>
    </row>
    <row r="69" spans="1:4" ht="15.75" thickBot="1" x14ac:dyDescent="0.3">
      <c r="A69" s="22" t="s">
        <v>78</v>
      </c>
      <c r="B69" s="34" t="s">
        <v>79</v>
      </c>
      <c r="C69" s="34" t="s">
        <v>13</v>
      </c>
      <c r="D69" s="35">
        <v>0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80</v>
      </c>
      <c r="B71" s="2"/>
      <c r="C71" s="2"/>
      <c r="D71" s="2"/>
    </row>
    <row r="72" spans="1:4" ht="15.75" thickBot="1" x14ac:dyDescent="0.3">
      <c r="A72" s="36" t="s">
        <v>81</v>
      </c>
      <c r="B72" s="33" t="s">
        <v>82</v>
      </c>
      <c r="C72" s="32" t="s">
        <v>13</v>
      </c>
      <c r="D72" s="37">
        <f>D74+D73</f>
        <v>92305.219999999972</v>
      </c>
    </row>
    <row r="73" spans="1:4" ht="15.75" thickBot="1" x14ac:dyDescent="0.3">
      <c r="A73" s="38" t="s">
        <v>83</v>
      </c>
      <c r="B73" s="25" t="s">
        <v>84</v>
      </c>
      <c r="C73" s="25" t="s">
        <v>13</v>
      </c>
      <c r="D73" s="39">
        <f>-(33581.95+5306.78+11051.08+1417.77+97.76+1511.28)</f>
        <v>-52966.619999999995</v>
      </c>
    </row>
    <row r="74" spans="1:4" ht="15.75" thickBot="1" x14ac:dyDescent="0.3">
      <c r="A74" s="38" t="s">
        <v>85</v>
      </c>
      <c r="B74" s="25" t="s">
        <v>86</v>
      </c>
      <c r="C74" s="25" t="s">
        <v>13</v>
      </c>
      <c r="D74" s="39">
        <f>46387.24+8250.02+62597.1+25855.65+218.06+1963.77</f>
        <v>145271.83999999997</v>
      </c>
    </row>
    <row r="75" spans="1:4" ht="15.75" thickBot="1" x14ac:dyDescent="0.3">
      <c r="A75" s="38" t="s">
        <v>87</v>
      </c>
      <c r="B75" s="29" t="s">
        <v>88</v>
      </c>
      <c r="C75" s="25" t="s">
        <v>13</v>
      </c>
      <c r="D75" s="39">
        <f>D77+D76</f>
        <v>139978.03999999998</v>
      </c>
    </row>
    <row r="76" spans="1:4" ht="15.75" thickBot="1" x14ac:dyDescent="0.3">
      <c r="A76" s="38" t="s">
        <v>89</v>
      </c>
      <c r="B76" s="25" t="s">
        <v>84</v>
      </c>
      <c r="C76" s="25" t="s">
        <v>13</v>
      </c>
      <c r="D76" s="39">
        <f>-(2351.23+2944.64+3616.38+1605.36+1414.04+904.18)</f>
        <v>-12835.830000000002</v>
      </c>
    </row>
    <row r="77" spans="1:4" ht="15.75" thickBot="1" x14ac:dyDescent="0.3">
      <c r="A77" s="38" t="s">
        <v>90</v>
      </c>
      <c r="B77" s="25" t="s">
        <v>86</v>
      </c>
      <c r="C77" s="25" t="s">
        <v>13</v>
      </c>
      <c r="D77" s="39">
        <f>92859.84+7632.81+36586.72+14195.53+171.2+1367.77</f>
        <v>152813.87</v>
      </c>
    </row>
    <row r="78" spans="1:4" x14ac:dyDescent="0.25">
      <c r="A78" s="2"/>
      <c r="B78" s="2"/>
      <c r="C78" s="2"/>
      <c r="D78" s="2"/>
    </row>
    <row r="79" spans="1:4" ht="15.75" thickBot="1" x14ac:dyDescent="0.3">
      <c r="A79" s="8" t="s">
        <v>91</v>
      </c>
      <c r="B79" s="2"/>
      <c r="C79" s="2"/>
      <c r="D79" s="2"/>
    </row>
    <row r="80" spans="1:4" ht="15.75" thickBot="1" x14ac:dyDescent="0.3">
      <c r="A80" s="40" t="s">
        <v>92</v>
      </c>
      <c r="B80" s="41" t="s">
        <v>93</v>
      </c>
      <c r="C80" s="42" t="s">
        <v>47</v>
      </c>
      <c r="D80" s="41" t="s">
        <v>94</v>
      </c>
    </row>
    <row r="81" spans="1:4" ht="15.75" thickBot="1" x14ac:dyDescent="0.3">
      <c r="A81" s="24"/>
      <c r="B81" s="29" t="s">
        <v>95</v>
      </c>
      <c r="C81" s="25" t="s">
        <v>47</v>
      </c>
      <c r="D81" s="29" t="s">
        <v>96</v>
      </c>
    </row>
    <row r="82" spans="1:4" ht="15.75" thickBot="1" x14ac:dyDescent="0.3">
      <c r="A82" s="24"/>
      <c r="B82" s="29" t="s">
        <v>97</v>
      </c>
      <c r="C82" s="25" t="s">
        <v>96</v>
      </c>
      <c r="D82" s="39">
        <v>791.2056</v>
      </c>
    </row>
    <row r="83" spans="1:4" ht="15.75" thickBot="1" x14ac:dyDescent="0.3">
      <c r="A83" s="24"/>
      <c r="B83" s="29" t="s">
        <v>98</v>
      </c>
      <c r="C83" s="25" t="s">
        <v>13</v>
      </c>
      <c r="D83" s="39">
        <f>790017.98+2812.33</f>
        <v>792830.30999999994</v>
      </c>
    </row>
    <row r="84" spans="1:4" ht="15.75" thickBot="1" x14ac:dyDescent="0.3">
      <c r="A84" s="24"/>
      <c r="B84" s="25" t="s">
        <v>99</v>
      </c>
      <c r="C84" s="25" t="s">
        <v>13</v>
      </c>
      <c r="D84" s="43">
        <v>715126.99</v>
      </c>
    </row>
    <row r="85" spans="1:4" ht="15.75" thickBot="1" x14ac:dyDescent="0.3">
      <c r="A85" s="24"/>
      <c r="B85" s="25" t="s">
        <v>100</v>
      </c>
      <c r="C85" s="25" t="s">
        <v>13</v>
      </c>
      <c r="D85" s="43">
        <f>D83-D84</f>
        <v>77703.319999999949</v>
      </c>
    </row>
    <row r="86" spans="1:4" ht="15.75" thickBot="1" x14ac:dyDescent="0.3">
      <c r="A86" s="24"/>
      <c r="B86" s="25" t="s">
        <v>101</v>
      </c>
      <c r="C86" s="25" t="s">
        <v>13</v>
      </c>
      <c r="D86" s="43">
        <f>417143.95+268879.32</f>
        <v>686023.27</v>
      </c>
    </row>
    <row r="87" spans="1:4" ht="15.75" thickBot="1" x14ac:dyDescent="0.3">
      <c r="A87" s="24"/>
      <c r="B87" s="25" t="s">
        <v>102</v>
      </c>
      <c r="C87" s="25" t="s">
        <v>13</v>
      </c>
      <c r="D87" s="43">
        <f>D84</f>
        <v>715126.99</v>
      </c>
    </row>
    <row r="88" spans="1:4" ht="15.75" thickBot="1" x14ac:dyDescent="0.3">
      <c r="A88" s="24"/>
      <c r="B88" s="25" t="s">
        <v>103</v>
      </c>
      <c r="C88" s="25" t="s">
        <v>13</v>
      </c>
      <c r="D88" s="43">
        <f>D85</f>
        <v>77703.319999999949</v>
      </c>
    </row>
    <row r="89" spans="1:4" ht="15.75" thickBot="1" x14ac:dyDescent="0.3">
      <c r="A89" s="24"/>
      <c r="B89" s="29" t="s">
        <v>104</v>
      </c>
      <c r="C89" s="25" t="s">
        <v>13</v>
      </c>
      <c r="D89" s="39">
        <v>0</v>
      </c>
    </row>
    <row r="90" spans="1:4" ht="15.75" thickBot="1" x14ac:dyDescent="0.3">
      <c r="A90" s="40" t="s">
        <v>105</v>
      </c>
      <c r="B90" s="41" t="s">
        <v>93</v>
      </c>
      <c r="C90" s="42" t="s">
        <v>47</v>
      </c>
      <c r="D90" s="41" t="s">
        <v>106</v>
      </c>
    </row>
    <row r="91" spans="1:4" ht="15.75" thickBot="1" x14ac:dyDescent="0.3">
      <c r="A91" s="24"/>
      <c r="B91" s="29" t="s">
        <v>95</v>
      </c>
      <c r="C91" s="25" t="s">
        <v>47</v>
      </c>
      <c r="D91" s="29" t="s">
        <v>107</v>
      </c>
    </row>
    <row r="92" spans="1:4" ht="15.75" thickBot="1" x14ac:dyDescent="0.3">
      <c r="A92" s="24"/>
      <c r="B92" s="29" t="s">
        <v>97</v>
      </c>
      <c r="C92" s="25" t="s">
        <v>107</v>
      </c>
      <c r="D92" s="44">
        <v>6329.0711000000001</v>
      </c>
    </row>
    <row r="93" spans="1:4" ht="15.75" thickBot="1" x14ac:dyDescent="0.3">
      <c r="A93" s="24"/>
      <c r="B93" s="29" t="s">
        <v>98</v>
      </c>
      <c r="C93" s="25" t="s">
        <v>13</v>
      </c>
      <c r="D93" s="44">
        <f>1597.92+308.78+64498.6-1028.32</f>
        <v>65376.98</v>
      </c>
    </row>
    <row r="94" spans="1:4" ht="15.75" thickBot="1" x14ac:dyDescent="0.3">
      <c r="A94" s="24"/>
      <c r="B94" s="25" t="s">
        <v>99</v>
      </c>
      <c r="C94" s="25" t="s">
        <v>13</v>
      </c>
      <c r="D94" s="45">
        <f>3269.84+61725.35</f>
        <v>64995.19</v>
      </c>
    </row>
    <row r="95" spans="1:4" ht="15.75" thickBot="1" x14ac:dyDescent="0.3">
      <c r="A95" s="24"/>
      <c r="B95" s="25" t="s">
        <v>100</v>
      </c>
      <c r="C95" s="25" t="s">
        <v>13</v>
      </c>
      <c r="D95" s="45">
        <f>D93-D94</f>
        <v>381.79000000000087</v>
      </c>
    </row>
    <row r="96" spans="1:4" ht="15.75" thickBot="1" x14ac:dyDescent="0.3">
      <c r="A96" s="24"/>
      <c r="B96" s="25" t="s">
        <v>101</v>
      </c>
      <c r="C96" s="25" t="s">
        <v>13</v>
      </c>
      <c r="D96" s="45">
        <v>66618.25</v>
      </c>
    </row>
    <row r="97" spans="1:4" ht="15.75" thickBot="1" x14ac:dyDescent="0.3">
      <c r="A97" s="24"/>
      <c r="B97" s="25" t="s">
        <v>102</v>
      </c>
      <c r="C97" s="25" t="s">
        <v>13</v>
      </c>
      <c r="D97" s="45">
        <f>D94</f>
        <v>64995.19</v>
      </c>
    </row>
    <row r="98" spans="1:4" ht="15.75" thickBot="1" x14ac:dyDescent="0.3">
      <c r="A98" s="24"/>
      <c r="B98" s="25" t="s">
        <v>103</v>
      </c>
      <c r="C98" s="25" t="s">
        <v>13</v>
      </c>
      <c r="D98" s="45">
        <f>D95</f>
        <v>381.79000000000087</v>
      </c>
    </row>
    <row r="99" spans="1:4" ht="15.75" thickBot="1" x14ac:dyDescent="0.3">
      <c r="A99" s="24"/>
      <c r="B99" s="29" t="s">
        <v>104</v>
      </c>
      <c r="C99" s="25" t="s">
        <v>13</v>
      </c>
      <c r="D99" s="44">
        <v>0</v>
      </c>
    </row>
    <row r="100" spans="1:4" ht="15.75" thickBot="1" x14ac:dyDescent="0.3">
      <c r="A100" s="40" t="s">
        <v>108</v>
      </c>
      <c r="B100" s="41" t="s">
        <v>93</v>
      </c>
      <c r="C100" s="42" t="s">
        <v>47</v>
      </c>
      <c r="D100" s="41" t="s">
        <v>109</v>
      </c>
    </row>
    <row r="101" spans="1:4" ht="15.75" thickBot="1" x14ac:dyDescent="0.3">
      <c r="A101" s="24"/>
      <c r="B101" s="29" t="s">
        <v>95</v>
      </c>
      <c r="C101" s="25" t="s">
        <v>47</v>
      </c>
      <c r="D101" s="29" t="s">
        <v>107</v>
      </c>
    </row>
    <row r="102" spans="1:4" ht="15.75" thickBot="1" x14ac:dyDescent="0.3">
      <c r="A102" s="24"/>
      <c r="B102" s="29" t="s">
        <v>97</v>
      </c>
      <c r="C102" s="25" t="s">
        <v>107</v>
      </c>
      <c r="D102" s="44">
        <v>4580.3621999999996</v>
      </c>
    </row>
    <row r="103" spans="1:4" ht="15.75" thickBot="1" x14ac:dyDescent="0.3">
      <c r="A103" s="24"/>
      <c r="B103" s="29" t="s">
        <v>98</v>
      </c>
      <c r="C103" s="25" t="s">
        <v>13</v>
      </c>
      <c r="D103" s="44">
        <f>320889.98-15925.29+12060.02+2123.04</f>
        <v>319147.75</v>
      </c>
    </row>
    <row r="104" spans="1:4" ht="15.75" thickBot="1" x14ac:dyDescent="0.3">
      <c r="A104" s="24"/>
      <c r="B104" s="25" t="s">
        <v>99</v>
      </c>
      <c r="C104" s="25" t="s">
        <v>13</v>
      </c>
      <c r="D104" s="45">
        <f>323540.37+14171.96</f>
        <v>337712.33</v>
      </c>
    </row>
    <row r="105" spans="1:4" ht="15.75" thickBot="1" x14ac:dyDescent="0.3">
      <c r="A105" s="24"/>
      <c r="B105" s="25" t="s">
        <v>100</v>
      </c>
      <c r="C105" s="25" t="s">
        <v>13</v>
      </c>
      <c r="D105" s="45">
        <v>0</v>
      </c>
    </row>
    <row r="106" spans="1:4" ht="15.75" thickBot="1" x14ac:dyDescent="0.3">
      <c r="A106" s="24"/>
      <c r="B106" s="25" t="s">
        <v>101</v>
      </c>
      <c r="C106" s="25" t="s">
        <v>13</v>
      </c>
      <c r="D106" s="45">
        <v>449131.28</v>
      </c>
    </row>
    <row r="107" spans="1:4" ht="15.75" thickBot="1" x14ac:dyDescent="0.3">
      <c r="A107" s="24"/>
      <c r="B107" s="25" t="s">
        <v>102</v>
      </c>
      <c r="C107" s="25" t="s">
        <v>13</v>
      </c>
      <c r="D107" s="45">
        <f>D104</f>
        <v>337712.33</v>
      </c>
    </row>
    <row r="108" spans="1:4" ht="15.75" thickBot="1" x14ac:dyDescent="0.3">
      <c r="A108" s="24"/>
      <c r="B108" s="25" t="s">
        <v>103</v>
      </c>
      <c r="C108" s="25" t="s">
        <v>13</v>
      </c>
      <c r="D108" s="45">
        <v>0</v>
      </c>
    </row>
    <row r="109" spans="1:4" ht="15.75" thickBot="1" x14ac:dyDescent="0.3">
      <c r="A109" s="24"/>
      <c r="B109" s="29" t="s">
        <v>104</v>
      </c>
      <c r="C109" s="25" t="s">
        <v>13</v>
      </c>
      <c r="D109" s="44">
        <v>0</v>
      </c>
    </row>
    <row r="110" spans="1:4" ht="15.75" thickBot="1" x14ac:dyDescent="0.3">
      <c r="A110" s="40" t="s">
        <v>110</v>
      </c>
      <c r="B110" s="41" t="s">
        <v>93</v>
      </c>
      <c r="C110" s="42" t="s">
        <v>47</v>
      </c>
      <c r="D110" s="41" t="s">
        <v>111</v>
      </c>
    </row>
    <row r="111" spans="1:4" ht="15.75" thickBot="1" x14ac:dyDescent="0.3">
      <c r="A111" s="24"/>
      <c r="B111" s="29" t="s">
        <v>95</v>
      </c>
      <c r="C111" s="25" t="s">
        <v>47</v>
      </c>
      <c r="D111" s="29" t="s">
        <v>107</v>
      </c>
    </row>
    <row r="112" spans="1:4" ht="15.75" thickBot="1" x14ac:dyDescent="0.3">
      <c r="A112" s="24"/>
      <c r="B112" s="29" t="s">
        <v>97</v>
      </c>
      <c r="C112" s="25" t="s">
        <v>107</v>
      </c>
      <c r="D112" s="39">
        <v>10986.793799999999</v>
      </c>
    </row>
    <row r="113" spans="1:4" ht="15.75" thickBot="1" x14ac:dyDescent="0.3">
      <c r="A113" s="24"/>
      <c r="B113" s="29" t="s">
        <v>98</v>
      </c>
      <c r="C113" s="25" t="s">
        <v>13</v>
      </c>
      <c r="D113" s="39">
        <f>115976.49-4553.76</f>
        <v>111422.73000000001</v>
      </c>
    </row>
    <row r="114" spans="1:4" ht="15.75" thickBot="1" x14ac:dyDescent="0.3">
      <c r="A114" s="24"/>
      <c r="B114" s="25" t="s">
        <v>99</v>
      </c>
      <c r="C114" s="25" t="s">
        <v>13</v>
      </c>
      <c r="D114" s="43">
        <v>123270.44</v>
      </c>
    </row>
    <row r="115" spans="1:4" ht="15.75" thickBot="1" x14ac:dyDescent="0.3">
      <c r="A115" s="24"/>
      <c r="B115" s="25" t="s">
        <v>100</v>
      </c>
      <c r="C115" s="25" t="s">
        <v>13</v>
      </c>
      <c r="D115" s="43">
        <v>0</v>
      </c>
    </row>
    <row r="116" spans="1:4" ht="15.75" thickBot="1" x14ac:dyDescent="0.3">
      <c r="A116" s="24"/>
      <c r="B116" s="25" t="s">
        <v>101</v>
      </c>
      <c r="C116" s="25" t="s">
        <v>13</v>
      </c>
      <c r="D116" s="43">
        <v>130749.33</v>
      </c>
    </row>
    <row r="117" spans="1:4" ht="15.75" thickBot="1" x14ac:dyDescent="0.3">
      <c r="A117" s="24"/>
      <c r="B117" s="25" t="s">
        <v>102</v>
      </c>
      <c r="C117" s="25" t="s">
        <v>13</v>
      </c>
      <c r="D117" s="43">
        <f>D114</f>
        <v>123270.44</v>
      </c>
    </row>
    <row r="118" spans="1:4" ht="15.75" thickBot="1" x14ac:dyDescent="0.3">
      <c r="A118" s="24"/>
      <c r="B118" s="25" t="s">
        <v>103</v>
      </c>
      <c r="C118" s="25" t="s">
        <v>13</v>
      </c>
      <c r="D118" s="43">
        <v>0</v>
      </c>
    </row>
    <row r="119" spans="1:4" ht="15.75" thickBot="1" x14ac:dyDescent="0.3">
      <c r="A119" s="24"/>
      <c r="B119" s="29" t="s">
        <v>104</v>
      </c>
      <c r="C119" s="25" t="s">
        <v>13</v>
      </c>
      <c r="D119" s="39">
        <v>0</v>
      </c>
    </row>
    <row r="120" spans="1:4" x14ac:dyDescent="0.25">
      <c r="A120" s="46"/>
      <c r="B120" s="47"/>
      <c r="C120" s="48"/>
      <c r="D120" s="49"/>
    </row>
    <row r="121" spans="1:4" ht="15.75" thickBot="1" x14ac:dyDescent="0.3">
      <c r="A121" s="8" t="s">
        <v>112</v>
      </c>
      <c r="B121" s="2"/>
      <c r="C121" s="2"/>
      <c r="D121" s="2"/>
    </row>
    <row r="122" spans="1:4" ht="15.75" thickBot="1" x14ac:dyDescent="0.3">
      <c r="A122" s="22" t="s">
        <v>113</v>
      </c>
      <c r="B122" s="33" t="s">
        <v>73</v>
      </c>
      <c r="C122" s="32" t="s">
        <v>114</v>
      </c>
      <c r="D122" s="33">
        <v>0</v>
      </c>
    </row>
    <row r="123" spans="1:4" ht="15.75" thickBot="1" x14ac:dyDescent="0.3">
      <c r="A123" s="24" t="s">
        <v>115</v>
      </c>
      <c r="B123" s="29" t="s">
        <v>75</v>
      </c>
      <c r="C123" s="25" t="s">
        <v>114</v>
      </c>
      <c r="D123" s="29">
        <v>0</v>
      </c>
    </row>
    <row r="124" spans="1:4" ht="15.75" thickBot="1" x14ac:dyDescent="0.3">
      <c r="A124" s="24" t="s">
        <v>116</v>
      </c>
      <c r="B124" s="29" t="s">
        <v>77</v>
      </c>
      <c r="C124" s="25" t="s">
        <v>114</v>
      </c>
      <c r="D124" s="29">
        <v>0</v>
      </c>
    </row>
    <row r="125" spans="1:4" ht="15.75" thickBot="1" x14ac:dyDescent="0.3">
      <c r="A125" s="24" t="s">
        <v>117</v>
      </c>
      <c r="B125" s="29" t="s">
        <v>79</v>
      </c>
      <c r="C125" s="25" t="s">
        <v>13</v>
      </c>
      <c r="D125" s="39">
        <v>0</v>
      </c>
    </row>
    <row r="126" spans="1:4" x14ac:dyDescent="0.25">
      <c r="A126" s="2"/>
      <c r="B126" s="2"/>
      <c r="C126" s="2"/>
      <c r="D126" s="2"/>
    </row>
    <row r="127" spans="1:4" ht="15.75" thickBot="1" x14ac:dyDescent="0.3">
      <c r="A127" s="8" t="s">
        <v>118</v>
      </c>
      <c r="B127" s="2"/>
      <c r="C127" s="2"/>
      <c r="D127" s="2"/>
    </row>
    <row r="128" spans="1:4" ht="15.75" thickBot="1" x14ac:dyDescent="0.3">
      <c r="A128" s="34">
        <v>48</v>
      </c>
      <c r="B128" s="33" t="s">
        <v>119</v>
      </c>
      <c r="C128" s="32" t="s">
        <v>114</v>
      </c>
      <c r="D128" s="33">
        <v>0</v>
      </c>
    </row>
    <row r="129" spans="1:4" ht="15.75" thickBot="1" x14ac:dyDescent="0.3">
      <c r="A129" s="50">
        <v>49</v>
      </c>
      <c r="B129" s="29" t="s">
        <v>120</v>
      </c>
      <c r="C129" s="25" t="s">
        <v>114</v>
      </c>
      <c r="D129" s="29">
        <v>1</v>
      </c>
    </row>
    <row r="130" spans="1:4" ht="15.75" thickBot="1" x14ac:dyDescent="0.3">
      <c r="A130" s="51">
        <v>50</v>
      </c>
      <c r="B130" s="52" t="s">
        <v>121</v>
      </c>
      <c r="C130" s="53" t="s">
        <v>13</v>
      </c>
      <c r="D130" s="56">
        <v>37480.78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opLeftCell="A10" workbookViewId="0">
      <selection activeCell="D72" sqref="D72"/>
    </sheetView>
  </sheetViews>
  <sheetFormatPr defaultRowHeight="15" x14ac:dyDescent="0.25"/>
  <cols>
    <col min="2" max="2" width="75.140625" customWidth="1"/>
    <col min="3" max="3" width="11.85546875" customWidth="1"/>
    <col min="4" max="4" width="56.140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160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161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108537.24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108537.24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372781.89</v>
      </c>
    </row>
    <row r="17" spans="1:5" x14ac:dyDescent="0.25">
      <c r="A17" s="15" t="s">
        <v>20</v>
      </c>
      <c r="B17" s="16" t="s">
        <v>21</v>
      </c>
      <c r="C17" s="16" t="s">
        <v>13</v>
      </c>
      <c r="D17" s="17">
        <f>219080.4+30090.75</f>
        <v>249171.15</v>
      </c>
    </row>
    <row r="18" spans="1:5" x14ac:dyDescent="0.25">
      <c r="A18" s="15" t="s">
        <v>22</v>
      </c>
      <c r="B18" s="15" t="s">
        <v>23</v>
      </c>
      <c r="C18" s="16" t="s">
        <v>13</v>
      </c>
      <c r="D18" s="17">
        <f>83721.24+11498.22</f>
        <v>95219.46</v>
      </c>
    </row>
    <row r="19" spans="1:5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5" x14ac:dyDescent="0.25">
      <c r="A20" s="15" t="s">
        <v>26</v>
      </c>
      <c r="B20" s="18" t="s">
        <v>27</v>
      </c>
      <c r="C20" s="16" t="s">
        <v>13</v>
      </c>
      <c r="D20" s="17">
        <v>311471.18</v>
      </c>
    </row>
    <row r="21" spans="1:5" x14ac:dyDescent="0.25">
      <c r="A21" s="15" t="s">
        <v>28</v>
      </c>
      <c r="B21" s="16" t="s">
        <v>29</v>
      </c>
      <c r="C21" s="16" t="s">
        <v>13</v>
      </c>
      <c r="D21" s="17">
        <f>192889.62+75026.13+33705.43</f>
        <v>301621.18</v>
      </c>
    </row>
    <row r="22" spans="1:5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5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5" x14ac:dyDescent="0.25">
      <c r="A24" s="15" t="s">
        <v>34</v>
      </c>
      <c r="B24" s="16" t="s">
        <v>35</v>
      </c>
      <c r="C24" s="16" t="s">
        <v>13</v>
      </c>
      <c r="D24" s="17">
        <v>9850</v>
      </c>
    </row>
    <row r="25" spans="1:5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5" x14ac:dyDescent="0.25">
      <c r="A26" s="15" t="s">
        <v>38</v>
      </c>
      <c r="B26" s="18" t="s">
        <v>39</v>
      </c>
      <c r="C26" s="16" t="s">
        <v>13</v>
      </c>
      <c r="D26" s="17">
        <f>D20-D15</f>
        <v>202933.94</v>
      </c>
    </row>
    <row r="27" spans="1:5" x14ac:dyDescent="0.25">
      <c r="A27" s="15" t="s">
        <v>40</v>
      </c>
      <c r="B27" s="18" t="s">
        <v>41</v>
      </c>
      <c r="C27" s="16" t="s">
        <v>13</v>
      </c>
      <c r="D27" s="17">
        <v>357011.31</v>
      </c>
    </row>
    <row r="28" spans="1:5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5" ht="15.75" thickBot="1" x14ac:dyDescent="0.3">
      <c r="A29" s="19" t="s">
        <v>43</v>
      </c>
      <c r="B29" s="20" t="s">
        <v>17</v>
      </c>
      <c r="C29" s="20" t="s">
        <v>13</v>
      </c>
      <c r="D29" s="21">
        <v>357011.31</v>
      </c>
    </row>
    <row r="30" spans="1:5" x14ac:dyDescent="0.25">
      <c r="A30" s="2"/>
      <c r="B30" s="2"/>
      <c r="C30" s="2"/>
      <c r="D30" s="2"/>
    </row>
    <row r="31" spans="1:5" ht="15.75" thickBot="1" x14ac:dyDescent="0.3">
      <c r="A31" s="8" t="s">
        <v>44</v>
      </c>
      <c r="B31" s="2"/>
      <c r="C31" s="2"/>
      <c r="D31" s="2"/>
    </row>
    <row r="32" spans="1:5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  <c r="E32" s="57"/>
    </row>
    <row r="33" spans="1:5" ht="15.75" thickBot="1" x14ac:dyDescent="0.3">
      <c r="A33" s="24"/>
      <c r="B33" s="25" t="s">
        <v>49</v>
      </c>
      <c r="C33" s="25" t="s">
        <v>47</v>
      </c>
      <c r="D33" s="29" t="s">
        <v>50</v>
      </c>
      <c r="E33" s="57"/>
    </row>
    <row r="34" spans="1:5" ht="15.75" thickBot="1" x14ac:dyDescent="0.3">
      <c r="A34" s="24"/>
      <c r="B34" s="25" t="s">
        <v>51</v>
      </c>
      <c r="C34" s="25" t="s">
        <v>47</v>
      </c>
      <c r="D34" s="29" t="s">
        <v>52</v>
      </c>
      <c r="E34" s="57"/>
    </row>
    <row r="35" spans="1:5" ht="15.75" thickBot="1" x14ac:dyDescent="0.3">
      <c r="A35" s="24"/>
      <c r="B35" s="25" t="s">
        <v>53</v>
      </c>
      <c r="C35" s="25" t="s">
        <v>47</v>
      </c>
      <c r="D35" s="26" t="s">
        <v>54</v>
      </c>
      <c r="E35" s="57"/>
    </row>
    <row r="36" spans="1:5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  <c r="E36" s="57"/>
    </row>
    <row r="37" spans="1:5" ht="15.75" thickBot="1" x14ac:dyDescent="0.3">
      <c r="A37" s="24"/>
      <c r="B37" s="25" t="s">
        <v>49</v>
      </c>
      <c r="C37" s="25" t="s">
        <v>47</v>
      </c>
      <c r="D37" s="29" t="s">
        <v>124</v>
      </c>
      <c r="E37" s="57"/>
    </row>
    <row r="38" spans="1:5" ht="15.75" thickBot="1" x14ac:dyDescent="0.3">
      <c r="A38" s="24"/>
      <c r="B38" s="25" t="s">
        <v>51</v>
      </c>
      <c r="C38" s="25" t="s">
        <v>47</v>
      </c>
      <c r="D38" s="29" t="s">
        <v>57</v>
      </c>
      <c r="E38" s="57"/>
    </row>
    <row r="39" spans="1:5" ht="15.75" thickBot="1" x14ac:dyDescent="0.3">
      <c r="A39" s="24"/>
      <c r="B39" s="25" t="s">
        <v>53</v>
      </c>
      <c r="C39" s="25" t="s">
        <v>47</v>
      </c>
      <c r="D39" s="30">
        <v>3808160770</v>
      </c>
      <c r="E39" s="57"/>
    </row>
    <row r="40" spans="1:5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  <c r="E40" s="57"/>
    </row>
    <row r="41" spans="1:5" ht="15.75" thickBot="1" x14ac:dyDescent="0.3">
      <c r="A41" s="24"/>
      <c r="B41" s="25" t="s">
        <v>49</v>
      </c>
      <c r="C41" s="25" t="s">
        <v>47</v>
      </c>
      <c r="D41" s="29" t="s">
        <v>59</v>
      </c>
      <c r="E41" s="57"/>
    </row>
    <row r="42" spans="1:5" ht="15.75" thickBot="1" x14ac:dyDescent="0.3">
      <c r="A42" s="24"/>
      <c r="B42" s="25" t="s">
        <v>51</v>
      </c>
      <c r="C42" s="25" t="s">
        <v>47</v>
      </c>
      <c r="D42" s="29" t="s">
        <v>52</v>
      </c>
      <c r="E42" s="57"/>
    </row>
    <row r="43" spans="1:5" ht="15.75" thickBot="1" x14ac:dyDescent="0.3">
      <c r="A43" s="24"/>
      <c r="B43" s="25" t="s">
        <v>53</v>
      </c>
      <c r="C43" s="25" t="s">
        <v>47</v>
      </c>
      <c r="D43" s="30">
        <v>3807000117</v>
      </c>
      <c r="E43" s="57"/>
    </row>
    <row r="44" spans="1:5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  <c r="E44" s="57"/>
    </row>
    <row r="45" spans="1:5" ht="15.75" thickBot="1" x14ac:dyDescent="0.3">
      <c r="A45" s="24"/>
      <c r="B45" s="25" t="s">
        <v>49</v>
      </c>
      <c r="C45" s="25" t="s">
        <v>47</v>
      </c>
      <c r="D45" s="29" t="s">
        <v>70</v>
      </c>
      <c r="E45" s="57"/>
    </row>
    <row r="46" spans="1:5" ht="15.75" thickBot="1" x14ac:dyDescent="0.3">
      <c r="A46" s="24"/>
      <c r="B46" s="25" t="s">
        <v>51</v>
      </c>
      <c r="C46" s="25" t="s">
        <v>47</v>
      </c>
      <c r="D46" s="29" t="s">
        <v>57</v>
      </c>
      <c r="E46" s="57"/>
    </row>
    <row r="47" spans="1:5" ht="15.75" thickBot="1" x14ac:dyDescent="0.3">
      <c r="A47" s="24"/>
      <c r="B47" s="25" t="s">
        <v>53</v>
      </c>
      <c r="C47" s="25" t="s">
        <v>47</v>
      </c>
      <c r="D47" s="30">
        <v>3811171757</v>
      </c>
      <c r="E47" s="57"/>
    </row>
    <row r="48" spans="1:5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  <c r="E48" s="57"/>
    </row>
    <row r="49" spans="1:5" ht="15.75" thickBot="1" x14ac:dyDescent="0.3">
      <c r="A49" s="24"/>
      <c r="B49" s="25" t="s">
        <v>49</v>
      </c>
      <c r="C49" s="25" t="s">
        <v>47</v>
      </c>
      <c r="D49" s="29" t="s">
        <v>134</v>
      </c>
      <c r="E49" s="57"/>
    </row>
    <row r="50" spans="1:5" ht="15.75" thickBot="1" x14ac:dyDescent="0.3">
      <c r="A50" s="24"/>
      <c r="B50" s="25" t="s">
        <v>51</v>
      </c>
      <c r="C50" s="25" t="s">
        <v>47</v>
      </c>
      <c r="D50" s="55" t="s">
        <v>57</v>
      </c>
      <c r="E50" s="57"/>
    </row>
    <row r="51" spans="1:5" ht="15.75" thickBot="1" x14ac:dyDescent="0.3">
      <c r="A51" s="24"/>
      <c r="B51" s="25" t="s">
        <v>53</v>
      </c>
      <c r="C51" s="25" t="s">
        <v>47</v>
      </c>
      <c r="D51" s="31" t="s">
        <v>68</v>
      </c>
      <c r="E51" s="57"/>
    </row>
    <row r="52" spans="1:5" ht="15.75" thickBot="1" x14ac:dyDescent="0.3">
      <c r="A52" s="24" t="s">
        <v>62</v>
      </c>
      <c r="B52" s="27" t="s">
        <v>46</v>
      </c>
      <c r="C52" s="27" t="s">
        <v>47</v>
      </c>
      <c r="D52" s="28" t="s">
        <v>132</v>
      </c>
      <c r="E52" s="57"/>
    </row>
    <row r="53" spans="1:5" ht="15.75" thickBot="1" x14ac:dyDescent="0.3">
      <c r="A53" s="24"/>
      <c r="B53" s="25" t="s">
        <v>49</v>
      </c>
      <c r="C53" s="25" t="s">
        <v>47</v>
      </c>
      <c r="D53" s="29" t="s">
        <v>133</v>
      </c>
      <c r="E53" s="57"/>
    </row>
    <row r="54" spans="1:5" ht="15.75" thickBot="1" x14ac:dyDescent="0.3">
      <c r="A54" s="24"/>
      <c r="B54" s="25" t="s">
        <v>51</v>
      </c>
      <c r="C54" s="25" t="s">
        <v>47</v>
      </c>
      <c r="D54" s="29" t="s">
        <v>57</v>
      </c>
      <c r="E54" s="57"/>
    </row>
    <row r="55" spans="1:5" ht="15.75" thickBot="1" x14ac:dyDescent="0.3">
      <c r="A55" s="24"/>
      <c r="B55" s="25" t="s">
        <v>53</v>
      </c>
      <c r="C55" s="25" t="s">
        <v>47</v>
      </c>
      <c r="D55" s="30">
        <v>3808170471</v>
      </c>
      <c r="E55" s="57"/>
    </row>
    <row r="56" spans="1:5" ht="15.75" thickBot="1" x14ac:dyDescent="0.3">
      <c r="A56" s="24" t="s">
        <v>63</v>
      </c>
      <c r="B56" s="27" t="s">
        <v>46</v>
      </c>
      <c r="C56" s="27" t="s">
        <v>47</v>
      </c>
      <c r="D56" s="28" t="s">
        <v>143</v>
      </c>
      <c r="E56" s="57"/>
    </row>
    <row r="57" spans="1:5" ht="15.75" thickBot="1" x14ac:dyDescent="0.3">
      <c r="A57" s="24"/>
      <c r="B57" s="25" t="s">
        <v>49</v>
      </c>
      <c r="C57" s="25" t="s">
        <v>47</v>
      </c>
      <c r="D57" s="29" t="s">
        <v>134</v>
      </c>
      <c r="E57" s="57"/>
    </row>
    <row r="58" spans="1:5" ht="15.75" thickBot="1" x14ac:dyDescent="0.3">
      <c r="A58" s="24"/>
      <c r="B58" s="25" t="s">
        <v>51</v>
      </c>
      <c r="C58" s="25" t="s">
        <v>47</v>
      </c>
      <c r="D58" s="29" t="s">
        <v>57</v>
      </c>
      <c r="E58" s="57"/>
    </row>
    <row r="59" spans="1:5" ht="15.75" thickBot="1" x14ac:dyDescent="0.3">
      <c r="A59" s="24"/>
      <c r="B59" s="25" t="s">
        <v>53</v>
      </c>
      <c r="C59" s="25" t="s">
        <v>47</v>
      </c>
      <c r="D59" s="31" t="s">
        <v>68</v>
      </c>
    </row>
    <row r="60" spans="1:5" x14ac:dyDescent="0.25">
      <c r="A60" s="2"/>
      <c r="B60" s="2"/>
      <c r="C60" s="2"/>
      <c r="D60" s="2"/>
    </row>
    <row r="61" spans="1:5" ht="15.75" thickBot="1" x14ac:dyDescent="0.3">
      <c r="A61" s="8" t="s">
        <v>71</v>
      </c>
      <c r="B61" s="2"/>
      <c r="C61" s="2"/>
      <c r="D61" s="2"/>
    </row>
    <row r="62" spans="1:5" ht="15.75" thickBot="1" x14ac:dyDescent="0.3">
      <c r="A62" s="22" t="s">
        <v>72</v>
      </c>
      <c r="B62" s="32" t="s">
        <v>73</v>
      </c>
      <c r="C62" s="32" t="s">
        <v>47</v>
      </c>
      <c r="D62" s="33">
        <v>0</v>
      </c>
    </row>
    <row r="63" spans="1:5" ht="15.75" thickBot="1" x14ac:dyDescent="0.3">
      <c r="A63" s="24" t="s">
        <v>74</v>
      </c>
      <c r="B63" s="25" t="s">
        <v>75</v>
      </c>
      <c r="C63" s="25" t="s">
        <v>47</v>
      </c>
      <c r="D63" s="29">
        <v>0</v>
      </c>
    </row>
    <row r="64" spans="1:5" ht="15.75" thickBot="1" x14ac:dyDescent="0.3">
      <c r="A64" s="24" t="s">
        <v>76</v>
      </c>
      <c r="B64" s="25" t="s">
        <v>77</v>
      </c>
      <c r="C64" s="25" t="s">
        <v>47</v>
      </c>
      <c r="D64" s="29">
        <v>0</v>
      </c>
    </row>
    <row r="65" spans="1:4" ht="15.75" thickBot="1" x14ac:dyDescent="0.3">
      <c r="A65" s="22" t="s">
        <v>78</v>
      </c>
      <c r="B65" s="34" t="s">
        <v>79</v>
      </c>
      <c r="C65" s="34" t="s">
        <v>13</v>
      </c>
      <c r="D65" s="35">
        <v>0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80</v>
      </c>
      <c r="B67" s="2"/>
      <c r="C67" s="2"/>
      <c r="D67" s="2"/>
    </row>
    <row r="68" spans="1:4" ht="15.75" thickBot="1" x14ac:dyDescent="0.3">
      <c r="A68" s="36" t="s">
        <v>81</v>
      </c>
      <c r="B68" s="33" t="s">
        <v>82</v>
      </c>
      <c r="C68" s="32" t="s">
        <v>13</v>
      </c>
      <c r="D68" s="37">
        <f>D70+D69</f>
        <v>176069.2</v>
      </c>
    </row>
    <row r="69" spans="1:4" ht="15.75" thickBot="1" x14ac:dyDescent="0.3">
      <c r="A69" s="38" t="s">
        <v>83</v>
      </c>
      <c r="B69" s="25" t="s">
        <v>84</v>
      </c>
      <c r="C69" s="25" t="s">
        <v>13</v>
      </c>
      <c r="D69" s="39">
        <f>-(16946.68+541.4+9799.45+5092.79+10.42+80.29)</f>
        <v>-32471.030000000002</v>
      </c>
    </row>
    <row r="70" spans="1:4" ht="15.75" thickBot="1" x14ac:dyDescent="0.3">
      <c r="A70" s="38" t="s">
        <v>85</v>
      </c>
      <c r="B70" s="25" t="s">
        <v>86</v>
      </c>
      <c r="C70" s="25" t="s">
        <v>13</v>
      </c>
      <c r="D70" s="39">
        <f>66940.29+29100.84+72026.29+39863.83+70.56+538.42</f>
        <v>208540.23</v>
      </c>
    </row>
    <row r="71" spans="1:4" ht="15.75" thickBot="1" x14ac:dyDescent="0.3">
      <c r="A71" s="38" t="s">
        <v>87</v>
      </c>
      <c r="B71" s="29" t="s">
        <v>88</v>
      </c>
      <c r="C71" s="25" t="s">
        <v>13</v>
      </c>
      <c r="D71" s="39">
        <f>D73+D72</f>
        <v>271135.02</v>
      </c>
    </row>
    <row r="72" spans="1:4" ht="15.75" thickBot="1" x14ac:dyDescent="0.3">
      <c r="A72" s="38" t="s">
        <v>89</v>
      </c>
      <c r="B72" s="25" t="s">
        <v>84</v>
      </c>
      <c r="C72" s="25" t="s">
        <v>13</v>
      </c>
      <c r="D72" s="39">
        <f>-(2.24+2575.28+2527.18+503.82+1030.42)</f>
        <v>-6638.94</v>
      </c>
    </row>
    <row r="73" spans="1:4" ht="15.75" thickBot="1" x14ac:dyDescent="0.3">
      <c r="A73" s="38" t="s">
        <v>90</v>
      </c>
      <c r="B73" s="25" t="s">
        <v>86</v>
      </c>
      <c r="C73" s="25" t="s">
        <v>13</v>
      </c>
      <c r="D73" s="39">
        <f>121063.75+24812.64+92110.54+38625.72+138.97+1022.34</f>
        <v>277773.96000000002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91</v>
      </c>
      <c r="B75" s="2"/>
      <c r="C75" s="2"/>
      <c r="D75" s="2"/>
    </row>
    <row r="76" spans="1:4" ht="15.75" thickBot="1" x14ac:dyDescent="0.3">
      <c r="A76" s="40" t="s">
        <v>92</v>
      </c>
      <c r="B76" s="41" t="s">
        <v>93</v>
      </c>
      <c r="C76" s="42" t="s">
        <v>47</v>
      </c>
      <c r="D76" s="41" t="s">
        <v>94</v>
      </c>
    </row>
    <row r="77" spans="1:4" ht="15.75" thickBot="1" x14ac:dyDescent="0.3">
      <c r="A77" s="24"/>
      <c r="B77" s="29" t="s">
        <v>95</v>
      </c>
      <c r="C77" s="25" t="s">
        <v>47</v>
      </c>
      <c r="D77" s="29" t="s">
        <v>96</v>
      </c>
    </row>
    <row r="78" spans="1:4" ht="15.75" thickBot="1" x14ac:dyDescent="0.3">
      <c r="A78" s="24"/>
      <c r="B78" s="29" t="s">
        <v>97</v>
      </c>
      <c r="C78" s="25" t="s">
        <v>96</v>
      </c>
      <c r="D78" s="39">
        <v>278.53919999999999</v>
      </c>
    </row>
    <row r="79" spans="1:4" ht="15.75" thickBot="1" x14ac:dyDescent="0.3">
      <c r="A79" s="24"/>
      <c r="B79" s="29" t="s">
        <v>98</v>
      </c>
      <c r="C79" s="25" t="s">
        <v>13</v>
      </c>
      <c r="D79" s="39">
        <f>278128.26+6741.78</f>
        <v>284870.04000000004</v>
      </c>
    </row>
    <row r="80" spans="1:4" ht="15.75" thickBot="1" x14ac:dyDescent="0.3">
      <c r="A80" s="24"/>
      <c r="B80" s="25" t="s">
        <v>99</v>
      </c>
      <c r="C80" s="25" t="s">
        <v>13</v>
      </c>
      <c r="D80" s="43">
        <v>213799.9</v>
      </c>
    </row>
    <row r="81" spans="1:4" ht="15.75" thickBot="1" x14ac:dyDescent="0.3">
      <c r="A81" s="24"/>
      <c r="B81" s="25" t="s">
        <v>100</v>
      </c>
      <c r="C81" s="25" t="s">
        <v>13</v>
      </c>
      <c r="D81" s="43">
        <f>D79-D80</f>
        <v>71070.140000000043</v>
      </c>
    </row>
    <row r="82" spans="1:4" ht="15.75" thickBot="1" x14ac:dyDescent="0.3">
      <c r="A82" s="24"/>
      <c r="B82" s="25" t="s">
        <v>101</v>
      </c>
      <c r="C82" s="25" t="s">
        <v>13</v>
      </c>
      <c r="D82" s="43">
        <v>285070.45</v>
      </c>
    </row>
    <row r="83" spans="1:4" ht="15.75" thickBot="1" x14ac:dyDescent="0.3">
      <c r="A83" s="24"/>
      <c r="B83" s="25" t="s">
        <v>102</v>
      </c>
      <c r="C83" s="25" t="s">
        <v>13</v>
      </c>
      <c r="D83" s="43">
        <f>D80</f>
        <v>213799.9</v>
      </c>
    </row>
    <row r="84" spans="1:4" ht="15.75" thickBot="1" x14ac:dyDescent="0.3">
      <c r="A84" s="24"/>
      <c r="B84" s="25" t="s">
        <v>103</v>
      </c>
      <c r="C84" s="25" t="s">
        <v>13</v>
      </c>
      <c r="D84" s="43">
        <f>D81</f>
        <v>71070.140000000043</v>
      </c>
    </row>
    <row r="85" spans="1:4" ht="15.75" thickBot="1" x14ac:dyDescent="0.3">
      <c r="A85" s="24"/>
      <c r="B85" s="29" t="s">
        <v>104</v>
      </c>
      <c r="C85" s="25" t="s">
        <v>13</v>
      </c>
      <c r="D85" s="39">
        <v>0</v>
      </c>
    </row>
    <row r="86" spans="1:4" ht="15.75" thickBot="1" x14ac:dyDescent="0.3">
      <c r="A86" s="40" t="s">
        <v>105</v>
      </c>
      <c r="B86" s="41" t="s">
        <v>93</v>
      </c>
      <c r="C86" s="42" t="s">
        <v>47</v>
      </c>
      <c r="D86" s="41" t="s">
        <v>106</v>
      </c>
    </row>
    <row r="87" spans="1:4" ht="15.75" thickBot="1" x14ac:dyDescent="0.3">
      <c r="A87" s="24"/>
      <c r="B87" s="29" t="s">
        <v>95</v>
      </c>
      <c r="C87" s="25" t="s">
        <v>47</v>
      </c>
      <c r="D87" s="29" t="s">
        <v>107</v>
      </c>
    </row>
    <row r="88" spans="1:4" ht="15.75" thickBot="1" x14ac:dyDescent="0.3">
      <c r="A88" s="24"/>
      <c r="B88" s="29" t="s">
        <v>97</v>
      </c>
      <c r="C88" s="25" t="s">
        <v>107</v>
      </c>
      <c r="D88" s="44">
        <v>4197.3072000000002</v>
      </c>
    </row>
    <row r="89" spans="1:4" ht="15.75" thickBot="1" x14ac:dyDescent="0.3">
      <c r="A89" s="24"/>
      <c r="B89" s="29" t="s">
        <v>98</v>
      </c>
      <c r="C89" s="25" t="s">
        <v>13</v>
      </c>
      <c r="D89" s="44">
        <f>486.66+215.72+42839.94-1756.34</f>
        <v>41785.980000000003</v>
      </c>
    </row>
    <row r="90" spans="1:4" ht="15.75" thickBot="1" x14ac:dyDescent="0.3">
      <c r="A90" s="24"/>
      <c r="B90" s="25" t="s">
        <v>99</v>
      </c>
      <c r="C90" s="25" t="s">
        <v>13</v>
      </c>
      <c r="D90" s="45">
        <f>44832.64+1127.37</f>
        <v>45960.01</v>
      </c>
    </row>
    <row r="91" spans="1:4" ht="15.75" thickBot="1" x14ac:dyDescent="0.3">
      <c r="A91" s="24"/>
      <c r="B91" s="25" t="s">
        <v>100</v>
      </c>
      <c r="C91" s="25" t="s">
        <v>13</v>
      </c>
      <c r="D91" s="45">
        <v>0</v>
      </c>
    </row>
    <row r="92" spans="1:4" ht="15.75" thickBot="1" x14ac:dyDescent="0.3">
      <c r="A92" s="24"/>
      <c r="B92" s="25" t="s">
        <v>101</v>
      </c>
      <c r="C92" s="25" t="s">
        <v>13</v>
      </c>
      <c r="D92" s="45">
        <v>97770.58</v>
      </c>
    </row>
    <row r="93" spans="1:4" ht="15.75" thickBot="1" x14ac:dyDescent="0.3">
      <c r="A93" s="24"/>
      <c r="B93" s="25" t="s">
        <v>102</v>
      </c>
      <c r="C93" s="25" t="s">
        <v>13</v>
      </c>
      <c r="D93" s="45">
        <f>D90</f>
        <v>45960.01</v>
      </c>
    </row>
    <row r="94" spans="1:4" ht="15.75" thickBot="1" x14ac:dyDescent="0.3">
      <c r="A94" s="24"/>
      <c r="B94" s="25" t="s">
        <v>103</v>
      </c>
      <c r="C94" s="25" t="s">
        <v>13</v>
      </c>
      <c r="D94" s="45">
        <v>0</v>
      </c>
    </row>
    <row r="95" spans="1:4" ht="15.75" thickBot="1" x14ac:dyDescent="0.3">
      <c r="A95" s="24"/>
      <c r="B95" s="29" t="s">
        <v>104</v>
      </c>
      <c r="C95" s="25" t="s">
        <v>13</v>
      </c>
      <c r="D95" s="44">
        <v>0</v>
      </c>
    </row>
    <row r="96" spans="1:4" ht="15.75" thickBot="1" x14ac:dyDescent="0.3">
      <c r="A96" s="40" t="s">
        <v>108</v>
      </c>
      <c r="B96" s="41" t="s">
        <v>93</v>
      </c>
      <c r="C96" s="42" t="s">
        <v>47</v>
      </c>
      <c r="D96" s="41" t="s">
        <v>109</v>
      </c>
    </row>
    <row r="97" spans="1:4" ht="15.75" thickBot="1" x14ac:dyDescent="0.3">
      <c r="A97" s="24"/>
      <c r="B97" s="29" t="s">
        <v>95</v>
      </c>
      <c r="C97" s="25" t="s">
        <v>47</v>
      </c>
      <c r="D97" s="29" t="s">
        <v>107</v>
      </c>
    </row>
    <row r="98" spans="1:4" ht="15.75" thickBot="1" x14ac:dyDescent="0.3">
      <c r="A98" s="24"/>
      <c r="B98" s="29" t="s">
        <v>97</v>
      </c>
      <c r="C98" s="25" t="s">
        <v>107</v>
      </c>
      <c r="D98" s="44">
        <v>2793.6972999999998</v>
      </c>
    </row>
    <row r="99" spans="1:4" ht="15.75" thickBot="1" x14ac:dyDescent="0.3">
      <c r="A99" s="24"/>
      <c r="B99" s="29" t="s">
        <v>98</v>
      </c>
      <c r="C99" s="25" t="s">
        <v>13</v>
      </c>
      <c r="D99" s="44">
        <f>196068.85-6699.96+3569.05+1739.36</f>
        <v>194677.3</v>
      </c>
    </row>
    <row r="100" spans="1:4" ht="15.75" thickBot="1" x14ac:dyDescent="0.3">
      <c r="A100" s="24"/>
      <c r="B100" s="25" t="s">
        <v>99</v>
      </c>
      <c r="C100" s="25" t="s">
        <v>13</v>
      </c>
      <c r="D100" s="45">
        <f>162060.47+5774.62</f>
        <v>167835.09</v>
      </c>
    </row>
    <row r="101" spans="1:4" ht="15.75" thickBot="1" x14ac:dyDescent="0.3">
      <c r="A101" s="24"/>
      <c r="B101" s="25" t="s">
        <v>100</v>
      </c>
      <c r="C101" s="25" t="s">
        <v>13</v>
      </c>
      <c r="D101" s="45">
        <f>D99-D100</f>
        <v>26842.209999999992</v>
      </c>
    </row>
    <row r="102" spans="1:4" ht="15.75" thickBot="1" x14ac:dyDescent="0.3">
      <c r="A102" s="24"/>
      <c r="B102" s="25" t="s">
        <v>101</v>
      </c>
      <c r="C102" s="25" t="s">
        <v>13</v>
      </c>
      <c r="D102" s="45">
        <v>198695.67999999999</v>
      </c>
    </row>
    <row r="103" spans="1:4" ht="15.75" thickBot="1" x14ac:dyDescent="0.3">
      <c r="A103" s="24"/>
      <c r="B103" s="25" t="s">
        <v>102</v>
      </c>
      <c r="C103" s="25" t="s">
        <v>13</v>
      </c>
      <c r="D103" s="45">
        <f>D100</f>
        <v>167835.09</v>
      </c>
    </row>
    <row r="104" spans="1:4" ht="15.75" thickBot="1" x14ac:dyDescent="0.3">
      <c r="A104" s="24"/>
      <c r="B104" s="25" t="s">
        <v>103</v>
      </c>
      <c r="C104" s="25" t="s">
        <v>13</v>
      </c>
      <c r="D104" s="45">
        <f>D101</f>
        <v>26842.209999999992</v>
      </c>
    </row>
    <row r="105" spans="1:4" ht="15.75" thickBot="1" x14ac:dyDescent="0.3">
      <c r="A105" s="24"/>
      <c r="B105" s="29" t="s">
        <v>104</v>
      </c>
      <c r="C105" s="25" t="s">
        <v>13</v>
      </c>
      <c r="D105" s="44">
        <v>0</v>
      </c>
    </row>
    <row r="106" spans="1:4" ht="15.75" thickBot="1" x14ac:dyDescent="0.3">
      <c r="A106" s="40" t="s">
        <v>110</v>
      </c>
      <c r="B106" s="41" t="s">
        <v>93</v>
      </c>
      <c r="C106" s="42" t="s">
        <v>47</v>
      </c>
      <c r="D106" s="41" t="s">
        <v>111</v>
      </c>
    </row>
    <row r="107" spans="1:4" ht="15.75" thickBot="1" x14ac:dyDescent="0.3">
      <c r="A107" s="24"/>
      <c r="B107" s="29" t="s">
        <v>95</v>
      </c>
      <c r="C107" s="25" t="s">
        <v>47</v>
      </c>
      <c r="D107" s="29" t="s">
        <v>107</v>
      </c>
    </row>
    <row r="108" spans="1:4" ht="15.75" thickBot="1" x14ac:dyDescent="0.3">
      <c r="A108" s="24"/>
      <c r="B108" s="29" t="s">
        <v>97</v>
      </c>
      <c r="C108" s="25" t="s">
        <v>107</v>
      </c>
      <c r="D108" s="39">
        <v>6990.9880000000003</v>
      </c>
    </row>
    <row r="109" spans="1:4" ht="15.75" thickBot="1" x14ac:dyDescent="0.3">
      <c r="A109" s="24"/>
      <c r="B109" s="29" t="s">
        <v>98</v>
      </c>
      <c r="C109" s="25" t="s">
        <v>13</v>
      </c>
      <c r="D109" s="39">
        <f>74088.87-3223.3</f>
        <v>70865.569999999992</v>
      </c>
    </row>
    <row r="110" spans="1:4" ht="15.75" thickBot="1" x14ac:dyDescent="0.3">
      <c r="A110" s="24"/>
      <c r="B110" s="25" t="s">
        <v>99</v>
      </c>
      <c r="C110" s="25" t="s">
        <v>13</v>
      </c>
      <c r="D110" s="43">
        <v>69538.070000000007</v>
      </c>
    </row>
    <row r="111" spans="1:4" ht="15.75" thickBot="1" x14ac:dyDescent="0.3">
      <c r="A111" s="24"/>
      <c r="B111" s="25" t="s">
        <v>100</v>
      </c>
      <c r="C111" s="25" t="s">
        <v>13</v>
      </c>
      <c r="D111" s="43">
        <f>D109-D110</f>
        <v>1327.4999999999854</v>
      </c>
    </row>
    <row r="112" spans="1:4" ht="15.75" thickBot="1" x14ac:dyDescent="0.3">
      <c r="A112" s="24"/>
      <c r="B112" s="25" t="s">
        <v>101</v>
      </c>
      <c r="C112" s="25" t="s">
        <v>13</v>
      </c>
      <c r="D112" s="43">
        <v>131354.19</v>
      </c>
    </row>
    <row r="113" spans="1:4" ht="15.75" thickBot="1" x14ac:dyDescent="0.3">
      <c r="A113" s="24"/>
      <c r="B113" s="25" t="s">
        <v>102</v>
      </c>
      <c r="C113" s="25" t="s">
        <v>13</v>
      </c>
      <c r="D113" s="43">
        <f>D110</f>
        <v>69538.070000000007</v>
      </c>
    </row>
    <row r="114" spans="1:4" ht="15.75" thickBot="1" x14ac:dyDescent="0.3">
      <c r="A114" s="24"/>
      <c r="B114" s="25" t="s">
        <v>103</v>
      </c>
      <c r="C114" s="25" t="s">
        <v>13</v>
      </c>
      <c r="D114" s="43">
        <f>D111</f>
        <v>1327.4999999999854</v>
      </c>
    </row>
    <row r="115" spans="1:4" ht="15.75" thickBot="1" x14ac:dyDescent="0.3">
      <c r="A115" s="24"/>
      <c r="B115" s="29" t="s">
        <v>104</v>
      </c>
      <c r="C115" s="25" t="s">
        <v>13</v>
      </c>
      <c r="D115" s="39">
        <v>0</v>
      </c>
    </row>
    <row r="116" spans="1:4" x14ac:dyDescent="0.25">
      <c r="A116" s="46"/>
      <c r="B116" s="47"/>
      <c r="C116" s="48"/>
      <c r="D116" s="49"/>
    </row>
    <row r="117" spans="1:4" ht="15.75" thickBot="1" x14ac:dyDescent="0.3">
      <c r="A117" s="8" t="s">
        <v>112</v>
      </c>
      <c r="B117" s="2"/>
      <c r="C117" s="2"/>
      <c r="D117" s="2"/>
    </row>
    <row r="118" spans="1:4" ht="15.75" thickBot="1" x14ac:dyDescent="0.3">
      <c r="A118" s="22" t="s">
        <v>113</v>
      </c>
      <c r="B118" s="33" t="s">
        <v>73</v>
      </c>
      <c r="C118" s="32" t="s">
        <v>114</v>
      </c>
      <c r="D118" s="33">
        <v>0</v>
      </c>
    </row>
    <row r="119" spans="1:4" ht="15.75" thickBot="1" x14ac:dyDescent="0.3">
      <c r="A119" s="24" t="s">
        <v>115</v>
      </c>
      <c r="B119" s="29" t="s">
        <v>75</v>
      </c>
      <c r="C119" s="25" t="s">
        <v>114</v>
      </c>
      <c r="D119" s="29">
        <v>0</v>
      </c>
    </row>
    <row r="120" spans="1:4" ht="15.75" thickBot="1" x14ac:dyDescent="0.3">
      <c r="A120" s="24" t="s">
        <v>116</v>
      </c>
      <c r="B120" s="29" t="s">
        <v>77</v>
      </c>
      <c r="C120" s="25" t="s">
        <v>114</v>
      </c>
      <c r="D120" s="29">
        <v>0</v>
      </c>
    </row>
    <row r="121" spans="1:4" ht="15.75" thickBot="1" x14ac:dyDescent="0.3">
      <c r="A121" s="24" t="s">
        <v>117</v>
      </c>
      <c r="B121" s="29" t="s">
        <v>79</v>
      </c>
      <c r="C121" s="25" t="s">
        <v>13</v>
      </c>
      <c r="D121" s="39">
        <v>0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118</v>
      </c>
      <c r="B123" s="2"/>
      <c r="C123" s="2"/>
      <c r="D123" s="2"/>
    </row>
    <row r="124" spans="1:4" ht="15.75" thickBot="1" x14ac:dyDescent="0.3">
      <c r="A124" s="34">
        <v>48</v>
      </c>
      <c r="B124" s="33" t="s">
        <v>119</v>
      </c>
      <c r="C124" s="32" t="s">
        <v>114</v>
      </c>
      <c r="D124" s="33">
        <v>1</v>
      </c>
    </row>
    <row r="125" spans="1:4" ht="15.75" thickBot="1" x14ac:dyDescent="0.3">
      <c r="A125" s="50">
        <v>49</v>
      </c>
      <c r="B125" s="29" t="s">
        <v>120</v>
      </c>
      <c r="C125" s="25" t="s">
        <v>114</v>
      </c>
      <c r="D125" s="29">
        <v>1</v>
      </c>
    </row>
    <row r="126" spans="1:4" ht="15.75" thickBot="1" x14ac:dyDescent="0.3">
      <c r="A126" s="51">
        <v>50</v>
      </c>
      <c r="B126" s="52" t="s">
        <v>121</v>
      </c>
      <c r="C126" s="53" t="s">
        <v>13</v>
      </c>
      <c r="D126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topLeftCell="A79" workbookViewId="0">
      <selection activeCell="D64" sqref="D64"/>
    </sheetView>
  </sheetViews>
  <sheetFormatPr defaultRowHeight="15" x14ac:dyDescent="0.25"/>
  <cols>
    <col min="2" max="2" width="74" customWidth="1"/>
    <col min="3" max="3" width="10.85546875" customWidth="1"/>
    <col min="4" max="4" width="55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162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163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47182.43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47182.43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478928.43</v>
      </c>
    </row>
    <row r="17" spans="1:5" x14ac:dyDescent="0.25">
      <c r="A17" s="15" t="s">
        <v>20</v>
      </c>
      <c r="B17" s="16" t="s">
        <v>21</v>
      </c>
      <c r="C17" s="16" t="s">
        <v>13</v>
      </c>
      <c r="D17" s="17">
        <f>328183.8+9340.8</f>
        <v>337524.6</v>
      </c>
    </row>
    <row r="18" spans="1:5" x14ac:dyDescent="0.25">
      <c r="A18" s="15" t="s">
        <v>22</v>
      </c>
      <c r="B18" s="15" t="s">
        <v>23</v>
      </c>
      <c r="C18" s="16" t="s">
        <v>13</v>
      </c>
      <c r="D18" s="17">
        <f>125414.76+3569.52</f>
        <v>128984.28</v>
      </c>
    </row>
    <row r="19" spans="1:5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5" x14ac:dyDescent="0.25">
      <c r="A20" s="15" t="s">
        <v>26</v>
      </c>
      <c r="B20" s="18" t="s">
        <v>27</v>
      </c>
      <c r="C20" s="16" t="s">
        <v>13</v>
      </c>
      <c r="D20" s="17">
        <v>439601.26</v>
      </c>
    </row>
    <row r="21" spans="1:5" x14ac:dyDescent="0.25">
      <c r="A21" s="15" t="s">
        <v>28</v>
      </c>
      <c r="B21" s="16" t="s">
        <v>29</v>
      </c>
      <c r="C21" s="16" t="s">
        <v>13</v>
      </c>
      <c r="D21" s="17">
        <f>311174.64+118576.62</f>
        <v>429751.26</v>
      </c>
    </row>
    <row r="22" spans="1:5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5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5" x14ac:dyDescent="0.25">
      <c r="A24" s="15" t="s">
        <v>34</v>
      </c>
      <c r="B24" s="16" t="s">
        <v>35</v>
      </c>
      <c r="C24" s="16" t="s">
        <v>13</v>
      </c>
      <c r="D24" s="17">
        <v>9850</v>
      </c>
    </row>
    <row r="25" spans="1:5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5" x14ac:dyDescent="0.25">
      <c r="A26" s="15" t="s">
        <v>38</v>
      </c>
      <c r="B26" s="18" t="s">
        <v>39</v>
      </c>
      <c r="C26" s="16" t="s">
        <v>13</v>
      </c>
      <c r="D26" s="17">
        <f>D20-D15</f>
        <v>392418.83</v>
      </c>
    </row>
    <row r="27" spans="1:5" x14ac:dyDescent="0.25">
      <c r="A27" s="15" t="s">
        <v>40</v>
      </c>
      <c r="B27" s="18" t="s">
        <v>41</v>
      </c>
      <c r="C27" s="16" t="s">
        <v>13</v>
      </c>
      <c r="D27" s="17">
        <v>177196.67</v>
      </c>
    </row>
    <row r="28" spans="1:5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5" ht="15.75" thickBot="1" x14ac:dyDescent="0.3">
      <c r="A29" s="19" t="s">
        <v>43</v>
      </c>
      <c r="B29" s="20" t="s">
        <v>17</v>
      </c>
      <c r="C29" s="20" t="s">
        <v>13</v>
      </c>
      <c r="D29" s="21">
        <v>177196.67</v>
      </c>
    </row>
    <row r="30" spans="1:5" x14ac:dyDescent="0.25">
      <c r="A30" s="2"/>
      <c r="B30" s="2"/>
      <c r="C30" s="2"/>
      <c r="D30" s="2"/>
    </row>
    <row r="31" spans="1:5" ht="15.75" thickBot="1" x14ac:dyDescent="0.3">
      <c r="A31" s="8" t="s">
        <v>44</v>
      </c>
      <c r="B31" s="2"/>
      <c r="C31" s="2"/>
      <c r="D31" s="2"/>
    </row>
    <row r="32" spans="1:5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  <c r="E32" s="57"/>
    </row>
    <row r="33" spans="1:5" ht="15.75" thickBot="1" x14ac:dyDescent="0.3">
      <c r="A33" s="24"/>
      <c r="B33" s="25" t="s">
        <v>49</v>
      </c>
      <c r="C33" s="25" t="s">
        <v>47</v>
      </c>
      <c r="D33" s="29" t="s">
        <v>50</v>
      </c>
      <c r="E33" s="57"/>
    </row>
    <row r="34" spans="1:5" ht="15.75" thickBot="1" x14ac:dyDescent="0.3">
      <c r="A34" s="24"/>
      <c r="B34" s="25" t="s">
        <v>51</v>
      </c>
      <c r="C34" s="25" t="s">
        <v>47</v>
      </c>
      <c r="D34" s="29" t="s">
        <v>52</v>
      </c>
      <c r="E34" s="57"/>
    </row>
    <row r="35" spans="1:5" ht="15.75" thickBot="1" x14ac:dyDescent="0.3">
      <c r="A35" s="24"/>
      <c r="B35" s="25" t="s">
        <v>53</v>
      </c>
      <c r="C35" s="25" t="s">
        <v>47</v>
      </c>
      <c r="D35" s="26" t="s">
        <v>54</v>
      </c>
      <c r="E35" s="57"/>
    </row>
    <row r="36" spans="1:5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  <c r="E36" s="57"/>
    </row>
    <row r="37" spans="1:5" ht="15.75" thickBot="1" x14ac:dyDescent="0.3">
      <c r="A37" s="24"/>
      <c r="B37" s="25" t="s">
        <v>49</v>
      </c>
      <c r="C37" s="25" t="s">
        <v>47</v>
      </c>
      <c r="D37" s="29" t="s">
        <v>124</v>
      </c>
      <c r="E37" s="57"/>
    </row>
    <row r="38" spans="1:5" ht="15.75" thickBot="1" x14ac:dyDescent="0.3">
      <c r="A38" s="24"/>
      <c r="B38" s="25" t="s">
        <v>51</v>
      </c>
      <c r="C38" s="25" t="s">
        <v>47</v>
      </c>
      <c r="D38" s="29" t="s">
        <v>57</v>
      </c>
      <c r="E38" s="57"/>
    </row>
    <row r="39" spans="1:5" ht="15.75" thickBot="1" x14ac:dyDescent="0.3">
      <c r="A39" s="24"/>
      <c r="B39" s="25" t="s">
        <v>53</v>
      </c>
      <c r="C39" s="25" t="s">
        <v>47</v>
      </c>
      <c r="D39" s="30">
        <v>3808160770</v>
      </c>
      <c r="E39" s="57"/>
    </row>
    <row r="40" spans="1:5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  <c r="E40" s="57"/>
    </row>
    <row r="41" spans="1:5" ht="15.75" thickBot="1" x14ac:dyDescent="0.3">
      <c r="A41" s="24"/>
      <c r="B41" s="25" t="s">
        <v>49</v>
      </c>
      <c r="C41" s="25" t="s">
        <v>47</v>
      </c>
      <c r="D41" s="29" t="s">
        <v>59</v>
      </c>
      <c r="E41" s="57"/>
    </row>
    <row r="42" spans="1:5" ht="15.75" thickBot="1" x14ac:dyDescent="0.3">
      <c r="A42" s="24"/>
      <c r="B42" s="25" t="s">
        <v>51</v>
      </c>
      <c r="C42" s="25" t="s">
        <v>47</v>
      </c>
      <c r="D42" s="29" t="s">
        <v>52</v>
      </c>
      <c r="E42" s="57"/>
    </row>
    <row r="43" spans="1:5" ht="15.75" thickBot="1" x14ac:dyDescent="0.3">
      <c r="A43" s="24"/>
      <c r="B43" s="25" t="s">
        <v>53</v>
      </c>
      <c r="C43" s="25" t="s">
        <v>47</v>
      </c>
      <c r="D43" s="30">
        <v>3807000117</v>
      </c>
      <c r="E43" s="57"/>
    </row>
    <row r="44" spans="1:5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  <c r="E44" s="57"/>
    </row>
    <row r="45" spans="1:5" ht="15.75" thickBot="1" x14ac:dyDescent="0.3">
      <c r="A45" s="24"/>
      <c r="B45" s="25" t="s">
        <v>49</v>
      </c>
      <c r="C45" s="25" t="s">
        <v>47</v>
      </c>
      <c r="D45" s="29" t="s">
        <v>70</v>
      </c>
      <c r="E45" s="57"/>
    </row>
    <row r="46" spans="1:5" ht="15.75" thickBot="1" x14ac:dyDescent="0.3">
      <c r="A46" s="24"/>
      <c r="B46" s="25" t="s">
        <v>51</v>
      </c>
      <c r="C46" s="25" t="s">
        <v>47</v>
      </c>
      <c r="D46" s="29" t="s">
        <v>57</v>
      </c>
      <c r="E46" s="57"/>
    </row>
    <row r="47" spans="1:5" ht="15.75" thickBot="1" x14ac:dyDescent="0.3">
      <c r="A47" s="24"/>
      <c r="B47" s="25" t="s">
        <v>53</v>
      </c>
      <c r="C47" s="25" t="s">
        <v>47</v>
      </c>
      <c r="D47" s="30">
        <v>3811171757</v>
      </c>
      <c r="E47" s="57"/>
    </row>
    <row r="48" spans="1:5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  <c r="E48" s="57"/>
    </row>
    <row r="49" spans="1:5" ht="15.75" thickBot="1" x14ac:dyDescent="0.3">
      <c r="A49" s="24"/>
      <c r="B49" s="25" t="s">
        <v>49</v>
      </c>
      <c r="C49" s="25" t="s">
        <v>47</v>
      </c>
      <c r="D49" s="29" t="s">
        <v>134</v>
      </c>
      <c r="E49" s="57"/>
    </row>
    <row r="50" spans="1:5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5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5" x14ac:dyDescent="0.25">
      <c r="A52" s="2"/>
      <c r="B52" s="2"/>
      <c r="C52" s="2"/>
      <c r="D52" s="2"/>
    </row>
    <row r="53" spans="1:5" ht="15.75" thickBot="1" x14ac:dyDescent="0.3">
      <c r="A53" s="8" t="s">
        <v>71</v>
      </c>
      <c r="B53" s="2"/>
      <c r="C53" s="2"/>
      <c r="D53" s="2"/>
    </row>
    <row r="54" spans="1:5" ht="15.75" thickBot="1" x14ac:dyDescent="0.3">
      <c r="A54" s="22" t="s">
        <v>72</v>
      </c>
      <c r="B54" s="32" t="s">
        <v>73</v>
      </c>
      <c r="C54" s="32" t="s">
        <v>47</v>
      </c>
      <c r="D54" s="33">
        <v>0</v>
      </c>
    </row>
    <row r="55" spans="1:5" ht="15.75" thickBot="1" x14ac:dyDescent="0.3">
      <c r="A55" s="24" t="s">
        <v>74</v>
      </c>
      <c r="B55" s="25" t="s">
        <v>75</v>
      </c>
      <c r="C55" s="25" t="s">
        <v>47</v>
      </c>
      <c r="D55" s="29">
        <v>0</v>
      </c>
    </row>
    <row r="56" spans="1:5" ht="15.75" thickBot="1" x14ac:dyDescent="0.3">
      <c r="A56" s="24" t="s">
        <v>76</v>
      </c>
      <c r="B56" s="25" t="s">
        <v>77</v>
      </c>
      <c r="C56" s="25" t="s">
        <v>47</v>
      </c>
      <c r="D56" s="29">
        <v>0</v>
      </c>
    </row>
    <row r="57" spans="1:5" ht="15.75" thickBot="1" x14ac:dyDescent="0.3">
      <c r="A57" s="22" t="s">
        <v>78</v>
      </c>
      <c r="B57" s="34" t="s">
        <v>79</v>
      </c>
      <c r="C57" s="34" t="s">
        <v>13</v>
      </c>
      <c r="D57" s="35">
        <v>0</v>
      </c>
    </row>
    <row r="58" spans="1:5" x14ac:dyDescent="0.25">
      <c r="A58" s="2"/>
      <c r="B58" s="2"/>
      <c r="C58" s="2"/>
      <c r="D58" s="2"/>
    </row>
    <row r="59" spans="1:5" ht="15.75" thickBot="1" x14ac:dyDescent="0.3">
      <c r="A59" s="8" t="s">
        <v>80</v>
      </c>
      <c r="B59" s="2"/>
      <c r="C59" s="2"/>
      <c r="D59" s="2"/>
    </row>
    <row r="60" spans="1:5" ht="15.75" thickBot="1" x14ac:dyDescent="0.3">
      <c r="A60" s="36" t="s">
        <v>81</v>
      </c>
      <c r="B60" s="33" t="s">
        <v>82</v>
      </c>
      <c r="C60" s="32" t="s">
        <v>13</v>
      </c>
      <c r="D60" s="37">
        <f>D62+D61</f>
        <v>196413.37</v>
      </c>
    </row>
    <row r="61" spans="1:5" ht="15.75" thickBot="1" x14ac:dyDescent="0.3">
      <c r="A61" s="38" t="s">
        <v>83</v>
      </c>
      <c r="B61" s="25" t="s">
        <v>84</v>
      </c>
      <c r="C61" s="25" t="s">
        <v>13</v>
      </c>
      <c r="D61" s="39">
        <f>-(16509.4+1570.97+8907.13+353.32+0.33+6.43)</f>
        <v>-27347.58</v>
      </c>
    </row>
    <row r="62" spans="1:5" ht="15.75" thickBot="1" x14ac:dyDescent="0.3">
      <c r="A62" s="38" t="s">
        <v>85</v>
      </c>
      <c r="B62" s="25" t="s">
        <v>86</v>
      </c>
      <c r="C62" s="25" t="s">
        <v>13</v>
      </c>
      <c r="D62" s="39">
        <f>87388.84+17464.34+84513.62+33581.89+76.74+735.52</f>
        <v>223760.94999999998</v>
      </c>
    </row>
    <row r="63" spans="1:5" ht="15.75" thickBot="1" x14ac:dyDescent="0.3">
      <c r="A63" s="38" t="s">
        <v>87</v>
      </c>
      <c r="B63" s="29" t="s">
        <v>88</v>
      </c>
      <c r="C63" s="25" t="s">
        <v>13</v>
      </c>
      <c r="D63" s="39">
        <f>D65+D64</f>
        <v>263615.98000000004</v>
      </c>
    </row>
    <row r="64" spans="1:5" ht="15.75" thickBot="1" x14ac:dyDescent="0.3">
      <c r="A64" s="38" t="s">
        <v>89</v>
      </c>
      <c r="B64" s="25" t="s">
        <v>84</v>
      </c>
      <c r="C64" s="25" t="s">
        <v>13</v>
      </c>
      <c r="D64" s="39">
        <f>-(171.33+1128.61+1031.85+325.75+605.13+664.71)</f>
        <v>-3927.38</v>
      </c>
    </row>
    <row r="65" spans="1:4" ht="15.75" thickBot="1" x14ac:dyDescent="0.3">
      <c r="A65" s="38" t="s">
        <v>90</v>
      </c>
      <c r="B65" s="25" t="s">
        <v>86</v>
      </c>
      <c r="C65" s="25" t="s">
        <v>13</v>
      </c>
      <c r="D65" s="39">
        <f>135398.05+18962.66+80494.92+31652.52+105.56+929.65</f>
        <v>267543.36000000004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91</v>
      </c>
      <c r="B67" s="2"/>
      <c r="C67" s="2"/>
      <c r="D67" s="2"/>
    </row>
    <row r="68" spans="1:4" ht="15.75" thickBot="1" x14ac:dyDescent="0.3">
      <c r="A68" s="40" t="s">
        <v>92</v>
      </c>
      <c r="B68" s="41" t="s">
        <v>93</v>
      </c>
      <c r="C68" s="42" t="s">
        <v>47</v>
      </c>
      <c r="D68" s="41" t="s">
        <v>94</v>
      </c>
    </row>
    <row r="69" spans="1:4" ht="15.75" thickBot="1" x14ac:dyDescent="0.3">
      <c r="A69" s="24"/>
      <c r="B69" s="29" t="s">
        <v>95</v>
      </c>
      <c r="C69" s="25" t="s">
        <v>47</v>
      </c>
      <c r="D69" s="29" t="s">
        <v>96</v>
      </c>
    </row>
    <row r="70" spans="1:4" ht="15.75" thickBot="1" x14ac:dyDescent="0.3">
      <c r="A70" s="24"/>
      <c r="B70" s="29" t="s">
        <v>97</v>
      </c>
      <c r="C70" s="25" t="s">
        <v>96</v>
      </c>
      <c r="D70" s="39">
        <v>374.88060000000002</v>
      </c>
    </row>
    <row r="71" spans="1:4" ht="15.75" thickBot="1" x14ac:dyDescent="0.3">
      <c r="A71" s="24"/>
      <c r="B71" s="29" t="s">
        <v>98</v>
      </c>
      <c r="C71" s="25" t="s">
        <v>13</v>
      </c>
      <c r="D71" s="39">
        <f>375018.08+2236.37</f>
        <v>377254.45</v>
      </c>
    </row>
    <row r="72" spans="1:4" ht="15.75" thickBot="1" x14ac:dyDescent="0.3">
      <c r="A72" s="24"/>
      <c r="B72" s="25" t="s">
        <v>99</v>
      </c>
      <c r="C72" s="25" t="s">
        <v>13</v>
      </c>
      <c r="D72" s="43">
        <v>312907.17</v>
      </c>
    </row>
    <row r="73" spans="1:4" ht="15.75" thickBot="1" x14ac:dyDescent="0.3">
      <c r="A73" s="24"/>
      <c r="B73" s="25" t="s">
        <v>100</v>
      </c>
      <c r="C73" s="25" t="s">
        <v>13</v>
      </c>
      <c r="D73" s="43">
        <f>D71-D72</f>
        <v>64347.280000000028</v>
      </c>
    </row>
    <row r="74" spans="1:4" ht="15.75" thickBot="1" x14ac:dyDescent="0.3">
      <c r="A74" s="24"/>
      <c r="B74" s="25" t="s">
        <v>101</v>
      </c>
      <c r="C74" s="25" t="s">
        <v>13</v>
      </c>
      <c r="D74" s="43">
        <v>361134.9</v>
      </c>
    </row>
    <row r="75" spans="1:4" ht="15.75" thickBot="1" x14ac:dyDescent="0.3">
      <c r="A75" s="24"/>
      <c r="B75" s="25" t="s">
        <v>102</v>
      </c>
      <c r="C75" s="25" t="s">
        <v>13</v>
      </c>
      <c r="D75" s="43">
        <f>D72</f>
        <v>312907.17</v>
      </c>
    </row>
    <row r="76" spans="1:4" ht="15.75" thickBot="1" x14ac:dyDescent="0.3">
      <c r="A76" s="24"/>
      <c r="B76" s="25" t="s">
        <v>103</v>
      </c>
      <c r="C76" s="25" t="s">
        <v>13</v>
      </c>
      <c r="D76" s="43">
        <f>D73</f>
        <v>64347.280000000028</v>
      </c>
    </row>
    <row r="77" spans="1:4" ht="15.75" thickBot="1" x14ac:dyDescent="0.3">
      <c r="A77" s="24"/>
      <c r="B77" s="29" t="s">
        <v>104</v>
      </c>
      <c r="C77" s="25" t="s">
        <v>13</v>
      </c>
      <c r="D77" s="39">
        <v>0</v>
      </c>
    </row>
    <row r="78" spans="1:4" ht="15.75" thickBot="1" x14ac:dyDescent="0.3">
      <c r="A78" s="40" t="s">
        <v>105</v>
      </c>
      <c r="B78" s="41" t="s">
        <v>93</v>
      </c>
      <c r="C78" s="42" t="s">
        <v>47</v>
      </c>
      <c r="D78" s="41" t="s">
        <v>106</v>
      </c>
    </row>
    <row r="79" spans="1:4" ht="15.75" thickBot="1" x14ac:dyDescent="0.3">
      <c r="A79" s="24"/>
      <c r="B79" s="29" t="s">
        <v>95</v>
      </c>
      <c r="C79" s="25" t="s">
        <v>47</v>
      </c>
      <c r="D79" s="29" t="s">
        <v>107</v>
      </c>
    </row>
    <row r="80" spans="1:4" ht="15.75" thickBot="1" x14ac:dyDescent="0.3">
      <c r="A80" s="24"/>
      <c r="B80" s="29" t="s">
        <v>97</v>
      </c>
      <c r="C80" s="25" t="s">
        <v>107</v>
      </c>
      <c r="D80" s="44">
        <v>3861.6777999999999</v>
      </c>
    </row>
    <row r="81" spans="1:4" ht="15.75" thickBot="1" x14ac:dyDescent="0.3">
      <c r="A81" s="24"/>
      <c r="B81" s="29" t="s">
        <v>98</v>
      </c>
      <c r="C81" s="25" t="s">
        <v>13</v>
      </c>
      <c r="D81" s="44">
        <f>486.51+1525.57+39374.43-876.65</f>
        <v>40509.86</v>
      </c>
    </row>
    <row r="82" spans="1:4" ht="15.75" thickBot="1" x14ac:dyDescent="0.3">
      <c r="A82" s="24"/>
      <c r="B82" s="25" t="s">
        <v>99</v>
      </c>
      <c r="C82" s="25" t="s">
        <v>13</v>
      </c>
      <c r="D82" s="45">
        <f>2588.06+36557.1</f>
        <v>39145.159999999996</v>
      </c>
    </row>
    <row r="83" spans="1:4" ht="15.75" thickBot="1" x14ac:dyDescent="0.3">
      <c r="A83" s="24"/>
      <c r="B83" s="25" t="s">
        <v>100</v>
      </c>
      <c r="C83" s="25" t="s">
        <v>13</v>
      </c>
      <c r="D83" s="45">
        <f>D81-D82</f>
        <v>1364.7000000000044</v>
      </c>
    </row>
    <row r="84" spans="1:4" ht="15.75" thickBot="1" x14ac:dyDescent="0.3">
      <c r="A84" s="24"/>
      <c r="B84" s="25" t="s">
        <v>101</v>
      </c>
      <c r="C84" s="25" t="s">
        <v>13</v>
      </c>
      <c r="D84" s="45">
        <v>49490.879999999997</v>
      </c>
    </row>
    <row r="85" spans="1:4" ht="15.75" thickBot="1" x14ac:dyDescent="0.3">
      <c r="A85" s="24"/>
      <c r="B85" s="25" t="s">
        <v>102</v>
      </c>
      <c r="C85" s="25" t="s">
        <v>13</v>
      </c>
      <c r="D85" s="45">
        <f>D82</f>
        <v>39145.159999999996</v>
      </c>
    </row>
    <row r="86" spans="1:4" ht="15.75" thickBot="1" x14ac:dyDescent="0.3">
      <c r="A86" s="24"/>
      <c r="B86" s="25" t="s">
        <v>103</v>
      </c>
      <c r="C86" s="25" t="s">
        <v>13</v>
      </c>
      <c r="D86" s="45">
        <f>D83</f>
        <v>1364.7000000000044</v>
      </c>
    </row>
    <row r="87" spans="1:4" ht="15.75" thickBot="1" x14ac:dyDescent="0.3">
      <c r="A87" s="24"/>
      <c r="B87" s="29" t="s">
        <v>104</v>
      </c>
      <c r="C87" s="25" t="s">
        <v>13</v>
      </c>
      <c r="D87" s="44">
        <v>0</v>
      </c>
    </row>
    <row r="88" spans="1:4" ht="15.75" thickBot="1" x14ac:dyDescent="0.3">
      <c r="A88" s="40" t="s">
        <v>108</v>
      </c>
      <c r="B88" s="41" t="s">
        <v>93</v>
      </c>
      <c r="C88" s="42" t="s">
        <v>47</v>
      </c>
      <c r="D88" s="41" t="s">
        <v>109</v>
      </c>
    </row>
    <row r="89" spans="1:4" ht="15.75" thickBot="1" x14ac:dyDescent="0.3">
      <c r="A89" s="24"/>
      <c r="B89" s="29" t="s">
        <v>95</v>
      </c>
      <c r="C89" s="25" t="s">
        <v>47</v>
      </c>
      <c r="D89" s="29" t="s">
        <v>107</v>
      </c>
    </row>
    <row r="90" spans="1:4" ht="15.75" thickBot="1" x14ac:dyDescent="0.3">
      <c r="A90" s="24"/>
      <c r="B90" s="29" t="s">
        <v>97</v>
      </c>
      <c r="C90" s="25" t="s">
        <v>107</v>
      </c>
      <c r="D90" s="44">
        <v>2559.3123999999998</v>
      </c>
    </row>
    <row r="91" spans="1:4" ht="15.75" thickBot="1" x14ac:dyDescent="0.3">
      <c r="A91" s="24"/>
      <c r="B91" s="29" t="s">
        <v>98</v>
      </c>
      <c r="C91" s="25" t="s">
        <v>13</v>
      </c>
      <c r="D91" s="44">
        <f>179337.03-627.34+4401.54+1055.07</f>
        <v>184166.30000000002</v>
      </c>
    </row>
    <row r="92" spans="1:4" ht="15.75" thickBot="1" x14ac:dyDescent="0.3">
      <c r="A92" s="24"/>
      <c r="B92" s="25" t="s">
        <v>99</v>
      </c>
      <c r="C92" s="25" t="s">
        <v>13</v>
      </c>
      <c r="D92" s="45">
        <f>5920.76+174853.11</f>
        <v>180773.87</v>
      </c>
    </row>
    <row r="93" spans="1:4" ht="15.75" thickBot="1" x14ac:dyDescent="0.3">
      <c r="A93" s="24"/>
      <c r="B93" s="25" t="s">
        <v>100</v>
      </c>
      <c r="C93" s="25" t="s">
        <v>13</v>
      </c>
      <c r="D93" s="45">
        <f>D91-D92</f>
        <v>3392.4300000000221</v>
      </c>
    </row>
    <row r="94" spans="1:4" ht="15.75" thickBot="1" x14ac:dyDescent="0.3">
      <c r="A94" s="24"/>
      <c r="B94" s="25" t="s">
        <v>101</v>
      </c>
      <c r="C94" s="25" t="s">
        <v>13</v>
      </c>
      <c r="D94" s="45">
        <v>274459.13</v>
      </c>
    </row>
    <row r="95" spans="1:4" ht="15.75" thickBot="1" x14ac:dyDescent="0.3">
      <c r="A95" s="24"/>
      <c r="B95" s="25" t="s">
        <v>102</v>
      </c>
      <c r="C95" s="25" t="s">
        <v>13</v>
      </c>
      <c r="D95" s="45">
        <f>D92</f>
        <v>180773.87</v>
      </c>
    </row>
    <row r="96" spans="1:4" ht="15.75" thickBot="1" x14ac:dyDescent="0.3">
      <c r="A96" s="24"/>
      <c r="B96" s="25" t="s">
        <v>103</v>
      </c>
      <c r="C96" s="25" t="s">
        <v>13</v>
      </c>
      <c r="D96" s="45">
        <f>D93</f>
        <v>3392.4300000000221</v>
      </c>
    </row>
    <row r="97" spans="1:4" ht="15.75" thickBot="1" x14ac:dyDescent="0.3">
      <c r="A97" s="24"/>
      <c r="B97" s="29" t="s">
        <v>104</v>
      </c>
      <c r="C97" s="25" t="s">
        <v>13</v>
      </c>
      <c r="D97" s="44">
        <v>0</v>
      </c>
    </row>
    <row r="98" spans="1:4" ht="15.75" thickBot="1" x14ac:dyDescent="0.3">
      <c r="A98" s="40" t="s">
        <v>110</v>
      </c>
      <c r="B98" s="41" t="s">
        <v>93</v>
      </c>
      <c r="C98" s="42" t="s">
        <v>47</v>
      </c>
      <c r="D98" s="41" t="s">
        <v>111</v>
      </c>
    </row>
    <row r="99" spans="1:4" ht="15.75" thickBot="1" x14ac:dyDescent="0.3">
      <c r="A99" s="24"/>
      <c r="B99" s="29" t="s">
        <v>95</v>
      </c>
      <c r="C99" s="25" t="s">
        <v>47</v>
      </c>
      <c r="D99" s="29" t="s">
        <v>107</v>
      </c>
    </row>
    <row r="100" spans="1:4" ht="15.75" thickBot="1" x14ac:dyDescent="0.3">
      <c r="A100" s="24"/>
      <c r="B100" s="29" t="s">
        <v>97</v>
      </c>
      <c r="C100" s="25" t="s">
        <v>107</v>
      </c>
      <c r="D100" s="39">
        <v>6420.9854999999998</v>
      </c>
    </row>
    <row r="101" spans="1:4" ht="15.75" thickBot="1" x14ac:dyDescent="0.3">
      <c r="A101" s="24"/>
      <c r="B101" s="29" t="s">
        <v>98</v>
      </c>
      <c r="C101" s="25" t="s">
        <v>13</v>
      </c>
      <c r="D101" s="39">
        <f>67876.11-1092.16</f>
        <v>66783.95</v>
      </c>
    </row>
    <row r="102" spans="1:4" ht="15.75" thickBot="1" x14ac:dyDescent="0.3">
      <c r="A102" s="24"/>
      <c r="B102" s="25" t="s">
        <v>99</v>
      </c>
      <c r="C102" s="25" t="s">
        <v>13</v>
      </c>
      <c r="D102" s="43">
        <v>68685.75</v>
      </c>
    </row>
    <row r="103" spans="1:4" ht="15.75" thickBot="1" x14ac:dyDescent="0.3">
      <c r="A103" s="24"/>
      <c r="B103" s="25" t="s">
        <v>100</v>
      </c>
      <c r="C103" s="25" t="s">
        <v>13</v>
      </c>
      <c r="D103" s="43">
        <v>0</v>
      </c>
    </row>
    <row r="104" spans="1:4" ht="15.75" thickBot="1" x14ac:dyDescent="0.3">
      <c r="A104" s="24"/>
      <c r="B104" s="25" t="s">
        <v>101</v>
      </c>
      <c r="C104" s="25" t="s">
        <v>13</v>
      </c>
      <c r="D104" s="43">
        <v>89256.06</v>
      </c>
    </row>
    <row r="105" spans="1:4" ht="15.75" thickBot="1" x14ac:dyDescent="0.3">
      <c r="A105" s="24"/>
      <c r="B105" s="25" t="s">
        <v>102</v>
      </c>
      <c r="C105" s="25" t="s">
        <v>13</v>
      </c>
      <c r="D105" s="43">
        <f>D102</f>
        <v>68685.75</v>
      </c>
    </row>
    <row r="106" spans="1:4" ht="15.75" thickBot="1" x14ac:dyDescent="0.3">
      <c r="A106" s="24"/>
      <c r="B106" s="25" t="s">
        <v>103</v>
      </c>
      <c r="C106" s="25" t="s">
        <v>13</v>
      </c>
      <c r="D106" s="43">
        <v>0</v>
      </c>
    </row>
    <row r="107" spans="1:4" ht="15.75" thickBot="1" x14ac:dyDescent="0.3">
      <c r="A107" s="24"/>
      <c r="B107" s="29" t="s">
        <v>104</v>
      </c>
      <c r="C107" s="25" t="s">
        <v>13</v>
      </c>
      <c r="D107" s="39">
        <v>0</v>
      </c>
    </row>
    <row r="108" spans="1:4" x14ac:dyDescent="0.25">
      <c r="A108" s="46"/>
      <c r="B108" s="47"/>
      <c r="C108" s="48"/>
      <c r="D108" s="49"/>
    </row>
    <row r="109" spans="1:4" ht="15.75" thickBot="1" x14ac:dyDescent="0.3">
      <c r="A109" s="8" t="s">
        <v>112</v>
      </c>
      <c r="B109" s="2"/>
      <c r="C109" s="2"/>
      <c r="D109" s="2"/>
    </row>
    <row r="110" spans="1:4" ht="15.75" thickBot="1" x14ac:dyDescent="0.3">
      <c r="A110" s="22" t="s">
        <v>113</v>
      </c>
      <c r="B110" s="33" t="s">
        <v>73</v>
      </c>
      <c r="C110" s="32" t="s">
        <v>114</v>
      </c>
      <c r="D110" s="33">
        <v>0</v>
      </c>
    </row>
    <row r="111" spans="1:4" ht="15.75" thickBot="1" x14ac:dyDescent="0.3">
      <c r="A111" s="24" t="s">
        <v>115</v>
      </c>
      <c r="B111" s="29" t="s">
        <v>75</v>
      </c>
      <c r="C111" s="25" t="s">
        <v>114</v>
      </c>
      <c r="D111" s="29">
        <v>0</v>
      </c>
    </row>
    <row r="112" spans="1:4" ht="15.75" thickBot="1" x14ac:dyDescent="0.3">
      <c r="A112" s="24" t="s">
        <v>116</v>
      </c>
      <c r="B112" s="29" t="s">
        <v>77</v>
      </c>
      <c r="C112" s="25" t="s">
        <v>114</v>
      </c>
      <c r="D112" s="29">
        <v>0</v>
      </c>
    </row>
    <row r="113" spans="1:4" ht="15.75" thickBot="1" x14ac:dyDescent="0.3">
      <c r="A113" s="24" t="s">
        <v>117</v>
      </c>
      <c r="B113" s="29" t="s">
        <v>79</v>
      </c>
      <c r="C113" s="25" t="s">
        <v>13</v>
      </c>
      <c r="D113" s="39">
        <v>0</v>
      </c>
    </row>
    <row r="114" spans="1:4" x14ac:dyDescent="0.25">
      <c r="A114" s="2"/>
      <c r="B114" s="2"/>
      <c r="C114" s="2"/>
      <c r="D114" s="2"/>
    </row>
    <row r="115" spans="1:4" ht="15.75" thickBot="1" x14ac:dyDescent="0.3">
      <c r="A115" s="8" t="s">
        <v>118</v>
      </c>
      <c r="B115" s="2"/>
      <c r="C115" s="2"/>
      <c r="D115" s="2"/>
    </row>
    <row r="116" spans="1:4" ht="15.75" thickBot="1" x14ac:dyDescent="0.3">
      <c r="A116" s="34">
        <v>48</v>
      </c>
      <c r="B116" s="33" t="s">
        <v>119</v>
      </c>
      <c r="C116" s="32" t="s">
        <v>114</v>
      </c>
      <c r="D116" s="33">
        <v>1</v>
      </c>
    </row>
    <row r="117" spans="1:4" ht="15.75" thickBot="1" x14ac:dyDescent="0.3">
      <c r="A117" s="50">
        <v>49</v>
      </c>
      <c r="B117" s="29" t="s">
        <v>120</v>
      </c>
      <c r="C117" s="25" t="s">
        <v>114</v>
      </c>
      <c r="D117" s="29">
        <v>0</v>
      </c>
    </row>
    <row r="118" spans="1:4" ht="15.75" thickBot="1" x14ac:dyDescent="0.3">
      <c r="A118" s="51">
        <v>50</v>
      </c>
      <c r="B118" s="52" t="s">
        <v>121</v>
      </c>
      <c r="C118" s="53" t="s">
        <v>13</v>
      </c>
      <c r="D118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46</vt:i4>
      </vt:variant>
    </vt:vector>
  </HeadingPairs>
  <TitlesOfParts>
    <vt:vector size="46" baseType="lpstr">
      <vt:lpstr>Д. Событий 103</vt:lpstr>
      <vt:lpstr>Б. Хмельницкого 11</vt:lpstr>
      <vt:lpstr>Д. Событий 103Б</vt:lpstr>
      <vt:lpstr>Д. Событий 119</vt:lpstr>
      <vt:lpstr>Д. Событий 107Б</vt:lpstr>
      <vt:lpstr>Д. Событий 107А</vt:lpstr>
      <vt:lpstr>Д. Событий 105Б</vt:lpstr>
      <vt:lpstr>Д. Событий 103Д</vt:lpstr>
      <vt:lpstr>Д. Событий 103Г</vt:lpstr>
      <vt:lpstr>Красноярская 22</vt:lpstr>
      <vt:lpstr>Лызина 18</vt:lpstr>
      <vt:lpstr>Красноказачья 2</vt:lpstr>
      <vt:lpstr>Култукская 32</vt:lpstr>
      <vt:lpstr>Подаптечная 1</vt:lpstr>
      <vt:lpstr>Лызина 34</vt:lpstr>
      <vt:lpstr>Лызина 50</vt:lpstr>
      <vt:lpstr>Костычева 27,3</vt:lpstr>
      <vt:lpstr>Костычева 27,4</vt:lpstr>
      <vt:lpstr>Костычева 27,5</vt:lpstr>
      <vt:lpstr>Костычева 27,6</vt:lpstr>
      <vt:lpstr>Костычева 27,7</vt:lpstr>
      <vt:lpstr>Поленова 14</vt:lpstr>
      <vt:lpstr>Поленова 12</vt:lpstr>
      <vt:lpstr>Поленова 21</vt:lpstr>
      <vt:lpstr>Поленова 10</vt:lpstr>
      <vt:lpstr>Пионерский 3</vt:lpstr>
      <vt:lpstr>Поленова 16</vt:lpstr>
      <vt:lpstr>Советская 79</vt:lpstr>
      <vt:lpstr>Советская 73</vt:lpstr>
      <vt:lpstr>Советская 71</vt:lpstr>
      <vt:lpstr>Советская 69</vt:lpstr>
      <vt:lpstr>Советская 67</vt:lpstr>
      <vt:lpstr>Советская 65</vt:lpstr>
      <vt:lpstr>Советская 63</vt:lpstr>
      <vt:lpstr>Советская 81</vt:lpstr>
      <vt:lpstr>Советская 83</vt:lpstr>
      <vt:lpstr>Советская 85</vt:lpstr>
      <vt:lpstr>Советская 87</vt:lpstr>
      <vt:lpstr>Советская 127Б</vt:lpstr>
      <vt:lpstr>Советская 115</vt:lpstr>
      <vt:lpstr>Советская 113</vt:lpstr>
      <vt:lpstr>Советская 93</vt:lpstr>
      <vt:lpstr>Тимирязева 42</vt:lpstr>
      <vt:lpstr>Угольный 78</vt:lpstr>
      <vt:lpstr>Ф. Энгельса 5</vt:lpstr>
      <vt:lpstr>Ямская 40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2015-06-02T04:38:18Z</dcterms:modified>
</cp:coreProperties>
</file>