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5480" windowHeight="9210"/>
  </bookViews>
  <sheets>
    <sheet name="4 жд, 46б" sheetId="1" r:id="rId1"/>
    <sheet name="гоголя, 42б" sheetId="13" r:id="rId2"/>
    <sheet name="Лапина,17" sheetId="12" r:id="rId3"/>
    <sheet name="мичурина,7" sheetId="18" r:id="rId4"/>
    <sheet name="мичурина,7-1" sheetId="19" r:id="rId5"/>
    <sheet name="Мичурина, 7-2" sheetId="28" r:id="rId6"/>
    <sheet name="Роза Люксембург, 5" sheetId="22" r:id="rId7"/>
    <sheet name="чайковского,14" sheetId="14" r:id="rId8"/>
    <sheet name="шмидта,32" sheetId="21" r:id="rId9"/>
    <sheet name="2 жд, 4" sheetId="5" r:id="rId10"/>
    <sheet name="4 жд, 14а" sheetId="6" r:id="rId11"/>
    <sheet name="Горького 29" sheetId="4" r:id="rId12"/>
    <sheet name="Джамбула 4" sheetId="7" r:id="rId13"/>
    <sheet name="Пушкина,13" sheetId="8" r:id="rId14"/>
    <sheet name="Российская,25" sheetId="10" r:id="rId15"/>
    <sheet name="Румянцева,15а" sheetId="9" r:id="rId16"/>
    <sheet name="Воронежская,23" sheetId="11" r:id="rId17"/>
    <sheet name="чайковского,9" sheetId="35" r:id="rId18"/>
    <sheet name="свердлова,1" sheetId="20" r:id="rId19"/>
    <sheet name="гашека, 4а" sheetId="16" r:id="rId20"/>
    <sheet name="гашека,7" sheetId="17" r:id="rId21"/>
    <sheet name="румянцева, 26" sheetId="27" r:id="rId22"/>
    <sheet name="Пушкина, 6" sheetId="25" r:id="rId23"/>
    <sheet name="Профсоюзная,15" sheetId="26" r:id="rId24"/>
    <sheet name="Карла Маркса, 32" sheetId="24" r:id="rId25"/>
    <sheet name="Воронежская, 13" sheetId="29" r:id="rId26"/>
    <sheet name="Воронежская, 17" sheetId="30" r:id="rId27"/>
    <sheet name="Воронежская, 19" sheetId="31" r:id="rId28"/>
    <sheet name="Севастопольская,145" sheetId="32" r:id="rId29"/>
    <sheet name="Севастопольская,147" sheetId="33" r:id="rId30"/>
    <sheet name="Профсоюзная, 4" sheetId="38" r:id="rId31"/>
    <sheet name="15-ый Советский, 17" sheetId="39" r:id="rId32"/>
    <sheet name="1-ый Советский, 1" sheetId="40" r:id="rId33"/>
    <sheet name="1-ый Советский, 2" sheetId="41" r:id="rId34"/>
    <sheet name="1-ый Советский, 3" sheetId="42" r:id="rId35"/>
    <sheet name="1-ый советский, 4" sheetId="43" r:id="rId36"/>
    <sheet name="1-ый Советский, 5" sheetId="44" r:id="rId37"/>
    <sheet name="1-ый Советский, 6" sheetId="45" r:id="rId38"/>
    <sheet name="1-ый Советский, 7" sheetId="46" r:id="rId39"/>
    <sheet name="Грязнова, 15а" sheetId="47" r:id="rId40"/>
    <sheet name="Грязнова, 15в" sheetId="48" r:id="rId41"/>
    <sheet name="Грязнова, 18" sheetId="49" r:id="rId42"/>
    <sheet name="Грязнова, 26" sheetId="50" r:id="rId43"/>
    <sheet name="Р. Штаба, 18а" sheetId="51" r:id="rId44"/>
    <sheet name="Р. Штаба, 18б" sheetId="52" r:id="rId45"/>
    <sheet name="Р. Штаба, 18д" sheetId="53" r:id="rId46"/>
    <sheet name="Свердлова, 38" sheetId="54" r:id="rId47"/>
    <sheet name="4-я Железнодорожная, 23ж" sheetId="55" r:id="rId48"/>
    <sheet name="Р. Люксембург, 80" sheetId="56" r:id="rId49"/>
    <sheet name="Р. Люксембург, 78" sheetId="57" r:id="rId50"/>
    <sheet name="Р. Люксембург, 72" sheetId="58" r:id="rId51"/>
    <sheet name="Р. Люксембург, 70" sheetId="59" r:id="rId52"/>
    <sheet name="Р. люксембург, 154" sheetId="60" r:id="rId53"/>
    <sheet name="Р. Люксембург, 136а" sheetId="61" r:id="rId54"/>
    <sheet name="Р. Люксембург, 136б" sheetId="62" r:id="rId55"/>
    <sheet name="Р. Люксембург, 136в" sheetId="63" r:id="rId56"/>
    <sheet name="Чайковского, 10" sheetId="64" r:id="rId57"/>
    <sheet name="Чайковского, 16-1" sheetId="65" r:id="rId58"/>
    <sheet name="Баумана, 162" sheetId="66" r:id="rId59"/>
    <sheet name="Терешковой, 49" sheetId="67" r:id="rId60"/>
    <sheet name="Баррикад, 17" sheetId="68" r:id="rId61"/>
    <sheet name="Первомайская, 38а" sheetId="69" r:id="rId62"/>
    <sheet name="Киренская, 2а" sheetId="70" r:id="rId63"/>
    <sheet name="Полярная, 74" sheetId="71" r:id="rId64"/>
    <sheet name="Полярная, 76" sheetId="72" r:id="rId65"/>
    <sheet name="Полярная, 78" sheetId="73" r:id="rId66"/>
    <sheet name="Полярная, 86" sheetId="74" r:id="rId67"/>
    <sheet name="Пушкина, 4" sheetId="75" r:id="rId68"/>
    <sheet name="Р.-Крестьянская, 2" sheetId="76" r:id="rId69"/>
    <sheet name="Р.-Крестьянская, 3" sheetId="77" r:id="rId70"/>
    <sheet name="Воронежская, 21" sheetId="78" r:id="rId71"/>
    <sheet name="Профсоюзная, 6а" sheetId="79" r:id="rId72"/>
    <sheet name="Профсоюзная, 6е" sheetId="80" r:id="rId73"/>
    <sheet name="Ямская, 13" sheetId="81" r:id="rId74"/>
    <sheet name="Радужный, 74" sheetId="82" r:id="rId75"/>
    <sheet name="Баумана, 235а1" sheetId="84" r:id="rId76"/>
    <sheet name="3-я Железнодорожная, 66" sheetId="85" r:id="rId77"/>
    <sheet name="4-я Железнодорожная, 46а" sheetId="86" r:id="rId78"/>
  </sheets>
  <definedNames>
    <definedName name="_xlnm.Print_Area" localSheetId="31">'15-ый Советский, 17'!$A$1:$H$51</definedName>
    <definedName name="_xlnm.Print_Area" localSheetId="32">'1-ый Советский, 1'!$A$1:$H$50</definedName>
    <definedName name="_xlnm.Print_Area" localSheetId="33">'1-ый Советский, 2'!$A$1:$H$51</definedName>
    <definedName name="_xlnm.Print_Area" localSheetId="34">'1-ый Советский, 3'!$A$1:$H$51</definedName>
    <definedName name="_xlnm.Print_Area" localSheetId="35">'1-ый советский, 4'!$A$1:$H$50</definedName>
    <definedName name="_xlnm.Print_Area" localSheetId="36">'1-ый Советский, 5'!$A$1:$H$51</definedName>
    <definedName name="_xlnm.Print_Area" localSheetId="37">'1-ый Советский, 6'!$A$1:$H$50</definedName>
    <definedName name="_xlnm.Print_Area" localSheetId="38">'1-ый Советский, 7'!$A$1:$H$48</definedName>
    <definedName name="_xlnm.Print_Area" localSheetId="9">'2 жд, 4'!$A$1:$P$50</definedName>
    <definedName name="_xlnm.Print_Area" localSheetId="76">'3-я Железнодорожная, 66'!$A$1:$H$51</definedName>
    <definedName name="_xlnm.Print_Area" localSheetId="10">'4 жд, 14а'!$A$1:$H$51</definedName>
    <definedName name="_xlnm.Print_Area" localSheetId="0">'4 жд, 46б'!$A$1:$H$55</definedName>
    <definedName name="_xlnm.Print_Area" localSheetId="47">'4-я Железнодорожная, 23ж'!$A$1:$H$54</definedName>
    <definedName name="_xlnm.Print_Area" localSheetId="77">'4-я Железнодорожная, 46а'!$A$1:$H$50</definedName>
    <definedName name="_xlnm.Print_Area" localSheetId="60">'Баррикад, 17'!$A$1:$H$50</definedName>
    <definedName name="_xlnm.Print_Area" localSheetId="58">'Баумана, 162'!$A$1:$H$49</definedName>
    <definedName name="_xlnm.Print_Area" localSheetId="75">'Баумана, 235а1'!$A$1:$H$50</definedName>
    <definedName name="_xlnm.Print_Area" localSheetId="25">'Воронежская, 13'!$A$1:$H$49</definedName>
    <definedName name="_xlnm.Print_Area" localSheetId="26">'Воронежская, 17'!$A$1:$H$50</definedName>
    <definedName name="_xlnm.Print_Area" localSheetId="27">'Воронежская, 19'!$A$1:$H$51</definedName>
    <definedName name="_xlnm.Print_Area" localSheetId="70">'Воронежская, 21'!$A$1:$H$50</definedName>
    <definedName name="_xlnm.Print_Area" localSheetId="16">'Воронежская,23'!$A$1:$H$54</definedName>
    <definedName name="_xlnm.Print_Area" localSheetId="19">'гашека, 4а'!$A$1:$H$53</definedName>
    <definedName name="_xlnm.Print_Area" localSheetId="20">'гашека,7'!$A$1:$H$53</definedName>
    <definedName name="_xlnm.Print_Area" localSheetId="1">'гоголя, 42б'!$A$1:$H$47</definedName>
    <definedName name="_xlnm.Print_Area" localSheetId="11">'Горького 29'!$A$1:$H$53</definedName>
    <definedName name="_xlnm.Print_Area" localSheetId="39">'Грязнова, 15а'!$A$1:$H$49</definedName>
    <definedName name="_xlnm.Print_Area" localSheetId="40">'Грязнова, 15в'!$A$1:$H$50</definedName>
    <definedName name="_xlnm.Print_Area" localSheetId="41">'Грязнова, 18'!$A$1:$H$50</definedName>
    <definedName name="_xlnm.Print_Area" localSheetId="42">'Грязнова, 26'!$A$1:$H$51</definedName>
    <definedName name="_xlnm.Print_Area" localSheetId="12">'Джамбула 4'!$A$1:$H$52</definedName>
    <definedName name="_xlnm.Print_Area" localSheetId="24">'Карла Маркса, 32'!$A$1:$H$51</definedName>
    <definedName name="_xlnm.Print_Area" localSheetId="62">'Киренская, 2а'!$A$1:$H$51</definedName>
    <definedName name="_xlnm.Print_Area" localSheetId="2">'Лапина,17'!$A$1:$H$51</definedName>
    <definedName name="_xlnm.Print_Area" localSheetId="5">'Мичурина, 7-2'!$A$1:$H$48</definedName>
    <definedName name="_xlnm.Print_Area" localSheetId="3">'мичурина,7'!$A$1:$H$51</definedName>
    <definedName name="_xlnm.Print_Area" localSheetId="4">'мичурина,7-1'!$A$1:$H$52</definedName>
    <definedName name="_xlnm.Print_Area" localSheetId="61">'Первомайская, 38а'!$A$1:$H$50</definedName>
    <definedName name="_xlnm.Print_Area" localSheetId="63">'Полярная, 74'!$A$1:$H$50</definedName>
    <definedName name="_xlnm.Print_Area" localSheetId="64">'Полярная, 76'!$A$1:$H$50</definedName>
    <definedName name="_xlnm.Print_Area" localSheetId="65">'Полярная, 78'!$A$1:$H$50</definedName>
    <definedName name="_xlnm.Print_Area" localSheetId="66">'Полярная, 86'!$A$1:$H$50</definedName>
    <definedName name="_xlnm.Print_Area" localSheetId="30">'Профсоюзная, 4'!$A$1:$H$51</definedName>
    <definedName name="_xlnm.Print_Area" localSheetId="71">'Профсоюзная, 6а'!$A$1:$H$50</definedName>
    <definedName name="_xlnm.Print_Area" localSheetId="72">'Профсоюзная, 6е'!$A$1:$H$50</definedName>
    <definedName name="_xlnm.Print_Area" localSheetId="23">'Профсоюзная,15'!$A$1:$H$49</definedName>
    <definedName name="_xlnm.Print_Area" localSheetId="67">'Пушкина, 4'!$A$1:$H$51</definedName>
    <definedName name="_xlnm.Print_Area" localSheetId="22">'Пушкина, 6'!$A$1:$H$52</definedName>
    <definedName name="_xlnm.Print_Area" localSheetId="13">'Пушкина,13'!$A$1:$H$49</definedName>
    <definedName name="_xlnm.Print_Area" localSheetId="53">'Р. Люксембург, 136а'!$A$1:$H$50</definedName>
    <definedName name="_xlnm.Print_Area" localSheetId="54">'Р. Люксембург, 136б'!$A$1:$H$50</definedName>
    <definedName name="_xlnm.Print_Area" localSheetId="55">'Р. Люксембург, 136в'!$A$1:$H$51</definedName>
    <definedName name="_xlnm.Print_Area" localSheetId="52">'Р. люксембург, 154'!$A$1:$H$51</definedName>
    <definedName name="_xlnm.Print_Area" localSheetId="51">'Р. Люксембург, 70'!$A$1:$H$50</definedName>
    <definedName name="_xlnm.Print_Area" localSheetId="50">'Р. Люксембург, 72'!$A$1:$H$50</definedName>
    <definedName name="_xlnm.Print_Area" localSheetId="49">'Р. Люксембург, 78'!$A$1:$H$51</definedName>
    <definedName name="_xlnm.Print_Area" localSheetId="48">'Р. Люксембург, 80'!$A$1:$H$50</definedName>
    <definedName name="_xlnm.Print_Area" localSheetId="43">'Р. Штаба, 18а'!$A$1:$H$50</definedName>
    <definedName name="_xlnm.Print_Area" localSheetId="44">'Р. Штаба, 18б'!$A$1:$H$50</definedName>
    <definedName name="_xlnm.Print_Area" localSheetId="45">'Р. Штаба, 18д'!$A$1:$H$50</definedName>
    <definedName name="_xlnm.Print_Area" localSheetId="68">'Р.-Крестьянская, 2'!$A$1:$H$50</definedName>
    <definedName name="_xlnm.Print_Area" localSheetId="69">'Р.-Крестьянская, 3'!$A$1:$H$51</definedName>
    <definedName name="_xlnm.Print_Area" localSheetId="74">'Радужный, 74'!$A$1:$H$50</definedName>
    <definedName name="_xlnm.Print_Area" localSheetId="6">'Роза Люксембург, 5'!$A$1:$H$48</definedName>
    <definedName name="_xlnm.Print_Area" localSheetId="14">'Российская,25'!$A$1:$H$56</definedName>
    <definedName name="_xlnm.Print_Area" localSheetId="21">'румянцева, 26'!$A$1:$H$52</definedName>
    <definedName name="_xlnm.Print_Area" localSheetId="15">'Румянцева,15а'!$A$1:$H$52</definedName>
    <definedName name="_xlnm.Print_Area" localSheetId="46">'Свердлова, 38'!$A$1:$H$51</definedName>
    <definedName name="_xlnm.Print_Area" localSheetId="18">'свердлова,1'!$A$1:$H$55</definedName>
    <definedName name="_xlnm.Print_Area" localSheetId="28">'Севастопольская,145'!$A$1:$H$51</definedName>
    <definedName name="_xlnm.Print_Area" localSheetId="29">'Севастопольская,147'!$A$1:$H$51</definedName>
    <definedName name="_xlnm.Print_Area" localSheetId="59">'Терешковой, 49'!$A$1:$H$50</definedName>
    <definedName name="_xlnm.Print_Area" localSheetId="56">'Чайковского, 10'!$A$1:$H$49</definedName>
    <definedName name="_xlnm.Print_Area" localSheetId="57">'Чайковского, 16-1'!$A$1:$H$50</definedName>
    <definedName name="_xlnm.Print_Area" localSheetId="7">'чайковского,14'!$A$1:$H$53</definedName>
    <definedName name="_xlnm.Print_Area" localSheetId="17">'чайковского,9'!$A$1:$H$53</definedName>
    <definedName name="_xlnm.Print_Area" localSheetId="8">'шмидта,32'!$A$1:$H$51</definedName>
    <definedName name="_xlnm.Print_Area" localSheetId="73">'Ямская, 13'!$A$1:$H$51</definedName>
  </definedNames>
  <calcPr calcId="145621"/>
</workbook>
</file>

<file path=xl/calcChain.xml><?xml version="1.0" encoding="utf-8"?>
<calcChain xmlns="http://schemas.openxmlformats.org/spreadsheetml/2006/main">
  <c r="B43" i="12" l="1"/>
  <c r="B42" i="86" l="1"/>
  <c r="B43" i="85"/>
  <c r="B43" i="81"/>
  <c r="B42" i="80"/>
  <c r="B42" i="79"/>
  <c r="B42" i="78"/>
  <c r="B43" i="75"/>
  <c r="B42" i="67"/>
  <c r="B41" i="66"/>
  <c r="B43" i="63"/>
  <c r="B42" i="62"/>
  <c r="B42" i="61"/>
  <c r="B43" i="60"/>
  <c r="B42" i="59"/>
  <c r="B42" i="58"/>
  <c r="B43" i="57"/>
  <c r="B42" i="56" l="1"/>
  <c r="B46" i="55"/>
  <c r="B43" i="54"/>
  <c r="B41" i="53"/>
  <c r="B42" i="52"/>
  <c r="B42" i="51"/>
  <c r="B43" i="50"/>
  <c r="B42" i="49"/>
  <c r="B41" i="47"/>
  <c r="B42" i="39"/>
  <c r="B45" i="16" l="1"/>
  <c r="J5" i="16"/>
  <c r="B42" i="48" l="1"/>
  <c r="B40" i="46"/>
  <c r="B42" i="45"/>
  <c r="B42" i="44"/>
  <c r="B42" i="43"/>
  <c r="B43" i="41"/>
  <c r="B42" i="40"/>
  <c r="B43" i="38"/>
  <c r="B43" i="33"/>
  <c r="B43" i="32"/>
  <c r="B43" i="31"/>
  <c r="B42" i="30"/>
  <c r="B40" i="29"/>
  <c r="B43" i="24"/>
  <c r="B40" i="26"/>
  <c r="B44" i="25"/>
  <c r="B43" i="27"/>
  <c r="B45" i="17"/>
  <c r="B43" i="16"/>
  <c r="B47" i="20"/>
  <c r="B46" i="11"/>
  <c r="B42" i="6"/>
  <c r="B43" i="21"/>
  <c r="B43" i="19"/>
  <c r="B43" i="35" l="1"/>
  <c r="J19" i="35"/>
  <c r="B43" i="9"/>
  <c r="B47" i="10"/>
  <c r="B44" i="7"/>
  <c r="B45" i="4"/>
  <c r="B45" i="14"/>
  <c r="B40" i="28"/>
  <c r="B43" i="18"/>
  <c r="B46" i="1"/>
  <c r="B44" i="35" l="1"/>
  <c r="B41" i="9" l="1"/>
  <c r="L38" i="9"/>
  <c r="B44" i="1" l="1"/>
  <c r="C37" i="79" l="1"/>
  <c r="B43" i="17" l="1"/>
  <c r="C40" i="17"/>
  <c r="B45" i="10" l="1"/>
  <c r="B41" i="10"/>
  <c r="C37" i="10"/>
  <c r="C41" i="10" s="1"/>
  <c r="C37" i="78"/>
  <c r="C42" i="25" l="1"/>
  <c r="C42" i="1"/>
  <c r="E41" i="4"/>
  <c r="B41" i="18" l="1"/>
  <c r="C38" i="20" l="1"/>
  <c r="C38" i="56" l="1"/>
  <c r="C38" i="75" l="1"/>
  <c r="C37" i="64"/>
  <c r="C38" i="50"/>
  <c r="C37" i="50"/>
  <c r="B39" i="86" l="1"/>
  <c r="C39" i="86"/>
  <c r="C8" i="86"/>
  <c r="C37" i="85"/>
  <c r="C40" i="85" l="1"/>
  <c r="B40" i="85"/>
  <c r="C8" i="85"/>
  <c r="C8" i="82"/>
  <c r="C8" i="84"/>
  <c r="C39" i="84" l="1"/>
  <c r="B39" i="84"/>
  <c r="B42" i="84"/>
  <c r="B39" i="82" l="1"/>
  <c r="C38" i="81"/>
  <c r="C39" i="81"/>
  <c r="C37" i="81"/>
  <c r="C40" i="81" l="1"/>
  <c r="C39" i="82"/>
  <c r="B42" i="82" l="1"/>
  <c r="B40" i="81" l="1"/>
  <c r="C8" i="81"/>
  <c r="C39" i="80" l="1"/>
  <c r="B39" i="80"/>
  <c r="C8" i="80"/>
  <c r="C39" i="79" l="1"/>
  <c r="B39" i="79"/>
  <c r="C8" i="79"/>
  <c r="C39" i="78" l="1"/>
  <c r="B39" i="78"/>
  <c r="C8" i="78"/>
  <c r="C39" i="77"/>
  <c r="B39" i="77"/>
  <c r="B42" i="77"/>
  <c r="C8" i="77"/>
  <c r="C39" i="76"/>
  <c r="B39" i="76"/>
  <c r="B42" i="76"/>
  <c r="C8" i="76"/>
  <c r="C40" i="75" l="1"/>
  <c r="B40" i="75"/>
  <c r="C8" i="75"/>
  <c r="C39" i="74" l="1"/>
  <c r="B39" i="74"/>
  <c r="C8" i="74"/>
  <c r="C39" i="73"/>
  <c r="B39" i="73"/>
  <c r="B42" i="73"/>
  <c r="C8" i="73"/>
  <c r="B42" i="74" l="1"/>
  <c r="C39" i="72"/>
  <c r="B39" i="72"/>
  <c r="C8" i="72"/>
  <c r="B42" i="72" l="1"/>
  <c r="C39" i="71"/>
  <c r="B39" i="71"/>
  <c r="B42" i="71"/>
  <c r="C8" i="71"/>
  <c r="C39" i="70"/>
  <c r="B39" i="70"/>
  <c r="C8" i="70"/>
  <c r="B42" i="70" l="1"/>
  <c r="C39" i="69"/>
  <c r="B39" i="69"/>
  <c r="B42" i="69"/>
  <c r="C8" i="69"/>
  <c r="C39" i="68"/>
  <c r="B39" i="68"/>
  <c r="C8" i="68"/>
  <c r="B42" i="68" l="1"/>
  <c r="C39" i="67" l="1"/>
  <c r="B39" i="67"/>
  <c r="C8" i="67"/>
  <c r="C39" i="66" l="1"/>
  <c r="B39" i="66"/>
  <c r="C8" i="66"/>
  <c r="C39" i="65" l="1"/>
  <c r="B39" i="65"/>
  <c r="C8" i="65"/>
  <c r="B42" i="65" l="1"/>
  <c r="C38" i="64"/>
  <c r="B38" i="64"/>
  <c r="C8" i="64"/>
  <c r="B41" i="64" l="1"/>
  <c r="C40" i="63"/>
  <c r="B40" i="63"/>
  <c r="C8" i="63"/>
  <c r="C39" i="62" l="1"/>
  <c r="B39" i="62"/>
  <c r="C8" i="62"/>
  <c r="C39" i="61" l="1"/>
  <c r="B39" i="61"/>
  <c r="C8" i="61"/>
  <c r="C40" i="60" l="1"/>
  <c r="B40" i="60"/>
  <c r="C8" i="60"/>
  <c r="C39" i="59" l="1"/>
  <c r="B39" i="59"/>
  <c r="C8" i="59"/>
  <c r="C39" i="58" l="1"/>
  <c r="B39" i="58"/>
  <c r="C8" i="58"/>
  <c r="C40" i="57" l="1"/>
  <c r="B40" i="57"/>
  <c r="C8" i="57"/>
  <c r="C39" i="56" l="1"/>
  <c r="B39" i="56"/>
  <c r="C8" i="56"/>
  <c r="B43" i="55" l="1"/>
  <c r="C8" i="55"/>
  <c r="C38" i="54"/>
  <c r="C37" i="54"/>
  <c r="C40" i="54" l="1"/>
  <c r="B40" i="54"/>
  <c r="C8" i="54"/>
  <c r="C39" i="53"/>
  <c r="B39" i="53"/>
  <c r="C8" i="53"/>
  <c r="C39" i="52" l="1"/>
  <c r="B39" i="52"/>
  <c r="C8" i="52"/>
  <c r="C39" i="51" l="1"/>
  <c r="B39" i="51"/>
  <c r="C8" i="51"/>
  <c r="C40" i="50" l="1"/>
  <c r="B40" i="50"/>
  <c r="C8" i="50"/>
  <c r="C39" i="49" l="1"/>
  <c r="B39" i="49"/>
  <c r="C8" i="49"/>
  <c r="C39" i="48" l="1"/>
  <c r="B39" i="48"/>
  <c r="C8" i="48"/>
  <c r="C39" i="47" l="1"/>
  <c r="B39" i="47"/>
  <c r="C8" i="47"/>
  <c r="C38" i="46" l="1"/>
  <c r="B38" i="46"/>
  <c r="C8" i="46"/>
  <c r="C39" i="45" l="1"/>
  <c r="B39" i="45"/>
  <c r="C8" i="45"/>
  <c r="C39" i="44" l="1"/>
  <c r="B39" i="44"/>
  <c r="C8" i="44"/>
  <c r="M29" i="44" l="1"/>
  <c r="B39" i="43"/>
  <c r="C39" i="43"/>
  <c r="C8" i="43"/>
  <c r="C38" i="42"/>
  <c r="C40" i="42" s="1"/>
  <c r="B40" i="42"/>
  <c r="C8" i="42"/>
  <c r="B43" i="42" l="1"/>
  <c r="C40" i="41" l="1"/>
  <c r="B40" i="41"/>
  <c r="C8" i="41"/>
  <c r="B39" i="40" l="1"/>
  <c r="C39" i="40"/>
  <c r="C8" i="40"/>
  <c r="C38" i="39"/>
  <c r="B39" i="39" l="1"/>
  <c r="C39" i="39"/>
  <c r="C8" i="39"/>
  <c r="C39" i="38"/>
  <c r="C40" i="38" s="1"/>
  <c r="B40" i="38" l="1"/>
  <c r="C8" i="38"/>
  <c r="C39" i="33"/>
  <c r="C38" i="33"/>
  <c r="B40" i="33"/>
  <c r="C8" i="33"/>
  <c r="C39" i="32"/>
  <c r="C40" i="32" s="1"/>
  <c r="B40" i="32"/>
  <c r="C8" i="32"/>
  <c r="C40" i="31"/>
  <c r="C40" i="33" l="1"/>
  <c r="B40" i="31" l="1"/>
  <c r="C8" i="31"/>
  <c r="C39" i="30"/>
  <c r="B39" i="30"/>
  <c r="C8" i="30"/>
  <c r="C38" i="29" l="1"/>
  <c r="B38" i="29"/>
  <c r="C8" i="29"/>
  <c r="C39" i="24"/>
  <c r="C37" i="24"/>
  <c r="C40" i="24" s="1"/>
  <c r="B40" i="24"/>
  <c r="C8" i="24"/>
  <c r="C37" i="26"/>
  <c r="C38" i="26" s="1"/>
  <c r="B38" i="26"/>
  <c r="C8" i="26"/>
  <c r="B42" i="25"/>
  <c r="C8" i="25"/>
  <c r="C38" i="28"/>
  <c r="B38" i="28"/>
  <c r="C8" i="28"/>
  <c r="C40" i="27"/>
  <c r="B40" i="27"/>
  <c r="C8" i="27"/>
  <c r="C38" i="17"/>
  <c r="B40" i="17"/>
  <c r="C8" i="17"/>
  <c r="C40" i="16"/>
  <c r="B40" i="16"/>
  <c r="C8" i="16"/>
  <c r="C43" i="20"/>
  <c r="C42" i="20"/>
  <c r="C41" i="20"/>
  <c r="C40" i="20"/>
  <c r="C39" i="20"/>
  <c r="C37" i="20"/>
  <c r="C44" i="20" l="1"/>
  <c r="B44" i="20" l="1"/>
  <c r="C8" i="20"/>
  <c r="C40" i="35"/>
  <c r="C39" i="35"/>
  <c r="C37" i="35"/>
  <c r="C41" i="35" s="1"/>
  <c r="C8" i="35" l="1"/>
  <c r="B41" i="35" l="1"/>
  <c r="B39" i="13" l="1"/>
  <c r="C39" i="4" l="1"/>
  <c r="C37" i="6"/>
  <c r="C40" i="11"/>
  <c r="C39" i="11"/>
  <c r="C38" i="11"/>
  <c r="C37" i="11"/>
  <c r="C37" i="9"/>
  <c r="C41" i="11" l="1"/>
  <c r="B41" i="11"/>
  <c r="C8" i="11"/>
  <c r="C38" i="9"/>
  <c r="C39" i="9" s="1"/>
  <c r="B39" i="9"/>
  <c r="C8" i="9"/>
  <c r="C8" i="10"/>
  <c r="C37" i="8"/>
  <c r="B39" i="8"/>
  <c r="C39" i="8"/>
  <c r="C8" i="8"/>
  <c r="B40" i="7"/>
  <c r="C40" i="7"/>
  <c r="C8" i="7"/>
  <c r="C40" i="4"/>
  <c r="C38" i="4"/>
  <c r="C37" i="4"/>
  <c r="B41" i="4"/>
  <c r="C8" i="4"/>
  <c r="C40" i="6"/>
  <c r="C41" i="4" l="1"/>
  <c r="B43" i="4" l="1"/>
  <c r="B44" i="11"/>
  <c r="B42" i="7"/>
  <c r="B40" i="6" l="1"/>
  <c r="C8" i="6"/>
  <c r="C40" i="5"/>
  <c r="B40" i="5"/>
  <c r="C8" i="5"/>
  <c r="C38" i="21" l="1"/>
  <c r="C8" i="21"/>
  <c r="C40" i="14"/>
  <c r="B41" i="21" l="1"/>
  <c r="B40" i="14" l="1"/>
  <c r="C8" i="14"/>
  <c r="B43" i="14" l="1"/>
  <c r="C37" i="22" l="1"/>
  <c r="B37" i="22"/>
  <c r="C8" i="22"/>
  <c r="C39" i="19" l="1"/>
  <c r="B39" i="19"/>
  <c r="C8" i="19"/>
  <c r="B41" i="19" l="1"/>
  <c r="C39" i="18" l="1"/>
  <c r="B39" i="18" l="1"/>
  <c r="C8" i="18"/>
  <c r="C36" i="12" l="1"/>
  <c r="C39" i="12" l="1"/>
  <c r="B39" i="12"/>
  <c r="C8" i="12"/>
  <c r="B41" i="12" l="1"/>
  <c r="C37" i="13"/>
  <c r="B37" i="13"/>
  <c r="C8" i="13"/>
  <c r="B42" i="1"/>
  <c r="D11" i="1" l="1"/>
  <c r="C8" i="1"/>
</calcChain>
</file>

<file path=xl/comments1.xml><?xml version="1.0" encoding="utf-8"?>
<comments xmlns="http://schemas.openxmlformats.org/spreadsheetml/2006/main">
  <authors>
    <author>user020</author>
  </authors>
  <commentList>
    <comment ref="G19" authorId="0">
      <text>
        <r>
          <rPr>
            <b/>
            <sz val="8"/>
            <color indexed="81"/>
            <rFont val="Tahoma"/>
            <family val="2"/>
            <charset val="204"/>
          </rPr>
          <t>user020:</t>
        </r>
        <r>
          <rPr>
            <sz val="8"/>
            <color indexed="81"/>
            <rFont val="Tahoma"/>
            <family val="2"/>
            <charset val="204"/>
          </rPr>
          <t xml:space="preserve">
96508,22- монтаж прибора учета в 2013г.</t>
        </r>
      </text>
    </comment>
  </commentList>
</comments>
</file>

<file path=xl/sharedStrings.xml><?xml version="1.0" encoding="utf-8"?>
<sst xmlns="http://schemas.openxmlformats.org/spreadsheetml/2006/main" count="4114" uniqueCount="293">
  <si>
    <t>1.Техническая характеристика.</t>
  </si>
  <si>
    <t>Адрес</t>
  </si>
  <si>
    <t xml:space="preserve"> Общая площадь, м2</t>
  </si>
  <si>
    <t>кол-во проживающих чел.</t>
  </si>
  <si>
    <t>4 Железнодорожная 46б</t>
  </si>
  <si>
    <t>Итого:</t>
  </si>
  <si>
    <t>руб/м2</t>
  </si>
  <si>
    <t>2.1. Управление многоквартирным домом и содержание общего имущества</t>
  </si>
  <si>
    <t>2.2.Текущий ремонт общего имущества</t>
  </si>
  <si>
    <t xml:space="preserve">2.3.Содержание общедомового прибора учета </t>
  </si>
  <si>
    <t>2.4.Капитальный ремонт</t>
  </si>
  <si>
    <t>Статьи</t>
  </si>
  <si>
    <t>Содержание общего имущества</t>
  </si>
  <si>
    <t>Текущий ремонт</t>
  </si>
  <si>
    <t>Капитальный ремонт</t>
  </si>
  <si>
    <t>Приборы учета</t>
  </si>
  <si>
    <t>Коммунальные ,всего, в том числе:</t>
  </si>
  <si>
    <t>Отопление</t>
  </si>
  <si>
    <t>ГВС</t>
  </si>
  <si>
    <t>ХВС</t>
  </si>
  <si>
    <t>Стоки</t>
  </si>
  <si>
    <t>Наем</t>
  </si>
  <si>
    <t>пени</t>
  </si>
  <si>
    <t xml:space="preserve">Итого </t>
  </si>
  <si>
    <t>руб.</t>
  </si>
  <si>
    <t>Утверждено протоколом общего собрания</t>
  </si>
  <si>
    <t>Наименование</t>
  </si>
  <si>
    <t>Директор ООО УК "Ангара"</t>
  </si>
  <si>
    <t>Д.А. Днепровский</t>
  </si>
  <si>
    <t xml:space="preserve">Выполненно работ согласно актов выполненных работ  </t>
  </si>
  <si>
    <t>Горького, 29</t>
  </si>
  <si>
    <t>Электроэнергия</t>
  </si>
  <si>
    <t>2 Железнодорожная, 4</t>
  </si>
  <si>
    <t>Выполненные работы за отчетный год по текущему ремонту</t>
  </si>
  <si>
    <t>4-я Железнодорожная, 14а</t>
  </si>
  <si>
    <t>Джамбула, 4</t>
  </si>
  <si>
    <t>Пушкина, 13</t>
  </si>
  <si>
    <t>Румянцева, 15а</t>
  </si>
  <si>
    <t>Российская, 25</t>
  </si>
  <si>
    <t>11,03  /  9,34</t>
  </si>
  <si>
    <t>Воронежская, 23</t>
  </si>
  <si>
    <t>Лапина, 17</t>
  </si>
  <si>
    <t>Гоголя, 42б</t>
  </si>
  <si>
    <t>14,50 / 12,50</t>
  </si>
  <si>
    <t>Чайковского, 14</t>
  </si>
  <si>
    <t>Чайковского, 9</t>
  </si>
  <si>
    <t>Чайковского, 9 (нежилые)</t>
  </si>
  <si>
    <t>Гашека, 4а</t>
  </si>
  <si>
    <t>Гашека, 7</t>
  </si>
  <si>
    <t>Мичурина, 7/1</t>
  </si>
  <si>
    <t>Свердлова, 1</t>
  </si>
  <si>
    <t>Шмидта,32</t>
  </si>
  <si>
    <t>Р.Люксембург, 5</t>
  </si>
  <si>
    <t>Согласовано гл.бухгалтер Данилова Ю.В.</t>
  </si>
  <si>
    <t>_________</t>
  </si>
  <si>
    <t>Вывоз снега</t>
  </si>
  <si>
    <t>Карла Маркса,32</t>
  </si>
  <si>
    <t>Пушкина,6</t>
  </si>
  <si>
    <t>Профсоюзная, 15</t>
  </si>
  <si>
    <t>Утепление кровли</t>
  </si>
  <si>
    <t>Ремонт ИТП</t>
  </si>
  <si>
    <t>Установка и обслуживание магн.замка</t>
  </si>
  <si>
    <t>Румянцева, 26</t>
  </si>
  <si>
    <t>Мичурина, 7/2</t>
  </si>
  <si>
    <t>Воронежская,13</t>
  </si>
  <si>
    <t>Воронежская,17</t>
  </si>
  <si>
    <t>Воронежская,19</t>
  </si>
  <si>
    <t>Севастопольская, 145</t>
  </si>
  <si>
    <t>Севастопольская, 147</t>
  </si>
  <si>
    <t>Исп. экономист Токарева Л.В.</t>
  </si>
  <si>
    <t>Отчет  по обслуживанию жилого дома ул.4 Железнодорожная, 46б за  2014 год</t>
  </si>
  <si>
    <t>2.Тарифы действующие в 2014 году</t>
  </si>
  <si>
    <t>3.Информация по начислению ЖКУ  за  2014 год</t>
  </si>
  <si>
    <t>Задолженность  на 01.01.2014г.</t>
  </si>
  <si>
    <t>Начислено, руб. за  2014г.</t>
  </si>
  <si>
    <t>Оплачено квартиросъемщиками, руб. за  2014 г.</t>
  </si>
  <si>
    <t xml:space="preserve"> Задолженность   на 31.12.14г.</t>
  </si>
  <si>
    <t>Расходы ООО УК "Ангара"</t>
  </si>
  <si>
    <t>Финансовый результат</t>
  </si>
  <si>
    <t>5.Работы выполненные по текущему ремонту в 2014 году</t>
  </si>
  <si>
    <t>Ремонт полов</t>
  </si>
  <si>
    <t>Покраска полов</t>
  </si>
  <si>
    <t>Ремонт кровли</t>
  </si>
  <si>
    <t>Отчет  по обслуживанию жилого дома ул. Гоголя,42б  за  2014 год</t>
  </si>
  <si>
    <t>Перерасчеты за 2014г.</t>
  </si>
  <si>
    <t>Отчет  по обслуживанию жилого дома ул. Лапина, 17  за  2014 год</t>
  </si>
  <si>
    <t>Очистка кровли от снега</t>
  </si>
  <si>
    <t>Ремонт эркера</t>
  </si>
  <si>
    <t>Заделка межпанельных швов</t>
  </si>
  <si>
    <t>Отчет  по обслуживанию жилого дома ул. Мичурина, 7 за  2014 год</t>
  </si>
  <si>
    <t>Мичурина, 7</t>
  </si>
  <si>
    <t>Замена каната лифта</t>
  </si>
  <si>
    <t>Отчет  по обслуживанию жилого дома ул. Мичурина, 7/1 за  2014 год</t>
  </si>
  <si>
    <t>Перенос уличного датчика температуры</t>
  </si>
  <si>
    <t>Ремонт 1,2 подъездов до 2-го этажа</t>
  </si>
  <si>
    <t>Отчет  по обслуживанию жилого дома ул. Р.Люксембург, 5 за  2014 год</t>
  </si>
  <si>
    <t>Отчет  по обслуживанию жилого дома ул. Чайковского, 14 за  2014 год</t>
  </si>
  <si>
    <t>Ремонт подъезда</t>
  </si>
  <si>
    <t>Устройство ограждения приямка</t>
  </si>
  <si>
    <t>Отчет  по обслуживанию жилого дома ул. Шмидта, 32 за  2014 год</t>
  </si>
  <si>
    <t>Отчет  по обслуживанию жилого дома ул.2 Железнодорожная, 4  за  2014 год</t>
  </si>
  <si>
    <t>Отчет  по обслуживанию жилого дома ул.4-я Железнодорожная,14а  за  2014 год</t>
  </si>
  <si>
    <t>Отчет  по обслуживанию жилого дома ул. Горького, 29   за  2014 год</t>
  </si>
  <si>
    <t>Ремонт подъездов</t>
  </si>
  <si>
    <t>Отчет  по обслуживанию жилого дома ул. Джамбула, 4  за  2014 год</t>
  </si>
  <si>
    <t>Отчет  по обслуживанию жилого дома ул. Пушкина, 13  за  2014 год</t>
  </si>
  <si>
    <t>Отчет  по обслуживанию жилого дома ул. Российская, 25  за  2014 год</t>
  </si>
  <si>
    <t>Отчет  по обслуживанию жилого дома ул. Румянцева, 15а  за  2014 год</t>
  </si>
  <si>
    <t>Отчет  по обслуживанию жилого дома ул. Воронежская, 23  за  2014 год</t>
  </si>
  <si>
    <t>8,5/1,5</t>
  </si>
  <si>
    <t>разовое в июне 2014 за монтаж прибора учета, произведенного в 2013г.</t>
  </si>
  <si>
    <t>Благоустройство территории</t>
  </si>
  <si>
    <t>Монтаж пластиковых окон</t>
  </si>
  <si>
    <t>76/2,46</t>
  </si>
  <si>
    <t>Диагностика насоса</t>
  </si>
  <si>
    <t>Замена насоса</t>
  </si>
  <si>
    <t>Замена окон</t>
  </si>
  <si>
    <t>Поверка прибора учета тепловой энергии</t>
  </si>
  <si>
    <t>Текущий ремонт накопительный остаток</t>
  </si>
  <si>
    <t>нет начислений</t>
  </si>
  <si>
    <t>Отчет  по обслуживанию жилого дома ул. Чайковского, 9 за  2014 год</t>
  </si>
  <si>
    <t>Уборка снега с крыши</t>
  </si>
  <si>
    <t>Замена, поверка термометров</t>
  </si>
  <si>
    <t>Отчет  по обслуживанию жилого дома ул. Свердлова, 1 за  2014 год</t>
  </si>
  <si>
    <t>Монтаж дверного доводчика</t>
  </si>
  <si>
    <t>Установка блока питания</t>
  </si>
  <si>
    <t>Работы по установке домофона и магн. Замка</t>
  </si>
  <si>
    <t>Изготовление, покраска, монтаж мет. Двери</t>
  </si>
  <si>
    <t>Ремонт в итп, установка насоса</t>
  </si>
  <si>
    <t>Отчет  по обслуживанию жилого дома ул. Гашека, 4а за  2014 год</t>
  </si>
  <si>
    <t>Замена почт.ящиков</t>
  </si>
  <si>
    <t>Отчет  по обслуживанию жилого дома ул. Гашека, 7 за  2014 год</t>
  </si>
  <si>
    <t>Установка электросчетчика</t>
  </si>
  <si>
    <t>Отчет  по обслуживанию жилого дома ул. Румянцева, 26 за  2014 год</t>
  </si>
  <si>
    <t>Герметизация и укрепление участков кровли</t>
  </si>
  <si>
    <t>Отчет  по обслуживанию жилого дома ул. Мичурина, 7/2  за  2014 год</t>
  </si>
  <si>
    <t>Отчет  по обслуживанию жилого дома ул. Пушкина, 6  за  2014 год</t>
  </si>
  <si>
    <t xml:space="preserve">Установка кранов </t>
  </si>
  <si>
    <t>Ремонт системы отопления</t>
  </si>
  <si>
    <t>Отчет  по обслуживанию жилого дома ул. Профсоюзная,15  за  2014 год</t>
  </si>
  <si>
    <t>Неоплаченный остаток  на 01.01.2014г.</t>
  </si>
  <si>
    <t>Неоплаченный остаток   на 31.12.14г.</t>
  </si>
  <si>
    <t>Устройство теплоизоляции</t>
  </si>
  <si>
    <t>Отчет  по обслуживанию жилого дома ул. Карла Маркса, 32  за  2014 год</t>
  </si>
  <si>
    <t>Удаление сосулек</t>
  </si>
  <si>
    <t>Установка окон</t>
  </si>
  <si>
    <t>ТМЦ (счетчик, фильтр, профнастил)</t>
  </si>
  <si>
    <t>Отчет  по обслуживанию жилого дома ул. Воронежская, 13 за  2014 год</t>
  </si>
  <si>
    <t>Отчет  по обслуживанию жилого дома ул. Воронежская, 17 за  2014 год</t>
  </si>
  <si>
    <t>Покраска пола</t>
  </si>
  <si>
    <t>Отчет  по обслуживанию жилого дома ул. Воронежская, 19 за  2014 год</t>
  </si>
  <si>
    <t>9/12</t>
  </si>
  <si>
    <t>Отчет  по обслуживанию жилого дома ул.Севастопольская, 145 за  2014 год</t>
  </si>
  <si>
    <t>Благоустройство придомовой территории</t>
  </si>
  <si>
    <t>Отчет  по обслуживанию жилого дома ул.Севастопольская, 147 за  2014 год</t>
  </si>
  <si>
    <t>Установка магн. замка, контроллера</t>
  </si>
  <si>
    <t>Отчет  по обслуживанию жилого дома ул.Профсоюзная, 4 за  2014 год</t>
  </si>
  <si>
    <t>Профсоюзная, 4</t>
  </si>
  <si>
    <t>Прочистка вентиляционной системы</t>
  </si>
  <si>
    <t>Разработка проектно-сметной документации</t>
  </si>
  <si>
    <t>Уборка снега с крыши дома</t>
  </si>
  <si>
    <t>Отчет  по обслуживанию жилого дома пер. 15-ый Советский, 17 за  2014 год</t>
  </si>
  <si>
    <t>15-ый Советский, 17</t>
  </si>
  <si>
    <t>Отчет  по обслуживанию жилого дома пер. 1-ый Советский, 1 за  2014 год</t>
  </si>
  <si>
    <t>1-ый Советский, 1</t>
  </si>
  <si>
    <t>Отчет  по обслуживанию жилого дома пер. 1-ый Советский, 2 за  2014 год</t>
  </si>
  <si>
    <t>1-ый Советский, 2</t>
  </si>
  <si>
    <t>Отчет  по обслуживанию жилого дома пер. 1-ый Советский, 3 за  2014 год</t>
  </si>
  <si>
    <t>1-ый Советский, 3</t>
  </si>
  <si>
    <t>Отчет  по обслуживанию жилого дома пер. 1-ый Советский, 4 за  2014 год</t>
  </si>
  <si>
    <t>1-ый Советский, 4</t>
  </si>
  <si>
    <t>Отчет  по обслуживанию жилого дома пер. 1-ый Советский, 5 за  2014 год</t>
  </si>
  <si>
    <t>1-ый Советский, 5</t>
  </si>
  <si>
    <t>Отчет  по обслуживанию жилого дома пер. 1-ый Советский, 6 за  2014 год</t>
  </si>
  <si>
    <t>1-ый Советский, 6</t>
  </si>
  <si>
    <t>Отчет  по обслуживанию жилого дома пер. 1-ый Советский, 7за  2014 год</t>
  </si>
  <si>
    <t>1-ый Советский, 7</t>
  </si>
  <si>
    <t>Отчет  по обслуживанию жилого дома ул. Грязнова, 15а за  2014 год</t>
  </si>
  <si>
    <t>Грязнова, 15а</t>
  </si>
  <si>
    <t>Отчет  по обслуживанию жилого дома ул. Грязнова, 15в за  2014 год</t>
  </si>
  <si>
    <t>Грязнова, 15в</t>
  </si>
  <si>
    <t>Отчет  по обслуживанию жилого дома ул. Грязнова, 18 за  2014 год</t>
  </si>
  <si>
    <t>Грязнова, 18</t>
  </si>
  <si>
    <t>Отчет  по обслуживанию жилого дома ул. Грязнова, 26 за  2014 год</t>
  </si>
  <si>
    <t>Грязнова, 26</t>
  </si>
  <si>
    <t>Отчет  по обслуживанию жилого дома ул. Р. Штаба, 18а за  2014 год</t>
  </si>
  <si>
    <t>Р. Штаба, 18а</t>
  </si>
  <si>
    <t>Отчет  по обслуживанию жилого дома ул. Р. Штаба, 18б за  2014 год</t>
  </si>
  <si>
    <t>Р. Штаба, 18б</t>
  </si>
  <si>
    <t>Отчет  по обслуживанию жилого дома ул. Р. Штаба, 18д за  2014 год</t>
  </si>
  <si>
    <t>Р. Штаба, 18д</t>
  </si>
  <si>
    <t>Отчет  по обслуживанию жилого дома ул. Свердлова, 38 за  2014 год</t>
  </si>
  <si>
    <t>Свердлова, 38</t>
  </si>
  <si>
    <t>Вывоз снега с придомовой территории</t>
  </si>
  <si>
    <t>Отчет  по обслуживанию жилого дома ул. 4-я Железнодорожная, 23ж за  2014 год</t>
  </si>
  <si>
    <t>4-я Железнодорожная, 23ж</t>
  </si>
  <si>
    <t>Ремонт канализации в межэтажном перекрытии</t>
  </si>
  <si>
    <t>Отчет  по обслуживанию жилого дома ул.Р. Люксембург, 80 за  2014 год</t>
  </si>
  <si>
    <t>Р. Люксембург, 80</t>
  </si>
  <si>
    <t>Установка магнитного замка контроллера и считывателя</t>
  </si>
  <si>
    <t>Отчет  по обслуживанию жилого дома ул.Р. Люксембург, 78 за  2014 год</t>
  </si>
  <si>
    <t>Р. Люксембург, 78</t>
  </si>
  <si>
    <t>Отчет  по обслуживанию жилого дома ул.Р. Люксембург, 70 за  2014 год</t>
  </si>
  <si>
    <t>Отчет  по обслуживанию жилого дома ул.Р. Люксембург, 72 за  2014 год</t>
  </si>
  <si>
    <t>Р. Люксембург, 72</t>
  </si>
  <si>
    <t>Р. Люксембург, 70</t>
  </si>
  <si>
    <t>Отчет  по обслуживанию жилого дома ул.Р. Люксембург, 154 за  2014 год</t>
  </si>
  <si>
    <t>Р. Люксембург, 154</t>
  </si>
  <si>
    <t>Установка фильтра</t>
  </si>
  <si>
    <t>Отчет  по обслуживанию жилого дома ул.Р. Люксембург, 136а за  2014 год</t>
  </si>
  <si>
    <t>Р. Люксембург, 136а</t>
  </si>
  <si>
    <t>Ремонт канализации</t>
  </si>
  <si>
    <t>Отчет  по обслуживанию жилого дома ул.Р. Люксембург, 136б за  2014 год</t>
  </si>
  <si>
    <t>Р. Люксембург, 136б</t>
  </si>
  <si>
    <t>Отчет  по обслуживанию жилого дома ул.Р. Люксембург, 136в за  2014 год</t>
  </si>
  <si>
    <t>Р. Люксембург, 136в</t>
  </si>
  <si>
    <t>Отчет  по обслуживанию жилого дома ул.Чайковского, 10 за  2014 год</t>
  </si>
  <si>
    <t>Чайковского, 10</t>
  </si>
  <si>
    <t>Отчет  по обслуживанию жилого дома ул.Чайковского, 16/1 за  2014 год</t>
  </si>
  <si>
    <t>Чайковского, 16/1</t>
  </si>
  <si>
    <t>Отчет  по обслуживанию жилого дома ул.Баумана, 162 за  2014 год</t>
  </si>
  <si>
    <t>Баумана, 162</t>
  </si>
  <si>
    <t>Отчет  по обслуживанию жилого дома ул.Терешковой, 49 за  2014 год</t>
  </si>
  <si>
    <t>Терешковой, 49</t>
  </si>
  <si>
    <t>Отчет  по обслуживанию жилого дома ул.Баррикад, 17 за  2014 год</t>
  </si>
  <si>
    <t>Баррикад, 17</t>
  </si>
  <si>
    <t>Отчет  по обслуживанию жилого дома ул.Первомайская, 38а за  2014 год</t>
  </si>
  <si>
    <t>Первомайская, 38а</t>
  </si>
  <si>
    <t>Отчет  по обслуживанию жилого дома ул.Киренская, 2а за  2014 год</t>
  </si>
  <si>
    <t>Киренская, 2а</t>
  </si>
  <si>
    <t>Отчет  по обслуживанию жилого дома ул.Полярная, 74 за  2014 год</t>
  </si>
  <si>
    <t>Полярная, 74</t>
  </si>
  <si>
    <t>Отчет  по обслуживанию жилого дома ул.Полярная, 76 за  2014 год</t>
  </si>
  <si>
    <t>Полярная, 76</t>
  </si>
  <si>
    <t>Отчет  по обслуживанию жилого дома ул.Полярная, 78 за  2014 год</t>
  </si>
  <si>
    <t>Полярная, 78</t>
  </si>
  <si>
    <t>Отчет  по обслуживанию жилого дома ул.Полярная, 86 за  2014 год</t>
  </si>
  <si>
    <t>Полярная, 86</t>
  </si>
  <si>
    <t>Отчет  по обслуживанию жилого дома ул.Пушкина, 4 за  2014 год</t>
  </si>
  <si>
    <t>Пушкина, 4</t>
  </si>
  <si>
    <t>Отчет  по обслуживанию жилого дома ул.Рабоче-Крестьянская, 2 за  2014 год</t>
  </si>
  <si>
    <t>Рабоче-Крестьянская, 2</t>
  </si>
  <si>
    <t>Отчет  по обслуживанию жилого дома ул.Рабоче-Крестьянская, 3 за  2014 год</t>
  </si>
  <si>
    <t>Рабоче-Крестьянская, 3</t>
  </si>
  <si>
    <t>Отчет  по обслуживанию жилого дома ул.Воронежская, 21 за  2014 год</t>
  </si>
  <si>
    <t>Воронежская, 21</t>
  </si>
  <si>
    <t>Отчет  по обслуживанию жилого дома ул.Профсоюзная, 6а за  2014 год</t>
  </si>
  <si>
    <t>Профсоюзная, 6а</t>
  </si>
  <si>
    <t>Отчет  по обслуживанию жилого дома ул.Профсоюзная, 6е за  2014 год</t>
  </si>
  <si>
    <t>Профсоюзная, 6е</t>
  </si>
  <si>
    <t>Отчет  по обслуживанию жилого дома ул.Ямская, 13 за  2014 год</t>
  </si>
  <si>
    <t>Ямская, 13</t>
  </si>
  <si>
    <t>Ремонт теплосчетчика с заменой платы обработки</t>
  </si>
  <si>
    <t>Электромонтажные работы (Демонтаж, монтаж теплосчетчика для ремонта)</t>
  </si>
  <si>
    <t>Отчет  по обслуживанию жилого дома м-он.Радужный, 74 за  2014 год</t>
  </si>
  <si>
    <t>Радужный, 74</t>
  </si>
  <si>
    <t>Ремонт в ИТП, установка насоса</t>
  </si>
  <si>
    <t>Отчет  по обслуживанию жилого дома ул. Баумана, 235а/1 за  2014 год</t>
  </si>
  <si>
    <t>Баумана, 235а/1</t>
  </si>
  <si>
    <t>Отчет  по обслуживанию жилого дома ул. 3-я Железнодорожная, 66 за  2014 год</t>
  </si>
  <si>
    <t>3-я Железнодорожная, 66</t>
  </si>
  <si>
    <t>Монтаж диспетчерского контроля</t>
  </si>
  <si>
    <t>Отчет  по обслуживанию жилого дома ул. 4-я Железнодорожная, 46а за  2014 год</t>
  </si>
  <si>
    <t>4-я Железнодорожная, 46а</t>
  </si>
  <si>
    <t>5,54/57,28</t>
  </si>
  <si>
    <t>19,32/38,06</t>
  </si>
  <si>
    <t>Ремонт расходомера</t>
  </si>
  <si>
    <t>Уборка снега</t>
  </si>
  <si>
    <t>Монтаж видеонаблюдения</t>
  </si>
  <si>
    <t>Почтовые ящики</t>
  </si>
  <si>
    <t>Изготовление и монтаж мет. Двери</t>
  </si>
  <si>
    <t>Материалы для ремонтных работ</t>
  </si>
  <si>
    <t>4.Работы выполненные по текущему ремонту в 2014 году</t>
  </si>
  <si>
    <t>Материалы для сан-технических работ</t>
  </si>
  <si>
    <t>нет начислений, было разовое за ремонт в 2013г.</t>
  </si>
  <si>
    <t>Поверка прибора учета</t>
  </si>
  <si>
    <t>Утепление термафлексом</t>
  </si>
  <si>
    <t>Восстановление домофона, замена процессора, замена блока питания</t>
  </si>
  <si>
    <t>Ремонт газовода</t>
  </si>
  <si>
    <t>Автотранспортные услуги (вывоз снега)</t>
  </si>
  <si>
    <t>Очистка кровли от сосулек</t>
  </si>
  <si>
    <t>Проливка и настройка общедомового прибора учета</t>
  </si>
  <si>
    <t>Материалы для выполнения сан-технических работ (замена задвижек)</t>
  </si>
  <si>
    <t>Материалы для сан-технических работ (ремонт канализации)</t>
  </si>
  <si>
    <t>Эл. Счетчики</t>
  </si>
  <si>
    <t>Замена насоса на отопление</t>
  </si>
  <si>
    <t>Монтаж электрического освещение в подвале</t>
  </si>
  <si>
    <t>Диагностика и мелкий ремонт насоса на отопление</t>
  </si>
  <si>
    <t>Текущий ремонт накопительный остаток с 2012г.</t>
  </si>
  <si>
    <t>Текущий ремонт накопительный остаток с 2011г.</t>
  </si>
  <si>
    <t>Текущий ремонт накопительный остаток с 2013г.</t>
  </si>
  <si>
    <t>Материалы для сан-технических работ (задвижки)</t>
  </si>
  <si>
    <t xml:space="preserve">руб. с 2013г.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</si>
</sst>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charset val="204"/>
      <scheme val="minor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name val="Arial"/>
      <family val="2"/>
    </font>
    <font>
      <b/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1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Arial"/>
      <family val="2"/>
      <charset val="204"/>
    </font>
    <font>
      <i/>
      <sz val="12"/>
      <name val="Arial"/>
      <family val="2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968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3" fillId="0" borderId="0" xfId="0" applyFont="1" applyBorder="1"/>
    <xf numFmtId="4" fontId="3" fillId="0" borderId="0" xfId="0" applyNumberFormat="1" applyFont="1" applyBorder="1"/>
    <xf numFmtId="0" fontId="0" fillId="0" borderId="0" xfId="0" applyBorder="1"/>
    <xf numFmtId="4" fontId="0" fillId="0" borderId="0" xfId="0" applyNumberFormat="1" applyBorder="1"/>
    <xf numFmtId="4" fontId="5" fillId="0" borderId="0" xfId="0" applyNumberFormat="1" applyFont="1" applyBorder="1"/>
    <xf numFmtId="4" fontId="4" fillId="0" borderId="0" xfId="0" applyNumberFormat="1" applyFont="1" applyFill="1" applyBorder="1"/>
    <xf numFmtId="4" fontId="4" fillId="0" borderId="0" xfId="0" applyNumberFormat="1" applyFont="1" applyBorder="1"/>
    <xf numFmtId="4" fontId="6" fillId="0" borderId="0" xfId="0" applyNumberFormat="1" applyFont="1" applyFill="1" applyBorder="1"/>
    <xf numFmtId="2" fontId="0" fillId="0" borderId="0" xfId="0" applyNumberFormat="1"/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1" fillId="0" borderId="0" xfId="0" applyFont="1"/>
    <xf numFmtId="4" fontId="8" fillId="0" borderId="0" xfId="0" applyNumberFormat="1" applyFont="1" applyFill="1" applyBorder="1"/>
    <xf numFmtId="4" fontId="8" fillId="0" borderId="0" xfId="0" applyNumberFormat="1" applyFont="1" applyBorder="1"/>
    <xf numFmtId="0" fontId="7" fillId="0" borderId="0" xfId="0" applyFont="1" applyBorder="1"/>
    <xf numFmtId="4" fontId="8" fillId="3" borderId="0" xfId="0" applyNumberFormat="1" applyFont="1" applyFill="1" applyBorder="1"/>
    <xf numFmtId="0" fontId="0" fillId="4" borderId="0" xfId="0" applyFill="1" applyBorder="1"/>
    <xf numFmtId="0" fontId="3" fillId="4" borderId="0" xfId="0" applyFont="1" applyFill="1" applyBorder="1"/>
    <xf numFmtId="4" fontId="3" fillId="4" borderId="0" xfId="0" applyNumberFormat="1" applyFont="1" applyFill="1" applyBorder="1"/>
    <xf numFmtId="4" fontId="0" fillId="4" borderId="0" xfId="0" applyNumberFormat="1" applyFill="1" applyBorder="1"/>
    <xf numFmtId="0" fontId="2" fillId="0" borderId="0" xfId="0" applyFont="1"/>
    <xf numFmtId="4" fontId="1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0" borderId="0" xfId="0" applyNumberFormat="1" applyFont="1" applyBorder="1"/>
    <xf numFmtId="4" fontId="10" fillId="0" borderId="0" xfId="0" applyNumberFormat="1" applyFont="1"/>
    <xf numFmtId="4" fontId="9" fillId="0" borderId="0" xfId="0" applyNumberFormat="1" applyFont="1" applyBorder="1"/>
    <xf numFmtId="0" fontId="11" fillId="0" borderId="0" xfId="0" applyFont="1" applyFill="1" applyBorder="1"/>
    <xf numFmtId="4" fontId="9" fillId="0" borderId="20" xfId="0" applyNumberFormat="1" applyFont="1" applyBorder="1"/>
    <xf numFmtId="0" fontId="9" fillId="0" borderId="8" xfId="0" applyFont="1" applyBorder="1"/>
    <xf numFmtId="4" fontId="12" fillId="3" borderId="0" xfId="0" applyNumberFormat="1" applyFont="1" applyFill="1" applyBorder="1"/>
    <xf numFmtId="4" fontId="14" fillId="3" borderId="0" xfId="0" applyNumberFormat="1" applyFont="1" applyFill="1" applyBorder="1"/>
    <xf numFmtId="4" fontId="15" fillId="0" borderId="0" xfId="0" applyNumberFormat="1" applyFont="1" applyFill="1" applyBorder="1"/>
    <xf numFmtId="0" fontId="13" fillId="0" borderId="0" xfId="0" applyFont="1" applyBorder="1"/>
    <xf numFmtId="4" fontId="13" fillId="0" borderId="0" xfId="0" applyNumberFormat="1" applyFont="1" applyBorder="1"/>
    <xf numFmtId="0" fontId="16" fillId="0" borderId="0" xfId="0" applyFont="1" applyBorder="1"/>
    <xf numFmtId="4" fontId="17" fillId="0" borderId="0" xfId="0" applyNumberFormat="1" applyFont="1" applyBorder="1"/>
    <xf numFmtId="4" fontId="18" fillId="0" borderId="0" xfId="0" applyNumberFormat="1" applyFont="1" applyFill="1" applyBorder="1"/>
    <xf numFmtId="4" fontId="16" fillId="0" borderId="0" xfId="0" applyNumberFormat="1" applyFont="1" applyBorder="1" applyAlignment="1">
      <alignment horizontal="center"/>
    </xf>
    <xf numFmtId="4" fontId="9" fillId="2" borderId="0" xfId="0" applyNumberFormat="1" applyFont="1" applyFill="1"/>
    <xf numFmtId="0" fontId="9" fillId="0" borderId="17" xfId="0" applyFont="1" applyBorder="1"/>
    <xf numFmtId="4" fontId="9" fillId="2" borderId="0" xfId="0" applyNumberFormat="1" applyFont="1" applyFill="1" applyBorder="1"/>
    <xf numFmtId="0" fontId="9" fillId="0" borderId="9" xfId="0" applyFont="1" applyBorder="1"/>
    <xf numFmtId="0" fontId="21" fillId="0" borderId="37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9" fillId="0" borderId="29" xfId="0" applyFont="1" applyBorder="1"/>
    <xf numFmtId="0" fontId="9" fillId="0" borderId="10" xfId="0" applyFont="1" applyBorder="1"/>
    <xf numFmtId="4" fontId="20" fillId="0" borderId="36" xfId="2" applyNumberFormat="1" applyFont="1" applyBorder="1" applyAlignment="1">
      <alignment horizontal="right" vertical="top"/>
    </xf>
    <xf numFmtId="4" fontId="20" fillId="0" borderId="36" xfId="4" applyNumberFormat="1" applyFont="1" applyBorder="1" applyAlignment="1">
      <alignment horizontal="right" vertical="top"/>
    </xf>
    <xf numFmtId="4" fontId="23" fillId="0" borderId="36" xfId="2" applyNumberFormat="1" applyFont="1" applyBorder="1" applyAlignment="1">
      <alignment horizontal="right" vertical="top"/>
    </xf>
    <xf numFmtId="4" fontId="20" fillId="0" borderId="32" xfId="5" applyNumberFormat="1" applyFont="1" applyBorder="1" applyAlignment="1">
      <alignment horizontal="right" vertical="top"/>
    </xf>
    <xf numFmtId="4" fontId="22" fillId="3" borderId="43" xfId="6" applyNumberFormat="1" applyFont="1" applyFill="1" applyBorder="1" applyAlignment="1">
      <alignment horizontal="right" vertical="top" wrapText="1"/>
    </xf>
    <xf numFmtId="4" fontId="20" fillId="0" borderId="32" xfId="9" applyNumberFormat="1" applyFont="1" applyBorder="1" applyAlignment="1">
      <alignment horizontal="right" vertical="top"/>
    </xf>
    <xf numFmtId="4" fontId="20" fillId="0" borderId="36" xfId="9" applyNumberFormat="1" applyFont="1" applyBorder="1" applyAlignment="1">
      <alignment horizontal="right" vertical="top"/>
    </xf>
    <xf numFmtId="4" fontId="20" fillId="0" borderId="32" xfId="11" applyNumberFormat="1" applyFont="1" applyBorder="1" applyAlignment="1">
      <alignment horizontal="right" vertical="top"/>
    </xf>
    <xf numFmtId="4" fontId="20" fillId="0" borderId="32" xfId="6" applyNumberFormat="1" applyFont="1" applyBorder="1" applyAlignment="1">
      <alignment horizontal="right" vertical="top"/>
    </xf>
    <xf numFmtId="4" fontId="20" fillId="0" borderId="36" xfId="6" applyNumberFormat="1" applyFont="1" applyBorder="1" applyAlignment="1">
      <alignment horizontal="right" vertical="top"/>
    </xf>
    <xf numFmtId="4" fontId="20" fillId="0" borderId="36" xfId="14" applyNumberFormat="1" applyFont="1" applyBorder="1" applyAlignment="1">
      <alignment horizontal="right" vertical="top"/>
    </xf>
    <xf numFmtId="4" fontId="20" fillId="0" borderId="36" xfId="16" applyNumberFormat="1" applyFont="1" applyBorder="1" applyAlignment="1">
      <alignment horizontal="right" vertical="top"/>
    </xf>
    <xf numFmtId="4" fontId="20" fillId="0" borderId="32" xfId="16" applyNumberFormat="1" applyFont="1" applyBorder="1" applyAlignment="1">
      <alignment horizontal="right" vertical="top"/>
    </xf>
    <xf numFmtId="4" fontId="20" fillId="0" borderId="36" xfId="17" applyNumberFormat="1" applyFont="1" applyBorder="1" applyAlignment="1">
      <alignment horizontal="right" vertical="top"/>
    </xf>
    <xf numFmtId="4" fontId="20" fillId="0" borderId="32" xfId="18" applyNumberFormat="1" applyFont="1" applyBorder="1" applyAlignment="1">
      <alignment horizontal="right" vertical="top"/>
    </xf>
    <xf numFmtId="4" fontId="24" fillId="0" borderId="44" xfId="18" applyNumberFormat="1" applyFont="1" applyBorder="1" applyAlignment="1">
      <alignment horizontal="right" vertical="top"/>
    </xf>
    <xf numFmtId="4" fontId="20" fillId="0" borderId="36" xfId="18" applyNumberFormat="1" applyFont="1" applyBorder="1" applyAlignment="1">
      <alignment horizontal="right" vertical="top"/>
    </xf>
    <xf numFmtId="4" fontId="20" fillId="0" borderId="32" xfId="19" applyNumberFormat="1" applyFont="1" applyBorder="1" applyAlignment="1">
      <alignment horizontal="right" vertical="top"/>
    </xf>
    <xf numFmtId="4" fontId="20" fillId="0" borderId="36" xfId="19" applyNumberFormat="1" applyFont="1" applyBorder="1" applyAlignment="1">
      <alignment horizontal="right" vertical="top"/>
    </xf>
    <xf numFmtId="4" fontId="20" fillId="0" borderId="32" xfId="20" applyNumberFormat="1" applyFont="1" applyBorder="1" applyAlignment="1">
      <alignment horizontal="right" vertical="top"/>
    </xf>
    <xf numFmtId="4" fontId="20" fillId="0" borderId="36" xfId="20" applyNumberFormat="1" applyFont="1" applyBorder="1" applyAlignment="1">
      <alignment horizontal="right" vertical="top"/>
    </xf>
    <xf numFmtId="4" fontId="20" fillId="0" borderId="36" xfId="21" applyNumberFormat="1" applyFont="1" applyBorder="1" applyAlignment="1">
      <alignment horizontal="right" vertical="top"/>
    </xf>
    <xf numFmtId="4" fontId="20" fillId="0" borderId="32" xfId="21" applyNumberFormat="1" applyFont="1" applyBorder="1" applyAlignment="1">
      <alignment horizontal="right" vertical="top"/>
    </xf>
    <xf numFmtId="4" fontId="20" fillId="0" borderId="36" xfId="24" applyNumberFormat="1" applyFont="1" applyBorder="1" applyAlignment="1">
      <alignment horizontal="right" vertical="top"/>
    </xf>
    <xf numFmtId="4" fontId="20" fillId="0" borderId="32" xfId="25" applyNumberFormat="1" applyFont="1" applyBorder="1" applyAlignment="1">
      <alignment horizontal="right" vertical="top"/>
    </xf>
    <xf numFmtId="4" fontId="20" fillId="0" borderId="36" xfId="25" applyNumberFormat="1" applyFont="1" applyBorder="1" applyAlignment="1">
      <alignment horizontal="right" vertical="top"/>
    </xf>
    <xf numFmtId="4" fontId="20" fillId="0" borderId="32" xfId="26" applyNumberFormat="1" applyFont="1" applyBorder="1" applyAlignment="1">
      <alignment horizontal="right" vertical="top"/>
    </xf>
    <xf numFmtId="4" fontId="20" fillId="0" borderId="36" xfId="26" applyNumberFormat="1" applyFont="1" applyBorder="1" applyAlignment="1">
      <alignment horizontal="right" vertical="top"/>
    </xf>
    <xf numFmtId="4" fontId="20" fillId="0" borderId="32" xfId="27" applyNumberFormat="1" applyFont="1" applyBorder="1" applyAlignment="1">
      <alignment horizontal="right" vertical="top"/>
    </xf>
    <xf numFmtId="4" fontId="20" fillId="0" borderId="36" xfId="27" applyNumberFormat="1" applyFont="1" applyBorder="1" applyAlignment="1">
      <alignment horizontal="right" vertical="top"/>
    </xf>
    <xf numFmtId="4" fontId="20" fillId="0" borderId="36" xfId="28" applyNumberFormat="1" applyFont="1" applyBorder="1" applyAlignment="1">
      <alignment horizontal="right" vertical="top"/>
    </xf>
    <xf numFmtId="4" fontId="20" fillId="0" borderId="32" xfId="28" applyNumberFormat="1" applyFont="1" applyBorder="1" applyAlignment="1">
      <alignment horizontal="right" vertical="top"/>
    </xf>
    <xf numFmtId="4" fontId="20" fillId="0" borderId="32" xfId="30" applyNumberFormat="1" applyFont="1" applyBorder="1" applyAlignment="1">
      <alignment horizontal="right" vertical="top"/>
    </xf>
    <xf numFmtId="4" fontId="20" fillId="0" borderId="32" xfId="36" applyNumberFormat="1" applyFont="1" applyBorder="1" applyAlignment="1">
      <alignment horizontal="right" vertical="top"/>
    </xf>
    <xf numFmtId="4" fontId="20" fillId="0" borderId="36" xfId="53" applyNumberFormat="1" applyFont="1" applyBorder="1" applyAlignment="1">
      <alignment horizontal="right" vertical="top"/>
    </xf>
    <xf numFmtId="4" fontId="20" fillId="0" borderId="36" xfId="77" applyNumberFormat="1" applyFont="1" applyBorder="1" applyAlignment="1">
      <alignment horizontal="right" vertical="top"/>
    </xf>
    <xf numFmtId="4" fontId="20" fillId="0" borderId="36" xfId="78" applyNumberFormat="1" applyFont="1" applyBorder="1" applyAlignment="1">
      <alignment horizontal="right" vertical="top"/>
    </xf>
    <xf numFmtId="4" fontId="0" fillId="0" borderId="10" xfId="0" applyNumberFormat="1" applyFont="1" applyBorder="1"/>
    <xf numFmtId="4" fontId="27" fillId="3" borderId="13" xfId="15" applyNumberFormat="1" applyFont="1" applyFill="1" applyBorder="1" applyAlignment="1">
      <alignment horizontal="right" vertical="top" wrapText="1"/>
    </xf>
    <xf numFmtId="4" fontId="0" fillId="0" borderId="18" xfId="0" applyNumberFormat="1" applyFont="1" applyBorder="1"/>
    <xf numFmtId="0" fontId="0" fillId="0" borderId="8" xfId="0" applyFont="1" applyBorder="1"/>
    <xf numFmtId="0" fontId="29" fillId="0" borderId="0" xfId="0" applyFont="1" applyBorder="1"/>
    <xf numFmtId="4" fontId="29" fillId="0" borderId="0" xfId="0" applyNumberFormat="1" applyFont="1" applyBorder="1"/>
    <xf numFmtId="4" fontId="30" fillId="0" borderId="0" xfId="0" applyNumberFormat="1" applyFont="1" applyFill="1" applyBorder="1"/>
    <xf numFmtId="4" fontId="31" fillId="0" borderId="0" xfId="0" applyNumberFormat="1" applyFont="1" applyBorder="1"/>
    <xf numFmtId="4" fontId="32" fillId="0" borderId="0" xfId="0" applyNumberFormat="1" applyFont="1" applyFill="1" applyBorder="1"/>
    <xf numFmtId="0" fontId="31" fillId="0" borderId="0" xfId="0" applyFont="1" applyBorder="1" applyAlignment="1">
      <alignment wrapText="1"/>
    </xf>
    <xf numFmtId="4" fontId="33" fillId="0" borderId="0" xfId="0" applyNumberFormat="1" applyFont="1"/>
    <xf numFmtId="4" fontId="34" fillId="0" borderId="0" xfId="0" applyNumberFormat="1" applyFont="1"/>
    <xf numFmtId="0" fontId="29" fillId="0" borderId="0" xfId="0" applyFont="1"/>
    <xf numFmtId="0" fontId="33" fillId="2" borderId="0" xfId="0" applyFont="1" applyFill="1"/>
    <xf numFmtId="4" fontId="35" fillId="2" borderId="0" xfId="0" applyNumberFormat="1" applyFont="1" applyFill="1"/>
    <xf numFmtId="0" fontId="33" fillId="0" borderId="1" xfId="0" applyFont="1" applyBorder="1"/>
    <xf numFmtId="4" fontId="33" fillId="0" borderId="2" xfId="0" applyNumberFormat="1" applyFont="1" applyBorder="1"/>
    <xf numFmtId="4" fontId="33" fillId="0" borderId="3" xfId="0" applyNumberFormat="1" applyFont="1" applyBorder="1" applyAlignment="1">
      <alignment horizontal="center" vertical="center" wrapText="1"/>
    </xf>
    <xf numFmtId="4" fontId="33" fillId="0" borderId="4" xfId="0" applyNumberFormat="1" applyFont="1" applyBorder="1" applyAlignment="1">
      <alignment horizontal="center" vertical="center" wrapText="1"/>
    </xf>
    <xf numFmtId="0" fontId="33" fillId="0" borderId="35" xfId="0" applyFont="1" applyBorder="1"/>
    <xf numFmtId="4" fontId="33" fillId="0" borderId="26" xfId="0" applyNumberFormat="1" applyFont="1" applyBorder="1"/>
    <xf numFmtId="3" fontId="33" fillId="0" borderId="28" xfId="0" applyNumberFormat="1" applyFont="1" applyBorder="1"/>
    <xf numFmtId="0" fontId="33" fillId="0" borderId="5" xfId="0" applyFont="1" applyBorder="1"/>
    <xf numFmtId="4" fontId="33" fillId="0" borderId="9" xfId="0" applyNumberFormat="1" applyFont="1" applyBorder="1"/>
    <xf numFmtId="3" fontId="33" fillId="0" borderId="10" xfId="0" applyNumberFormat="1" applyFont="1" applyBorder="1"/>
    <xf numFmtId="0" fontId="33" fillId="0" borderId="11" xfId="0" applyFont="1" applyBorder="1"/>
    <xf numFmtId="4" fontId="33" fillId="0" borderId="12" xfId="0" applyNumberFormat="1" applyFont="1" applyBorder="1"/>
    <xf numFmtId="0" fontId="36" fillId="0" borderId="0" xfId="0" applyFont="1" applyBorder="1"/>
    <xf numFmtId="4" fontId="36" fillId="0" borderId="0" xfId="0" applyNumberFormat="1" applyFont="1" applyBorder="1"/>
    <xf numFmtId="3" fontId="36" fillId="0" borderId="0" xfId="0" applyNumberFormat="1" applyFont="1" applyBorder="1"/>
    <xf numFmtId="0" fontId="33" fillId="2" borderId="14" xfId="0" applyFont="1" applyFill="1" applyBorder="1"/>
    <xf numFmtId="4" fontId="33" fillId="2" borderId="15" xfId="0" applyNumberFormat="1" applyFont="1" applyFill="1" applyBorder="1"/>
    <xf numFmtId="3" fontId="33" fillId="2" borderId="16" xfId="0" applyNumberFormat="1" applyFont="1" applyFill="1" applyBorder="1" applyAlignment="1">
      <alignment horizontal="right"/>
    </xf>
    <xf numFmtId="0" fontId="33" fillId="0" borderId="17" xfId="0" applyFont="1" applyBorder="1"/>
    <xf numFmtId="4" fontId="33" fillId="0" borderId="0" xfId="0" applyNumberFormat="1" applyFont="1" applyBorder="1"/>
    <xf numFmtId="4" fontId="33" fillId="0" borderId="18" xfId="0" applyNumberFormat="1" applyFont="1" applyBorder="1" applyAlignment="1">
      <alignment horizontal="right"/>
    </xf>
    <xf numFmtId="4" fontId="33" fillId="0" borderId="18" xfId="0" applyNumberFormat="1" applyFont="1" applyBorder="1"/>
    <xf numFmtId="0" fontId="33" fillId="0" borderId="19" xfId="0" applyFont="1" applyBorder="1"/>
    <xf numFmtId="4" fontId="35" fillId="0" borderId="20" xfId="0" applyNumberFormat="1" applyFont="1" applyBorder="1"/>
    <xf numFmtId="4" fontId="33" fillId="0" borderId="21" xfId="0" applyNumberFormat="1" applyFont="1" applyBorder="1"/>
    <xf numFmtId="4" fontId="35" fillId="0" borderId="0" xfId="0" applyNumberFormat="1" applyFont="1"/>
    <xf numFmtId="0" fontId="35" fillId="0" borderId="17" xfId="0" applyFont="1" applyBorder="1"/>
    <xf numFmtId="4" fontId="35" fillId="0" borderId="0" xfId="0" applyNumberFormat="1" applyFont="1" applyBorder="1"/>
    <xf numFmtId="0" fontId="33" fillId="2" borderId="17" xfId="0" applyFont="1" applyFill="1" applyBorder="1"/>
    <xf numFmtId="4" fontId="35" fillId="2" borderId="0" xfId="0" applyNumberFormat="1" applyFont="1" applyFill="1" applyBorder="1"/>
    <xf numFmtId="0" fontId="33" fillId="0" borderId="14" xfId="0" applyFont="1" applyBorder="1"/>
    <xf numFmtId="4" fontId="33" fillId="0" borderId="37" xfId="0" applyNumberFormat="1" applyFont="1" applyFill="1" applyBorder="1" applyAlignment="1">
      <alignment horizontal="center" vertical="center" wrapText="1"/>
    </xf>
    <xf numFmtId="4" fontId="33" fillId="0" borderId="37" xfId="0" applyNumberFormat="1" applyFont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0" fontId="37" fillId="0" borderId="37" xfId="0" applyFont="1" applyBorder="1" applyAlignment="1">
      <alignment vertical="center" wrapText="1"/>
    </xf>
    <xf numFmtId="0" fontId="37" fillId="0" borderId="16" xfId="0" applyFont="1" applyBorder="1" applyAlignment="1">
      <alignment vertical="center" wrapText="1"/>
    </xf>
    <xf numFmtId="0" fontId="33" fillId="0" borderId="29" xfId="0" applyFont="1" applyBorder="1"/>
    <xf numFmtId="4" fontId="30" fillId="0" borderId="23" xfId="0" applyNumberFormat="1" applyFont="1" applyFill="1" applyBorder="1"/>
    <xf numFmtId="4" fontId="30" fillId="0" borderId="30" xfId="0" applyNumberFormat="1" applyFont="1" applyBorder="1"/>
    <xf numFmtId="0" fontId="33" fillId="0" borderId="8" xfId="0" applyFont="1" applyBorder="1"/>
    <xf numFmtId="4" fontId="30" fillId="0" borderId="9" xfId="0" applyNumberFormat="1" applyFont="1" applyFill="1" applyBorder="1"/>
    <xf numFmtId="0" fontId="33" fillId="0" borderId="33" xfId="0" applyFont="1" applyBorder="1"/>
    <xf numFmtId="4" fontId="30" fillId="3" borderId="9" xfId="6" applyNumberFormat="1" applyFont="1" applyFill="1" applyBorder="1" applyAlignment="1">
      <alignment horizontal="right" vertical="top" wrapText="1"/>
    </xf>
    <xf numFmtId="2" fontId="30" fillId="0" borderId="9" xfId="16" applyNumberFormat="1" applyFont="1" applyBorder="1" applyAlignment="1">
      <alignment horizontal="right" vertical="top"/>
    </xf>
    <xf numFmtId="4" fontId="30" fillId="0" borderId="42" xfId="0" applyNumberFormat="1" applyFont="1" applyFill="1" applyBorder="1"/>
    <xf numFmtId="4" fontId="30" fillId="0" borderId="0" xfId="22" applyNumberFormat="1" applyFont="1"/>
    <xf numFmtId="4" fontId="30" fillId="0" borderId="32" xfId="0" applyNumberFormat="1" applyFont="1" applyFill="1" applyBorder="1"/>
    <xf numFmtId="4" fontId="30" fillId="3" borderId="0" xfId="6" applyNumberFormat="1" applyFont="1" applyFill="1" applyBorder="1" applyAlignment="1">
      <alignment horizontal="right" vertical="top" wrapText="1"/>
    </xf>
    <xf numFmtId="0" fontId="33" fillId="0" borderId="26" xfId="0" applyFont="1" applyBorder="1"/>
    <xf numFmtId="4" fontId="33" fillId="0" borderId="27" xfId="0" applyNumberFormat="1" applyFont="1" applyFill="1" applyBorder="1"/>
    <xf numFmtId="4" fontId="33" fillId="0" borderId="27" xfId="0" applyNumberFormat="1" applyFont="1" applyBorder="1"/>
    <xf numFmtId="0" fontId="35" fillId="0" borderId="29" xfId="0" applyFont="1" applyBorder="1"/>
    <xf numFmtId="4" fontId="30" fillId="0" borderId="30" xfId="0" applyNumberFormat="1" applyFont="1" applyFill="1" applyBorder="1" applyAlignment="1"/>
    <xf numFmtId="4" fontId="30" fillId="0" borderId="23" xfId="0" applyNumberFormat="1" applyFont="1" applyFill="1" applyBorder="1" applyAlignment="1"/>
    <xf numFmtId="0" fontId="35" fillId="0" borderId="8" xfId="0" applyFont="1" applyBorder="1"/>
    <xf numFmtId="4" fontId="30" fillId="0" borderId="9" xfId="0" applyNumberFormat="1" applyFont="1" applyFill="1" applyBorder="1" applyAlignment="1"/>
    <xf numFmtId="4" fontId="33" fillId="0" borderId="30" xfId="36" applyNumberFormat="1" applyFont="1" applyBorder="1" applyAlignment="1">
      <alignment horizontal="right" vertical="top"/>
    </xf>
    <xf numFmtId="4" fontId="30" fillId="0" borderId="30" xfId="0" applyNumberFormat="1" applyFont="1" applyBorder="1" applyAlignment="1"/>
    <xf numFmtId="4" fontId="30" fillId="0" borderId="12" xfId="0" applyNumberFormat="1" applyFont="1" applyBorder="1"/>
    <xf numFmtId="4" fontId="30" fillId="0" borderId="40" xfId="0" applyNumberFormat="1" applyFont="1" applyFill="1" applyBorder="1"/>
    <xf numFmtId="0" fontId="35" fillId="0" borderId="9" xfId="0" applyFont="1" applyBorder="1"/>
    <xf numFmtId="0" fontId="35" fillId="0" borderId="10" xfId="0" applyFont="1" applyBorder="1"/>
    <xf numFmtId="0" fontId="33" fillId="0" borderId="24" xfId="0" applyFont="1" applyFill="1" applyBorder="1"/>
    <xf numFmtId="4" fontId="33" fillId="0" borderId="25" xfId="0" applyNumberFormat="1" applyFont="1" applyFill="1" applyBorder="1"/>
    <xf numFmtId="0" fontId="33" fillId="0" borderId="0" xfId="0" applyFont="1" applyFill="1" applyBorder="1"/>
    <xf numFmtId="4" fontId="33" fillId="0" borderId="0" xfId="0" applyNumberFormat="1" applyFont="1" applyFill="1" applyBorder="1"/>
    <xf numFmtId="0" fontId="34" fillId="0" borderId="0" xfId="0" applyFont="1"/>
    <xf numFmtId="4" fontId="40" fillId="0" borderId="0" xfId="0" applyNumberFormat="1" applyFont="1" applyBorder="1"/>
    <xf numFmtId="0" fontId="35" fillId="0" borderId="0" xfId="0" applyFont="1"/>
    <xf numFmtId="4" fontId="29" fillId="0" borderId="0" xfId="0" applyNumberFormat="1" applyFont="1"/>
    <xf numFmtId="0" fontId="33" fillId="0" borderId="5" xfId="0" applyFont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/>
    </xf>
    <xf numFmtId="4" fontId="33" fillId="0" borderId="9" xfId="0" applyNumberFormat="1" applyFont="1" applyBorder="1" applyAlignment="1">
      <alignment horizontal="center"/>
    </xf>
    <xf numFmtId="4" fontId="33" fillId="0" borderId="10" xfId="0" applyNumberFormat="1" applyFont="1" applyBorder="1" applyAlignment="1">
      <alignment horizontal="center"/>
    </xf>
    <xf numFmtId="0" fontId="29" fillId="0" borderId="8" xfId="0" applyFont="1" applyBorder="1"/>
    <xf numFmtId="0" fontId="29" fillId="0" borderId="9" xfId="0" applyFont="1" applyBorder="1"/>
    <xf numFmtId="4" fontId="29" fillId="0" borderId="10" xfId="0" applyNumberFormat="1" applyFont="1" applyFill="1" applyBorder="1"/>
    <xf numFmtId="4" fontId="36" fillId="0" borderId="0" xfId="0" applyNumberFormat="1" applyFont="1" applyBorder="1" applyAlignment="1">
      <alignment horizontal="center" vertical="center" wrapText="1"/>
    </xf>
    <xf numFmtId="4" fontId="29" fillId="0" borderId="34" xfId="0" applyNumberFormat="1" applyFont="1" applyFill="1" applyBorder="1"/>
    <xf numFmtId="4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/>
    <xf numFmtId="0" fontId="42" fillId="0" borderId="0" xfId="0" applyFont="1"/>
    <xf numFmtId="4" fontId="30" fillId="0" borderId="30" xfId="0" applyNumberFormat="1" applyFont="1" applyFill="1" applyBorder="1"/>
    <xf numFmtId="4" fontId="30" fillId="0" borderId="31" xfId="0" applyNumberFormat="1" applyFont="1" applyBorder="1"/>
    <xf numFmtId="4" fontId="30" fillId="0" borderId="0" xfId="22" applyNumberFormat="1" applyFont="1" applyBorder="1"/>
    <xf numFmtId="4" fontId="33" fillId="0" borderId="28" xfId="0" applyNumberFormat="1" applyFont="1" applyBorder="1"/>
    <xf numFmtId="4" fontId="30" fillId="0" borderId="9" xfId="19" applyNumberFormat="1" applyFont="1" applyBorder="1"/>
    <xf numFmtId="4" fontId="33" fillId="0" borderId="21" xfId="0" applyNumberFormat="1" applyFont="1" applyFill="1" applyBorder="1"/>
    <xf numFmtId="0" fontId="29" fillId="0" borderId="32" xfId="0" applyFont="1" applyBorder="1"/>
    <xf numFmtId="4" fontId="29" fillId="0" borderId="18" xfId="0" applyNumberFormat="1" applyFont="1" applyFill="1" applyBorder="1"/>
    <xf numFmtId="0" fontId="29" fillId="0" borderId="8" xfId="0" applyFont="1" applyBorder="1" applyAlignment="1">
      <alignment wrapText="1"/>
    </xf>
    <xf numFmtId="0" fontId="43" fillId="0" borderId="0" xfId="0" applyFont="1" applyFill="1" applyBorder="1"/>
    <xf numFmtId="0" fontId="16" fillId="0" borderId="0" xfId="0" applyFont="1" applyFill="1" applyBorder="1"/>
    <xf numFmtId="4" fontId="16" fillId="0" borderId="0" xfId="0" applyNumberFormat="1" applyFont="1" applyFill="1" applyBorder="1"/>
    <xf numFmtId="4" fontId="41" fillId="3" borderId="0" xfId="0" applyNumberFormat="1" applyFont="1" applyFill="1" applyBorder="1"/>
    <xf numFmtId="4" fontId="30" fillId="0" borderId="0" xfId="0" applyNumberFormat="1" applyFont="1" applyBorder="1"/>
    <xf numFmtId="0" fontId="28" fillId="2" borderId="0" xfId="0" applyFont="1" applyFill="1"/>
    <xf numFmtId="0" fontId="0" fillId="0" borderId="0" xfId="0" applyFont="1"/>
    <xf numFmtId="0" fontId="28" fillId="0" borderId="26" xfId="0" applyFont="1" applyBorder="1"/>
    <xf numFmtId="0" fontId="28" fillId="0" borderId="8" xfId="0" applyFont="1" applyBorder="1"/>
    <xf numFmtId="0" fontId="28" fillId="0" borderId="11" xfId="0" applyFont="1" applyBorder="1"/>
    <xf numFmtId="4" fontId="28" fillId="0" borderId="12" xfId="0" applyNumberFormat="1" applyFont="1" applyBorder="1"/>
    <xf numFmtId="3" fontId="28" fillId="0" borderId="13" xfId="0" applyNumberFormat="1" applyFont="1" applyBorder="1"/>
    <xf numFmtId="0" fontId="44" fillId="0" borderId="0" xfId="0" applyFont="1" applyBorder="1"/>
    <xf numFmtId="4" fontId="44" fillId="0" borderId="0" xfId="0" applyNumberFormat="1" applyFont="1" applyBorder="1"/>
    <xf numFmtId="3" fontId="44" fillId="0" borderId="0" xfId="0" applyNumberFormat="1" applyFont="1" applyBorder="1"/>
    <xf numFmtId="0" fontId="28" fillId="2" borderId="14" xfId="0" applyFont="1" applyFill="1" applyBorder="1"/>
    <xf numFmtId="4" fontId="28" fillId="2" borderId="15" xfId="0" applyNumberFormat="1" applyFont="1" applyFill="1" applyBorder="1"/>
    <xf numFmtId="3" fontId="28" fillId="2" borderId="16" xfId="0" applyNumberFormat="1" applyFont="1" applyFill="1" applyBorder="1" applyAlignment="1">
      <alignment horizontal="right"/>
    </xf>
    <xf numFmtId="0" fontId="28" fillId="0" borderId="17" xfId="0" applyFont="1" applyBorder="1"/>
    <xf numFmtId="4" fontId="28" fillId="0" borderId="0" xfId="0" applyNumberFormat="1" applyFont="1" applyBorder="1"/>
    <xf numFmtId="4" fontId="28" fillId="0" borderId="18" xfId="0" applyNumberFormat="1" applyFont="1" applyBorder="1"/>
    <xf numFmtId="4" fontId="28" fillId="0" borderId="18" xfId="0" applyNumberFormat="1" applyFont="1" applyBorder="1" applyAlignment="1">
      <alignment horizontal="right"/>
    </xf>
    <xf numFmtId="0" fontId="28" fillId="0" borderId="19" xfId="0" applyFont="1" applyBorder="1"/>
    <xf numFmtId="4" fontId="28" fillId="0" borderId="21" xfId="0" applyNumberFormat="1" applyFont="1" applyBorder="1"/>
    <xf numFmtId="0" fontId="28" fillId="2" borderId="17" xfId="0" applyFont="1" applyFill="1" applyBorder="1"/>
    <xf numFmtId="0" fontId="28" fillId="0" borderId="22" xfId="0" applyFont="1" applyBorder="1"/>
    <xf numFmtId="4" fontId="28" fillId="0" borderId="37" xfId="0" applyNumberFormat="1" applyFont="1" applyFill="1" applyBorder="1" applyAlignment="1">
      <alignment horizontal="center" vertical="center" wrapText="1"/>
    </xf>
    <xf numFmtId="4" fontId="28" fillId="0" borderId="37" xfId="0" applyNumberFormat="1" applyFont="1" applyBorder="1" applyAlignment="1">
      <alignment horizontal="center" vertical="center" wrapText="1"/>
    </xf>
    <xf numFmtId="4" fontId="28" fillId="0" borderId="38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2" fontId="45" fillId="0" borderId="44" xfId="18" applyNumberFormat="1" applyFont="1" applyBorder="1" applyAlignment="1">
      <alignment horizontal="right" vertical="top"/>
    </xf>
    <xf numFmtId="4" fontId="45" fillId="0" borderId="45" xfId="0" applyNumberFormat="1" applyFont="1" applyFill="1" applyBorder="1"/>
    <xf numFmtId="4" fontId="45" fillId="0" borderId="30" xfId="0" applyNumberFormat="1" applyFont="1" applyBorder="1"/>
    <xf numFmtId="4" fontId="45" fillId="0" borderId="31" xfId="0" applyNumberFormat="1" applyFont="1" applyBorder="1"/>
    <xf numFmtId="4" fontId="45" fillId="0" borderId="32" xfId="0" applyNumberFormat="1" applyFont="1" applyBorder="1"/>
    <xf numFmtId="4" fontId="45" fillId="0" borderId="9" xfId="20" applyNumberFormat="1" applyFont="1" applyBorder="1" applyAlignment="1">
      <alignment horizontal="right" vertical="top"/>
    </xf>
    <xf numFmtId="4" fontId="45" fillId="0" borderId="9" xfId="0" applyNumberFormat="1" applyFont="1" applyFill="1" applyBorder="1"/>
    <xf numFmtId="4" fontId="45" fillId="0" borderId="9" xfId="0" applyNumberFormat="1" applyFont="1" applyBorder="1"/>
    <xf numFmtId="0" fontId="28" fillId="0" borderId="33" xfId="0" applyFont="1" applyBorder="1"/>
    <xf numFmtId="4" fontId="45" fillId="0" borderId="32" xfId="0" applyNumberFormat="1" applyFont="1" applyFill="1" applyBorder="1"/>
    <xf numFmtId="2" fontId="45" fillId="0" borderId="9" xfId="16" applyNumberFormat="1" applyFont="1" applyBorder="1" applyAlignment="1">
      <alignment horizontal="right" vertical="top"/>
    </xf>
    <xf numFmtId="4" fontId="45" fillId="3" borderId="43" xfId="6" applyNumberFormat="1" applyFont="1" applyFill="1" applyBorder="1" applyAlignment="1">
      <alignment horizontal="right" vertical="top" wrapText="1"/>
    </xf>
    <xf numFmtId="4" fontId="45" fillId="0" borderId="12" xfId="0" applyNumberFormat="1" applyFont="1" applyFill="1" applyBorder="1"/>
    <xf numFmtId="4" fontId="45" fillId="0" borderId="50" xfId="2" applyNumberFormat="1" applyFont="1" applyBorder="1" applyAlignment="1">
      <alignment horizontal="right" vertical="top"/>
    </xf>
    <xf numFmtId="4" fontId="45" fillId="0" borderId="12" xfId="2" applyNumberFormat="1" applyFont="1" applyBorder="1" applyAlignment="1">
      <alignment horizontal="right" vertical="top"/>
    </xf>
    <xf numFmtId="4" fontId="45" fillId="3" borderId="51" xfId="6" applyNumberFormat="1" applyFont="1" applyFill="1" applyBorder="1" applyAlignment="1">
      <alignment horizontal="right" vertical="top" wrapText="1"/>
    </xf>
    <xf numFmtId="4" fontId="28" fillId="0" borderId="27" xfId="0" applyNumberFormat="1" applyFont="1" applyFill="1" applyBorder="1"/>
    <xf numFmtId="4" fontId="28" fillId="0" borderId="27" xfId="0" applyNumberFormat="1" applyFont="1" applyBorder="1"/>
    <xf numFmtId="4" fontId="28" fillId="0" borderId="28" xfId="0" applyNumberFormat="1" applyFont="1" applyBorder="1"/>
    <xf numFmtId="4" fontId="45" fillId="0" borderId="30" xfId="0" applyNumberFormat="1" applyFont="1" applyFill="1" applyBorder="1" applyAlignment="1"/>
    <xf numFmtId="4" fontId="45" fillId="0" borderId="23" xfId="0" applyNumberFormat="1" applyFont="1" applyFill="1" applyBorder="1" applyAlignment="1"/>
    <xf numFmtId="4" fontId="45" fillId="0" borderId="9" xfId="0" applyNumberFormat="1" applyFont="1" applyFill="1" applyBorder="1" applyAlignment="1"/>
    <xf numFmtId="4" fontId="45" fillId="0" borderId="9" xfId="19" applyNumberFormat="1" applyFont="1" applyBorder="1"/>
    <xf numFmtId="4" fontId="45" fillId="0" borderId="9" xfId="2" applyNumberFormat="1" applyFont="1" applyBorder="1"/>
    <xf numFmtId="4" fontId="45" fillId="3" borderId="9" xfId="6" applyNumberFormat="1" applyFont="1" applyFill="1" applyBorder="1" applyAlignment="1">
      <alignment horizontal="right" vertical="top" wrapText="1"/>
    </xf>
    <xf numFmtId="4" fontId="45" fillId="0" borderId="9" xfId="0" applyNumberFormat="1" applyFont="1" applyBorder="1" applyAlignment="1"/>
    <xf numFmtId="4" fontId="45" fillId="0" borderId="9" xfId="18" applyNumberFormat="1" applyFont="1" applyBorder="1" applyAlignment="1">
      <alignment horizontal="right" vertical="top"/>
    </xf>
    <xf numFmtId="4" fontId="45" fillId="0" borderId="9" xfId="11" applyNumberFormat="1" applyFont="1" applyBorder="1" applyAlignment="1">
      <alignment horizontal="right" vertical="top"/>
    </xf>
    <xf numFmtId="4" fontId="45" fillId="0" borderId="12" xfId="0" applyNumberFormat="1" applyFont="1" applyBorder="1"/>
    <xf numFmtId="4" fontId="45" fillId="0" borderId="40" xfId="0" applyNumberFormat="1" applyFont="1" applyFill="1" applyBorder="1"/>
    <xf numFmtId="0" fontId="28" fillId="0" borderId="24" xfId="0" applyFont="1" applyFill="1" applyBorder="1"/>
    <xf numFmtId="4" fontId="28" fillId="0" borderId="25" xfId="0" applyNumberFormat="1" applyFont="1" applyFill="1" applyBorder="1"/>
    <xf numFmtId="4" fontId="28" fillId="0" borderId="21" xfId="0" applyNumberFormat="1" applyFont="1" applyFill="1" applyBorder="1"/>
    <xf numFmtId="0" fontId="28" fillId="0" borderId="0" xfId="0" applyFont="1" applyFill="1" applyBorder="1"/>
    <xf numFmtId="4" fontId="28" fillId="0" borderId="0" xfId="0" applyNumberFormat="1" applyFont="1" applyFill="1" applyBorder="1"/>
    <xf numFmtId="4" fontId="46" fillId="0" borderId="0" xfId="0" applyNumberFormat="1" applyFont="1" applyBorder="1"/>
    <xf numFmtId="4" fontId="28" fillId="0" borderId="0" xfId="0" applyNumberFormat="1" applyFont="1"/>
    <xf numFmtId="4" fontId="0" fillId="0" borderId="0" xfId="0" applyNumberFormat="1" applyFont="1"/>
    <xf numFmtId="0" fontId="28" fillId="0" borderId="5" xfId="0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/>
    </xf>
    <xf numFmtId="4" fontId="28" fillId="0" borderId="9" xfId="0" applyNumberFormat="1" applyFont="1" applyBorder="1" applyAlignment="1">
      <alignment horizontal="center"/>
    </xf>
    <xf numFmtId="4" fontId="28" fillId="0" borderId="10" xfId="0" applyNumberFormat="1" applyFont="1" applyBorder="1" applyAlignment="1">
      <alignment horizontal="center"/>
    </xf>
    <xf numFmtId="0" fontId="0" fillId="0" borderId="17" xfId="0" applyFont="1" applyBorder="1"/>
    <xf numFmtId="4" fontId="0" fillId="0" borderId="9" xfId="0" applyNumberFormat="1" applyFont="1" applyBorder="1"/>
    <xf numFmtId="0" fontId="47" fillId="0" borderId="0" xfId="0" applyFont="1" applyFill="1" applyBorder="1"/>
    <xf numFmtId="0" fontId="28" fillId="0" borderId="1" xfId="0" applyFont="1" applyBorder="1"/>
    <xf numFmtId="4" fontId="28" fillId="0" borderId="2" xfId="0" applyNumberFormat="1" applyFont="1" applyBorder="1"/>
    <xf numFmtId="4" fontId="28" fillId="0" borderId="3" xfId="0" applyNumberFormat="1" applyFont="1" applyBorder="1" applyAlignment="1">
      <alignment horizontal="center" vertical="center" wrapText="1"/>
    </xf>
    <xf numFmtId="4" fontId="28" fillId="0" borderId="4" xfId="0" applyNumberFormat="1" applyFont="1" applyBorder="1" applyAlignment="1">
      <alignment horizontal="center" vertical="center" wrapText="1"/>
    </xf>
    <xf numFmtId="4" fontId="28" fillId="0" borderId="26" xfId="0" applyNumberFormat="1" applyFont="1" applyBorder="1"/>
    <xf numFmtId="4" fontId="28" fillId="0" borderId="6" xfId="0" applyNumberFormat="1" applyFont="1" applyBorder="1"/>
    <xf numFmtId="3" fontId="28" fillId="0" borderId="7" xfId="0" applyNumberFormat="1" applyFont="1" applyBorder="1"/>
    <xf numFmtId="4" fontId="28" fillId="0" borderId="9" xfId="0" applyNumberFormat="1" applyFont="1" applyBorder="1"/>
    <xf numFmtId="3" fontId="28" fillId="0" borderId="10" xfId="0" applyNumberFormat="1" applyFont="1" applyBorder="1"/>
    <xf numFmtId="4" fontId="45" fillId="0" borderId="7" xfId="0" applyNumberFormat="1" applyFont="1" applyFill="1" applyBorder="1"/>
    <xf numFmtId="4" fontId="45" fillId="0" borderId="32" xfId="21" applyNumberFormat="1" applyFont="1" applyBorder="1" applyAlignment="1">
      <alignment horizontal="right" vertical="top"/>
    </xf>
    <xf numFmtId="4" fontId="45" fillId="0" borderId="36" xfId="21" applyNumberFormat="1" applyFont="1" applyBorder="1" applyAlignment="1">
      <alignment horizontal="right" vertical="top"/>
    </xf>
    <xf numFmtId="4" fontId="45" fillId="0" borderId="9" xfId="21" applyNumberFormat="1" applyFont="1" applyBorder="1" applyAlignment="1">
      <alignment horizontal="right" vertical="top"/>
    </xf>
    <xf numFmtId="4" fontId="45" fillId="0" borderId="0" xfId="22" applyNumberFormat="1" applyFont="1" applyBorder="1"/>
    <xf numFmtId="2" fontId="45" fillId="0" borderId="44" xfId="21" applyNumberFormat="1" applyFont="1" applyBorder="1" applyAlignment="1">
      <alignment horizontal="right" vertical="top"/>
    </xf>
    <xf numFmtId="4" fontId="45" fillId="0" borderId="44" xfId="21" applyNumberFormat="1" applyFont="1" applyBorder="1" applyAlignment="1">
      <alignment horizontal="right" vertical="top"/>
    </xf>
    <xf numFmtId="4" fontId="45" fillId="3" borderId="43" xfId="23" applyNumberFormat="1" applyFont="1" applyFill="1" applyBorder="1" applyAlignment="1">
      <alignment horizontal="right" vertical="top" wrapText="1"/>
    </xf>
    <xf numFmtId="4" fontId="45" fillId="3" borderId="9" xfId="23" applyNumberFormat="1" applyFont="1" applyFill="1" applyBorder="1" applyAlignment="1">
      <alignment horizontal="right" vertical="top" wrapText="1"/>
    </xf>
    <xf numFmtId="4" fontId="44" fillId="0" borderId="0" xfId="0" applyNumberFormat="1" applyFont="1" applyBorder="1" applyAlignment="1">
      <alignment horizontal="center" vertical="center" wrapText="1"/>
    </xf>
    <xf numFmtId="4" fontId="44" fillId="0" borderId="0" xfId="0" applyNumberFormat="1" applyFont="1" applyBorder="1" applyAlignment="1">
      <alignment wrapText="1"/>
    </xf>
    <xf numFmtId="4" fontId="4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" fontId="0" fillId="0" borderId="0" xfId="0" applyNumberFormat="1" applyFont="1" applyBorder="1"/>
    <xf numFmtId="4" fontId="45" fillId="0" borderId="0" xfId="0" applyNumberFormat="1" applyFont="1" applyFill="1" applyBorder="1"/>
    <xf numFmtId="4" fontId="48" fillId="0" borderId="0" xfId="0" applyNumberFormat="1" applyFont="1" applyFill="1" applyBorder="1"/>
    <xf numFmtId="4" fontId="48" fillId="0" borderId="0" xfId="0" applyNumberFormat="1" applyFont="1" applyBorder="1"/>
    <xf numFmtId="0" fontId="48" fillId="0" borderId="0" xfId="0" applyFont="1" applyBorder="1"/>
    <xf numFmtId="0" fontId="0" fillId="0" borderId="0" xfId="0" applyFont="1" applyBorder="1" applyAlignment="1">
      <alignment wrapText="1"/>
    </xf>
    <xf numFmtId="4" fontId="49" fillId="0" borderId="0" xfId="0" applyNumberFormat="1" applyFont="1" applyFill="1" applyBorder="1"/>
    <xf numFmtId="0" fontId="50" fillId="0" borderId="0" xfId="0" applyFont="1" applyFill="1" applyBorder="1"/>
    <xf numFmtId="4" fontId="50" fillId="0" borderId="0" xfId="0" applyNumberFormat="1" applyFont="1" applyFill="1" applyBorder="1"/>
    <xf numFmtId="4" fontId="48" fillId="3" borderId="0" xfId="0" applyNumberFormat="1" applyFont="1" applyFill="1" applyBorder="1"/>
    <xf numFmtId="0" fontId="50" fillId="0" borderId="0" xfId="0" applyFont="1" applyBorder="1"/>
    <xf numFmtId="4" fontId="50" fillId="0" borderId="0" xfId="0" applyNumberFormat="1" applyFont="1" applyBorder="1"/>
    <xf numFmtId="4" fontId="50" fillId="0" borderId="0" xfId="0" applyNumberFormat="1" applyFont="1" applyBorder="1" applyAlignment="1">
      <alignment horizontal="center"/>
    </xf>
    <xf numFmtId="4" fontId="45" fillId="0" borderId="0" xfId="0" applyNumberFormat="1" applyFont="1" applyBorder="1"/>
    <xf numFmtId="4" fontId="30" fillId="0" borderId="10" xfId="0" applyNumberFormat="1" applyFont="1" applyBorder="1"/>
    <xf numFmtId="4" fontId="30" fillId="0" borderId="9" xfId="16" applyNumberFormat="1" applyFont="1" applyBorder="1" applyAlignment="1">
      <alignment horizontal="right" vertical="top"/>
    </xf>
    <xf numFmtId="4" fontId="30" fillId="0" borderId="30" xfId="81" applyNumberFormat="1" applyFont="1" applyBorder="1" applyAlignment="1">
      <alignment horizontal="right" vertical="top"/>
    </xf>
    <xf numFmtId="2" fontId="30" fillId="0" borderId="9" xfId="84" applyNumberFormat="1" applyFont="1" applyBorder="1" applyAlignment="1">
      <alignment horizontal="right" vertical="top"/>
    </xf>
    <xf numFmtId="0" fontId="29" fillId="0" borderId="17" xfId="0" applyFont="1" applyBorder="1"/>
    <xf numFmtId="3" fontId="33" fillId="0" borderId="13" xfId="0" applyNumberFormat="1" applyFont="1" applyBorder="1"/>
    <xf numFmtId="0" fontId="33" fillId="0" borderId="22" xfId="0" applyFont="1" applyBorder="1"/>
    <xf numFmtId="4" fontId="33" fillId="0" borderId="38" xfId="0" applyNumberFormat="1" applyFont="1" applyFill="1" applyBorder="1" applyAlignment="1">
      <alignment horizontal="center" vertical="center" wrapText="1"/>
    </xf>
    <xf numFmtId="4" fontId="30" fillId="0" borderId="7" xfId="0" applyNumberFormat="1" applyFont="1" applyFill="1" applyBorder="1"/>
    <xf numFmtId="4" fontId="30" fillId="0" borderId="32" xfId="25" applyNumberFormat="1" applyFont="1" applyBorder="1" applyAlignment="1">
      <alignment horizontal="right" vertical="top"/>
    </xf>
    <xf numFmtId="4" fontId="30" fillId="0" borderId="36" xfId="25" applyNumberFormat="1" applyFont="1" applyBorder="1" applyAlignment="1">
      <alignment horizontal="right" vertical="top"/>
    </xf>
    <xf numFmtId="4" fontId="30" fillId="0" borderId="45" xfId="0" applyNumberFormat="1" applyFont="1" applyFill="1" applyBorder="1"/>
    <xf numFmtId="4" fontId="30" fillId="0" borderId="32" xfId="0" applyNumberFormat="1" applyFont="1" applyBorder="1"/>
    <xf numFmtId="4" fontId="30" fillId="0" borderId="9" xfId="0" applyNumberFormat="1" applyFont="1" applyBorder="1"/>
    <xf numFmtId="4" fontId="30" fillId="0" borderId="9" xfId="21" applyNumberFormat="1" applyFont="1" applyBorder="1" applyAlignment="1">
      <alignment horizontal="right" vertical="top"/>
    </xf>
    <xf numFmtId="4" fontId="30" fillId="0" borderId="36" xfId="21" applyNumberFormat="1" applyFont="1" applyBorder="1" applyAlignment="1">
      <alignment horizontal="right" vertical="top"/>
    </xf>
    <xf numFmtId="4" fontId="30" fillId="3" borderId="43" xfId="6" applyNumberFormat="1" applyFont="1" applyFill="1" applyBorder="1" applyAlignment="1">
      <alignment horizontal="right" vertical="top" wrapText="1"/>
    </xf>
    <xf numFmtId="4" fontId="30" fillId="0" borderId="12" xfId="0" applyNumberFormat="1" applyFont="1" applyFill="1" applyBorder="1"/>
    <xf numFmtId="4" fontId="30" fillId="0" borderId="50" xfId="2" applyNumberFormat="1" applyFont="1" applyBorder="1" applyAlignment="1">
      <alignment horizontal="right" vertical="top"/>
    </xf>
    <xf numFmtId="4" fontId="30" fillId="0" borderId="12" xfId="2" applyNumberFormat="1" applyFont="1" applyBorder="1" applyAlignment="1">
      <alignment horizontal="right" vertical="top"/>
    </xf>
    <xf numFmtId="4" fontId="30" fillId="3" borderId="51" xfId="6" applyNumberFormat="1" applyFont="1" applyFill="1" applyBorder="1" applyAlignment="1">
      <alignment horizontal="right" vertical="top" wrapText="1"/>
    </xf>
    <xf numFmtId="4" fontId="30" fillId="0" borderId="30" xfId="25" applyNumberFormat="1" applyFont="1" applyBorder="1" applyAlignment="1">
      <alignment horizontal="right" vertical="top"/>
    </xf>
    <xf numFmtId="2" fontId="30" fillId="0" borderId="30" xfId="21" applyNumberFormat="1" applyFont="1" applyBorder="1" applyAlignment="1">
      <alignment horizontal="right" vertical="top"/>
    </xf>
    <xf numFmtId="4" fontId="30" fillId="3" borderId="30" xfId="6" applyNumberFormat="1" applyFont="1" applyFill="1" applyBorder="1" applyAlignment="1">
      <alignment horizontal="right" vertical="top" wrapText="1"/>
    </xf>
    <xf numFmtId="4" fontId="30" fillId="0" borderId="9" xfId="2" applyNumberFormat="1" applyFont="1" applyBorder="1"/>
    <xf numFmtId="4" fontId="30" fillId="0" borderId="9" xfId="25" applyNumberFormat="1" applyFont="1" applyBorder="1" applyAlignment="1">
      <alignment horizontal="right" vertical="top"/>
    </xf>
    <xf numFmtId="2" fontId="30" fillId="0" borderId="9" xfId="25" applyNumberFormat="1" applyFont="1" applyBorder="1" applyAlignment="1">
      <alignment horizontal="right" vertical="top"/>
    </xf>
    <xf numFmtId="4" fontId="30" fillId="0" borderId="9" xfId="0" applyNumberFormat="1" applyFont="1" applyBorder="1" applyAlignment="1"/>
    <xf numFmtId="4" fontId="30" fillId="0" borderId="9" xfId="20" applyNumberFormat="1" applyFont="1" applyBorder="1" applyAlignment="1">
      <alignment horizontal="right" vertical="top"/>
    </xf>
    <xf numFmtId="4" fontId="30" fillId="0" borderId="9" xfId="18" applyNumberFormat="1" applyFont="1" applyBorder="1" applyAlignment="1">
      <alignment horizontal="right" vertical="top"/>
    </xf>
    <xf numFmtId="4" fontId="30" fillId="0" borderId="9" xfId="11" applyNumberFormat="1" applyFont="1" applyBorder="1" applyAlignment="1">
      <alignment horizontal="right" vertical="top"/>
    </xf>
    <xf numFmtId="4" fontId="29" fillId="0" borderId="9" xfId="0" applyNumberFormat="1" applyFont="1" applyBorder="1"/>
    <xf numFmtId="4" fontId="29" fillId="0" borderId="10" xfId="0" applyNumberFormat="1" applyFont="1" applyBorder="1"/>
    <xf numFmtId="4" fontId="39" fillId="3" borderId="13" xfId="15" applyNumberFormat="1" applyFont="1" applyFill="1" applyBorder="1" applyAlignment="1">
      <alignment horizontal="right" vertical="top" wrapText="1"/>
    </xf>
    <xf numFmtId="0" fontId="29" fillId="0" borderId="0" xfId="0" applyFont="1" applyBorder="1" applyAlignment="1">
      <alignment wrapText="1"/>
    </xf>
    <xf numFmtId="4" fontId="33" fillId="0" borderId="6" xfId="0" applyNumberFormat="1" applyFont="1" applyBorder="1"/>
    <xf numFmtId="3" fontId="33" fillId="0" borderId="7" xfId="0" applyNumberFormat="1" applyFont="1" applyBorder="1"/>
    <xf numFmtId="4" fontId="30" fillId="0" borderId="36" xfId="28" applyNumberFormat="1" applyFont="1" applyBorder="1" applyAlignment="1">
      <alignment horizontal="right" vertical="top"/>
    </xf>
    <xf numFmtId="4" fontId="30" fillId="0" borderId="47" xfId="2" applyNumberFormat="1" applyFont="1" applyBorder="1" applyAlignment="1">
      <alignment horizontal="right" vertical="top"/>
    </xf>
    <xf numFmtId="4" fontId="30" fillId="0" borderId="32" xfId="2" applyNumberFormat="1" applyFont="1" applyBorder="1" applyAlignment="1">
      <alignment horizontal="right" vertical="top"/>
    </xf>
    <xf numFmtId="4" fontId="30" fillId="3" borderId="54" xfId="6" applyNumberFormat="1" applyFont="1" applyFill="1" applyBorder="1" applyAlignment="1">
      <alignment horizontal="right" vertical="top" wrapText="1"/>
    </xf>
    <xf numFmtId="4" fontId="30" fillId="0" borderId="59" xfId="0" applyNumberFormat="1" applyFont="1" applyBorder="1"/>
    <xf numFmtId="4" fontId="30" fillId="0" borderId="30" xfId="28" applyNumberFormat="1" applyFont="1" applyBorder="1" applyAlignment="1">
      <alignment horizontal="right" vertical="top"/>
    </xf>
    <xf numFmtId="2" fontId="51" fillId="0" borderId="30" xfId="28" applyNumberFormat="1" applyFont="1" applyBorder="1" applyAlignment="1">
      <alignment horizontal="right" vertical="top"/>
    </xf>
    <xf numFmtId="4" fontId="30" fillId="0" borderId="9" xfId="28" applyNumberFormat="1" applyFont="1" applyBorder="1" applyAlignment="1">
      <alignment horizontal="right" vertical="top"/>
    </xf>
    <xf numFmtId="4" fontId="51" fillId="0" borderId="9" xfId="28" applyNumberFormat="1" applyFont="1" applyBorder="1" applyAlignment="1">
      <alignment horizontal="right" vertical="top"/>
    </xf>
    <xf numFmtId="4" fontId="30" fillId="0" borderId="9" xfId="14" applyNumberFormat="1" applyFont="1" applyBorder="1" applyAlignment="1">
      <alignment horizontal="right" vertical="top"/>
    </xf>
    <xf numFmtId="4" fontId="33" fillId="0" borderId="0" xfId="0" applyNumberFormat="1" applyFont="1" applyBorder="1" applyAlignment="1">
      <alignment horizontal="center" vertical="center" wrapText="1"/>
    </xf>
    <xf numFmtId="0" fontId="29" fillId="0" borderId="8" xfId="0" applyFont="1" applyFill="1" applyBorder="1"/>
    <xf numFmtId="0" fontId="29" fillId="0" borderId="9" xfId="0" applyFont="1" applyFill="1" applyBorder="1"/>
    <xf numFmtId="4" fontId="33" fillId="0" borderId="0" xfId="0" applyNumberFormat="1" applyFont="1" applyFill="1" applyBorder="1" applyAlignment="1">
      <alignment horizontal="center" vertical="center" wrapText="1"/>
    </xf>
    <xf numFmtId="0" fontId="29" fillId="0" borderId="33" xfId="0" applyFont="1" applyFill="1" applyBorder="1"/>
    <xf numFmtId="0" fontId="29" fillId="0" borderId="32" xfId="0" applyFont="1" applyFill="1" applyBorder="1"/>
    <xf numFmtId="0" fontId="43" fillId="0" borderId="0" xfId="0" applyFont="1" applyFill="1" applyBorder="1" applyAlignment="1">
      <alignment wrapText="1"/>
    </xf>
    <xf numFmtId="4" fontId="39" fillId="3" borderId="9" xfId="6" applyNumberFormat="1" applyFont="1" applyFill="1" applyBorder="1" applyAlignment="1">
      <alignment horizontal="right" vertical="top" wrapText="1"/>
    </xf>
    <xf numFmtId="4" fontId="30" fillId="0" borderId="36" xfId="77" applyNumberFormat="1" applyFont="1" applyBorder="1" applyAlignment="1">
      <alignment horizontal="right" vertical="top"/>
    </xf>
    <xf numFmtId="2" fontId="30" fillId="0" borderId="23" xfId="21" applyNumberFormat="1" applyFont="1" applyBorder="1" applyAlignment="1">
      <alignment horizontal="right" vertical="top"/>
    </xf>
    <xf numFmtId="4" fontId="30" fillId="0" borderId="9" xfId="77" applyNumberFormat="1" applyFont="1" applyBorder="1"/>
    <xf numFmtId="4" fontId="30" fillId="0" borderId="9" xfId="77" applyNumberFormat="1" applyFont="1" applyBorder="1" applyAlignment="1">
      <alignment horizontal="right" vertical="top"/>
    </xf>
    <xf numFmtId="2" fontId="30" fillId="0" borderId="9" xfId="77" applyNumberFormat="1" applyFont="1" applyBorder="1" applyAlignment="1">
      <alignment horizontal="right" vertical="top"/>
    </xf>
    <xf numFmtId="4" fontId="30" fillId="0" borderId="36" xfId="71" applyNumberFormat="1" applyFont="1" applyBorder="1" applyAlignment="1">
      <alignment horizontal="right" vertical="top"/>
    </xf>
    <xf numFmtId="4" fontId="30" fillId="0" borderId="9" xfId="68" applyNumberFormat="1" applyFont="1" applyBorder="1" applyAlignment="1">
      <alignment horizontal="right" vertical="top"/>
    </xf>
    <xf numFmtId="4" fontId="30" fillId="0" borderId="36" xfId="67" applyNumberFormat="1" applyFont="1" applyBorder="1" applyAlignment="1">
      <alignment horizontal="right" vertical="top"/>
    </xf>
    <xf numFmtId="4" fontId="30" fillId="0" borderId="9" xfId="36" applyNumberFormat="1" applyFont="1" applyBorder="1" applyAlignment="1">
      <alignment horizontal="right" vertical="top"/>
    </xf>
    <xf numFmtId="2" fontId="30" fillId="0" borderId="36" xfId="67" applyNumberFormat="1" applyFont="1" applyBorder="1" applyAlignment="1">
      <alignment horizontal="right" vertical="top"/>
    </xf>
    <xf numFmtId="4" fontId="30" fillId="0" borderId="32" xfId="76" applyNumberFormat="1" applyFont="1" applyBorder="1" applyAlignment="1">
      <alignment horizontal="right" vertical="top"/>
    </xf>
    <xf numFmtId="2" fontId="30" fillId="0" borderId="44" xfId="76" applyNumberFormat="1" applyFont="1" applyBorder="1" applyAlignment="1">
      <alignment horizontal="right" vertical="top"/>
    </xf>
    <xf numFmtId="4" fontId="30" fillId="0" borderId="44" xfId="76" applyNumberFormat="1" applyFont="1" applyBorder="1" applyAlignment="1">
      <alignment horizontal="right" vertical="top"/>
    </xf>
    <xf numFmtId="4" fontId="30" fillId="0" borderId="23" xfId="0" applyNumberFormat="1" applyFont="1" applyBorder="1"/>
    <xf numFmtId="4" fontId="30" fillId="0" borderId="9" xfId="76" applyNumberFormat="1" applyFont="1" applyBorder="1" applyAlignment="1">
      <alignment horizontal="right" vertical="top"/>
    </xf>
    <xf numFmtId="2" fontId="30" fillId="0" borderId="9" xfId="76" applyNumberFormat="1" applyFont="1" applyBorder="1" applyAlignment="1">
      <alignment horizontal="right" vertical="top"/>
    </xf>
    <xf numFmtId="4" fontId="30" fillId="0" borderId="9" xfId="48" applyNumberFormat="1" applyFont="1" applyBorder="1" applyAlignment="1">
      <alignment horizontal="right" vertical="top"/>
    </xf>
    <xf numFmtId="4" fontId="30" fillId="0" borderId="36" xfId="76" applyNumberFormat="1" applyFont="1" applyBorder="1" applyAlignment="1">
      <alignment horizontal="right" vertical="top"/>
    </xf>
    <xf numFmtId="4" fontId="33" fillId="4" borderId="6" xfId="0" applyNumberFormat="1" applyFont="1" applyFill="1" applyBorder="1"/>
    <xf numFmtId="4" fontId="33" fillId="4" borderId="9" xfId="0" applyNumberFormat="1" applyFont="1" applyFill="1" applyBorder="1"/>
    <xf numFmtId="3" fontId="33" fillId="4" borderId="10" xfId="0" applyNumberFormat="1" applyFont="1" applyFill="1" applyBorder="1"/>
    <xf numFmtId="4" fontId="30" fillId="0" borderId="32" xfId="19" applyNumberFormat="1" applyFont="1" applyBorder="1" applyAlignment="1">
      <alignment horizontal="right" vertical="top"/>
    </xf>
    <xf numFmtId="2" fontId="30" fillId="0" borderId="44" xfId="18" applyNumberFormat="1" applyFont="1" applyBorder="1" applyAlignment="1">
      <alignment horizontal="right" vertical="top"/>
    </xf>
    <xf numFmtId="4" fontId="30" fillId="0" borderId="36" xfId="19" applyNumberFormat="1" applyFont="1" applyBorder="1" applyAlignment="1">
      <alignment horizontal="right" vertical="top"/>
    </xf>
    <xf numFmtId="4" fontId="30" fillId="0" borderId="32" xfId="16" applyNumberFormat="1" applyFont="1" applyBorder="1" applyAlignment="1">
      <alignment horizontal="right" vertical="top"/>
    </xf>
    <xf numFmtId="4" fontId="30" fillId="0" borderId="36" xfId="16" applyNumberFormat="1" applyFont="1" applyBorder="1" applyAlignment="1">
      <alignment horizontal="right" vertical="top"/>
    </xf>
    <xf numFmtId="2" fontId="30" fillId="0" borderId="12" xfId="2" applyNumberFormat="1" applyFont="1" applyBorder="1" applyAlignment="1">
      <alignment horizontal="right" vertical="top"/>
    </xf>
    <xf numFmtId="4" fontId="30" fillId="0" borderId="44" xfId="18" applyNumberFormat="1" applyFont="1" applyBorder="1" applyAlignment="1">
      <alignment horizontal="right" vertical="top"/>
    </xf>
    <xf numFmtId="4" fontId="30" fillId="0" borderId="44" xfId="19" applyNumberFormat="1" applyFont="1" applyBorder="1" applyAlignment="1">
      <alignment horizontal="right" vertical="top"/>
    </xf>
    <xf numFmtId="4" fontId="30" fillId="3" borderId="53" xfId="6" applyNumberFormat="1" applyFont="1" applyFill="1" applyBorder="1" applyAlignment="1">
      <alignment horizontal="right" vertical="top" wrapText="1"/>
    </xf>
    <xf numFmtId="4" fontId="30" fillId="0" borderId="9" xfId="19" applyNumberFormat="1" applyFont="1" applyBorder="1" applyAlignment="1">
      <alignment horizontal="right" vertical="top"/>
    </xf>
    <xf numFmtId="4" fontId="30" fillId="0" borderId="36" xfId="18" applyNumberFormat="1" applyFont="1" applyBorder="1" applyAlignment="1">
      <alignment horizontal="right" vertical="top"/>
    </xf>
    <xf numFmtId="0" fontId="29" fillId="0" borderId="10" xfId="0" applyFont="1" applyBorder="1"/>
    <xf numFmtId="0" fontId="33" fillId="0" borderId="0" xfId="0" applyFont="1" applyBorder="1"/>
    <xf numFmtId="4" fontId="39" fillId="3" borderId="0" xfId="15" applyNumberFormat="1" applyFont="1" applyFill="1" applyBorder="1" applyAlignment="1">
      <alignment horizontal="right" vertical="top" wrapText="1"/>
    </xf>
    <xf numFmtId="4" fontId="33" fillId="0" borderId="21" xfId="0" applyNumberFormat="1" applyFont="1" applyBorder="1" applyAlignment="1">
      <alignment horizontal="right"/>
    </xf>
    <xf numFmtId="4" fontId="30" fillId="0" borderId="36" xfId="26" applyNumberFormat="1" applyFont="1" applyBorder="1" applyAlignment="1">
      <alignment horizontal="right" vertical="top"/>
    </xf>
    <xf numFmtId="4" fontId="30" fillId="0" borderId="9" xfId="26" applyNumberFormat="1" applyFont="1" applyBorder="1" applyAlignment="1">
      <alignment horizontal="right" vertical="top"/>
    </xf>
    <xf numFmtId="4" fontId="30" fillId="0" borderId="32" xfId="26" applyNumberFormat="1" applyFont="1" applyBorder="1" applyAlignment="1">
      <alignment horizontal="right" vertical="top"/>
    </xf>
    <xf numFmtId="4" fontId="38" fillId="0" borderId="30" xfId="26" applyNumberFormat="1" applyFont="1" applyBorder="1" applyAlignment="1">
      <alignment horizontal="right" vertical="top"/>
    </xf>
    <xf numFmtId="4" fontId="39" fillId="3" borderId="43" xfId="6" applyNumberFormat="1" applyFont="1" applyFill="1" applyBorder="1" applyAlignment="1">
      <alignment horizontal="right" vertical="top" wrapText="1"/>
    </xf>
    <xf numFmtId="4" fontId="39" fillId="0" borderId="9" xfId="19" applyNumberFormat="1" applyFont="1" applyBorder="1"/>
    <xf numFmtId="4" fontId="39" fillId="0" borderId="9" xfId="2" applyNumberFormat="1" applyFont="1" applyBorder="1"/>
    <xf numFmtId="4" fontId="38" fillId="0" borderId="9" xfId="26" applyNumberFormat="1" applyFont="1" applyBorder="1" applyAlignment="1">
      <alignment horizontal="right" vertical="top"/>
    </xf>
    <xf numFmtId="4" fontId="38" fillId="0" borderId="9" xfId="25" applyNumberFormat="1" applyFont="1" applyBorder="1" applyAlignment="1">
      <alignment horizontal="right" vertical="top"/>
    </xf>
    <xf numFmtId="4" fontId="38" fillId="0" borderId="9" xfId="20" applyNumberFormat="1" applyFont="1" applyBorder="1" applyAlignment="1">
      <alignment horizontal="right" vertical="top"/>
    </xf>
    <xf numFmtId="4" fontId="38" fillId="0" borderId="9" xfId="18" applyNumberFormat="1" applyFont="1" applyBorder="1" applyAlignment="1">
      <alignment horizontal="right" vertical="top"/>
    </xf>
    <xf numFmtId="4" fontId="29" fillId="0" borderId="34" xfId="0" applyNumberFormat="1" applyFont="1" applyBorder="1"/>
    <xf numFmtId="4" fontId="38" fillId="0" borderId="32" xfId="53" applyNumberFormat="1" applyFont="1" applyBorder="1" applyAlignment="1">
      <alignment horizontal="right" vertical="top"/>
    </xf>
    <xf numFmtId="4" fontId="30" fillId="0" borderId="44" xfId="53" applyNumberFormat="1" applyFont="1" applyBorder="1" applyAlignment="1">
      <alignment horizontal="right" vertical="top"/>
    </xf>
    <xf numFmtId="4" fontId="38" fillId="0" borderId="44" xfId="53" applyNumberFormat="1" applyFont="1" applyBorder="1" applyAlignment="1">
      <alignment horizontal="right" vertical="top"/>
    </xf>
    <xf numFmtId="4" fontId="38" fillId="0" borderId="9" xfId="53" applyNumberFormat="1" applyFont="1" applyBorder="1" applyAlignment="1">
      <alignment horizontal="right" vertical="top"/>
    </xf>
    <xf numFmtId="4" fontId="30" fillId="0" borderId="9" xfId="53" applyNumberFormat="1" applyFont="1" applyBorder="1" applyAlignment="1">
      <alignment horizontal="right" vertical="top"/>
    </xf>
    <xf numFmtId="4" fontId="38" fillId="0" borderId="9" xfId="48" applyNumberFormat="1" applyFont="1" applyBorder="1" applyAlignment="1">
      <alignment horizontal="right" vertical="top"/>
    </xf>
    <xf numFmtId="4" fontId="33" fillId="0" borderId="47" xfId="2" applyNumberFormat="1" applyFont="1" applyBorder="1" applyAlignment="1">
      <alignment horizontal="right" vertical="top"/>
    </xf>
    <xf numFmtId="4" fontId="33" fillId="0" borderId="32" xfId="2" applyNumberFormat="1" applyFont="1" applyBorder="1" applyAlignment="1">
      <alignment horizontal="right" vertical="top"/>
    </xf>
    <xf numFmtId="4" fontId="38" fillId="0" borderId="36" xfId="53" applyNumberFormat="1" applyFont="1" applyBorder="1" applyAlignment="1">
      <alignment horizontal="right" vertical="top"/>
    </xf>
    <xf numFmtId="2" fontId="33" fillId="0" borderId="30" xfId="45" applyNumberFormat="1" applyFont="1" applyBorder="1" applyAlignment="1">
      <alignment horizontal="right" vertical="top"/>
    </xf>
    <xf numFmtId="0" fontId="29" fillId="0" borderId="8" xfId="0" applyFont="1" applyFill="1" applyBorder="1" applyAlignment="1">
      <alignment wrapText="1"/>
    </xf>
    <xf numFmtId="4" fontId="29" fillId="0" borderId="8" xfId="0" applyNumberFormat="1" applyFont="1" applyBorder="1" applyAlignment="1">
      <alignment wrapText="1"/>
    </xf>
    <xf numFmtId="0" fontId="37" fillId="0" borderId="11" xfId="0" applyFont="1" applyBorder="1"/>
    <xf numFmtId="4" fontId="37" fillId="0" borderId="12" xfId="0" applyNumberFormat="1" applyFont="1" applyBorder="1"/>
    <xf numFmtId="4" fontId="35" fillId="3" borderId="13" xfId="15" applyNumberFormat="1" applyFont="1" applyFill="1" applyBorder="1" applyAlignment="1">
      <alignment horizontal="right" vertical="top" wrapText="1"/>
    </xf>
    <xf numFmtId="4" fontId="30" fillId="0" borderId="32" xfId="61" applyNumberFormat="1" applyFont="1" applyBorder="1" applyAlignment="1">
      <alignment horizontal="right" vertical="top"/>
    </xf>
    <xf numFmtId="2" fontId="30" fillId="0" borderId="44" xfId="61" applyNumberFormat="1" applyFont="1" applyBorder="1" applyAlignment="1">
      <alignment horizontal="right" vertical="top"/>
    </xf>
    <xf numFmtId="4" fontId="30" fillId="0" borderId="44" xfId="61" applyNumberFormat="1" applyFont="1" applyBorder="1" applyAlignment="1">
      <alignment horizontal="right" vertical="top"/>
    </xf>
    <xf numFmtId="4" fontId="30" fillId="0" borderId="9" xfId="61" applyNumberFormat="1" applyFont="1" applyBorder="1" applyAlignment="1">
      <alignment horizontal="right" vertical="top"/>
    </xf>
    <xf numFmtId="2" fontId="30" fillId="0" borderId="9" xfId="61" applyNumberFormat="1" applyFont="1" applyBorder="1" applyAlignment="1">
      <alignment horizontal="right" vertical="top"/>
    </xf>
    <xf numFmtId="4" fontId="30" fillId="0" borderId="9" xfId="61" applyNumberFormat="1" applyFont="1" applyBorder="1"/>
    <xf numFmtId="4" fontId="30" fillId="0" borderId="36" xfId="36" applyNumberFormat="1" applyFont="1" applyBorder="1" applyAlignment="1">
      <alignment horizontal="right" vertical="top"/>
    </xf>
    <xf numFmtId="2" fontId="30" fillId="0" borderId="36" xfId="45" applyNumberFormat="1" applyFont="1" applyBorder="1" applyAlignment="1">
      <alignment horizontal="right" vertical="top"/>
    </xf>
    <xf numFmtId="4" fontId="30" fillId="0" borderId="32" xfId="52" applyNumberFormat="1" applyFont="1" applyBorder="1" applyAlignment="1">
      <alignment horizontal="right" vertical="top"/>
    </xf>
    <xf numFmtId="4" fontId="30" fillId="0" borderId="44" xfId="52" applyNumberFormat="1" applyFont="1" applyBorder="1" applyAlignment="1">
      <alignment horizontal="right" vertical="top"/>
    </xf>
    <xf numFmtId="4" fontId="30" fillId="0" borderId="9" xfId="52" applyNumberFormat="1" applyFont="1" applyBorder="1" applyAlignment="1">
      <alignment horizontal="right" vertical="top"/>
    </xf>
    <xf numFmtId="2" fontId="30" fillId="0" borderId="9" xfId="52" applyNumberFormat="1" applyFont="1" applyBorder="1" applyAlignment="1">
      <alignment horizontal="right" vertical="top"/>
    </xf>
    <xf numFmtId="4" fontId="30" fillId="0" borderId="36" xfId="52" applyNumberFormat="1" applyFont="1" applyBorder="1" applyAlignment="1">
      <alignment horizontal="right" vertical="top"/>
    </xf>
    <xf numFmtId="4" fontId="30" fillId="0" borderId="36" xfId="48" applyNumberFormat="1" applyFont="1" applyBorder="1" applyAlignment="1">
      <alignment horizontal="right" vertical="top"/>
    </xf>
    <xf numFmtId="4" fontId="30" fillId="0" borderId="30" xfId="48" applyNumberFormat="1" applyFont="1" applyBorder="1" applyAlignment="1">
      <alignment horizontal="right" vertical="top"/>
    </xf>
    <xf numFmtId="4" fontId="30" fillId="0" borderId="9" xfId="27" applyNumberFormat="1" applyFont="1" applyBorder="1" applyAlignment="1">
      <alignment horizontal="right" vertical="top"/>
    </xf>
    <xf numFmtId="2" fontId="30" fillId="3" borderId="9" xfId="6" applyNumberFormat="1" applyFont="1" applyFill="1" applyBorder="1" applyAlignment="1">
      <alignment horizontal="right" vertical="top" wrapText="1"/>
    </xf>
    <xf numFmtId="2" fontId="51" fillId="0" borderId="9" xfId="48" applyNumberFormat="1" applyFont="1" applyBorder="1" applyAlignment="1">
      <alignment horizontal="right" vertical="top"/>
    </xf>
    <xf numFmtId="4" fontId="30" fillId="0" borderId="32" xfId="34" applyNumberFormat="1" applyFont="1" applyBorder="1" applyAlignment="1">
      <alignment horizontal="right" vertical="top"/>
    </xf>
    <xf numFmtId="2" fontId="30" fillId="0" borderId="44" xfId="34" applyNumberFormat="1" applyFont="1" applyBorder="1" applyAlignment="1">
      <alignment horizontal="right" vertical="top"/>
    </xf>
    <xf numFmtId="4" fontId="30" fillId="0" borderId="44" xfId="34" applyNumberFormat="1" applyFont="1" applyBorder="1" applyAlignment="1">
      <alignment horizontal="right" vertical="top"/>
    </xf>
    <xf numFmtId="4" fontId="30" fillId="0" borderId="9" xfId="34" applyNumberFormat="1" applyFont="1" applyBorder="1" applyAlignment="1">
      <alignment horizontal="right" vertical="top"/>
    </xf>
    <xf numFmtId="2" fontId="30" fillId="0" borderId="9" xfId="34" applyNumberFormat="1" applyFont="1" applyBorder="1" applyAlignment="1">
      <alignment horizontal="right" vertical="top"/>
    </xf>
    <xf numFmtId="4" fontId="30" fillId="0" borderId="36" xfId="34" applyNumberFormat="1" applyFont="1" applyBorder="1" applyAlignment="1">
      <alignment horizontal="right" vertical="top"/>
    </xf>
    <xf numFmtId="0" fontId="29" fillId="0" borderId="0" xfId="0" applyFont="1" applyFill="1"/>
    <xf numFmtId="4" fontId="30" fillId="0" borderId="36" xfId="27" applyNumberFormat="1" applyFont="1" applyBorder="1" applyAlignment="1">
      <alignment horizontal="right" vertical="top"/>
    </xf>
    <xf numFmtId="4" fontId="30" fillId="0" borderId="27" xfId="0" applyNumberFormat="1" applyFont="1" applyFill="1" applyBorder="1"/>
    <xf numFmtId="4" fontId="30" fillId="0" borderId="27" xfId="0" applyNumberFormat="1" applyFont="1" applyBorder="1"/>
    <xf numFmtId="4" fontId="30" fillId="0" borderId="28" xfId="0" applyNumberFormat="1" applyFont="1" applyBorder="1"/>
    <xf numFmtId="4" fontId="30" fillId="0" borderId="30" xfId="27" applyNumberFormat="1" applyFont="1" applyBorder="1" applyAlignment="1">
      <alignment horizontal="right" vertical="top"/>
    </xf>
    <xf numFmtId="49" fontId="33" fillId="0" borderId="18" xfId="0" applyNumberFormat="1" applyFont="1" applyBorder="1" applyAlignment="1">
      <alignment horizontal="right"/>
    </xf>
    <xf numFmtId="4" fontId="30" fillId="0" borderId="36" xfId="33" applyNumberFormat="1" applyFont="1" applyBorder="1" applyAlignment="1">
      <alignment horizontal="right" vertical="top"/>
    </xf>
    <xf numFmtId="4" fontId="30" fillId="0" borderId="9" xfId="33" applyNumberFormat="1" applyFont="1" applyBorder="1" applyAlignment="1">
      <alignment horizontal="right" vertical="top"/>
    </xf>
    <xf numFmtId="2" fontId="30" fillId="0" borderId="9" xfId="33" applyNumberFormat="1" applyFont="1" applyBorder="1" applyAlignment="1">
      <alignment horizontal="right" vertical="top"/>
    </xf>
    <xf numFmtId="4" fontId="30" fillId="0" borderId="36" xfId="32" applyNumberFormat="1" applyFont="1" applyBorder="1" applyAlignment="1">
      <alignment horizontal="right" vertical="top"/>
    </xf>
    <xf numFmtId="4" fontId="30" fillId="0" borderId="32" xfId="32" applyNumberFormat="1" applyFont="1" applyBorder="1" applyAlignment="1">
      <alignment horizontal="right" vertical="top"/>
    </xf>
    <xf numFmtId="2" fontId="51" fillId="0" borderId="44" xfId="32" applyNumberFormat="1" applyFont="1" applyBorder="1" applyAlignment="1">
      <alignment horizontal="right" vertical="top"/>
    </xf>
    <xf numFmtId="4" fontId="30" fillId="0" borderId="9" xfId="32" applyNumberFormat="1" applyFont="1" applyBorder="1" applyAlignment="1">
      <alignment horizontal="right" vertical="top"/>
    </xf>
    <xf numFmtId="4" fontId="51" fillId="0" borderId="9" xfId="32" applyNumberFormat="1" applyFont="1" applyBorder="1" applyAlignment="1">
      <alignment horizontal="right" vertical="top"/>
    </xf>
    <xf numFmtId="4" fontId="33" fillId="0" borderId="58" xfId="0" applyNumberFormat="1" applyFont="1" applyBorder="1"/>
    <xf numFmtId="4" fontId="30" fillId="0" borderId="36" xfId="31" applyNumberFormat="1" applyFont="1" applyBorder="1" applyAlignment="1">
      <alignment horizontal="right" vertical="top"/>
    </xf>
    <xf numFmtId="4" fontId="30" fillId="0" borderId="9" xfId="31" applyNumberFormat="1" applyFont="1" applyBorder="1" applyAlignment="1">
      <alignment horizontal="right" vertical="top"/>
    </xf>
    <xf numFmtId="2" fontId="51" fillId="0" borderId="9" xfId="31" applyNumberFormat="1" applyFont="1" applyBorder="1" applyAlignment="1">
      <alignment horizontal="right" vertical="top"/>
    </xf>
    <xf numFmtId="2" fontId="30" fillId="0" borderId="36" xfId="31" applyNumberFormat="1" applyFont="1" applyBorder="1" applyAlignment="1">
      <alignment horizontal="right" vertical="top"/>
    </xf>
    <xf numFmtId="0" fontId="29" fillId="0" borderId="17" xfId="0" applyFont="1" applyFill="1" applyBorder="1"/>
    <xf numFmtId="0" fontId="33" fillId="4" borderId="5" xfId="0" applyFont="1" applyFill="1" applyBorder="1"/>
    <xf numFmtId="3" fontId="33" fillId="4" borderId="7" xfId="0" applyNumberFormat="1" applyFont="1" applyFill="1" applyBorder="1"/>
    <xf numFmtId="4" fontId="33" fillId="4" borderId="18" xfId="0" applyNumberFormat="1" applyFont="1" applyFill="1" applyBorder="1" applyAlignment="1">
      <alignment horizontal="right"/>
    </xf>
    <xf numFmtId="4" fontId="33" fillId="4" borderId="18" xfId="0" applyNumberFormat="1" applyFont="1" applyFill="1" applyBorder="1"/>
    <xf numFmtId="4" fontId="30" fillId="0" borderId="4" xfId="0" applyNumberFormat="1" applyFont="1" applyFill="1" applyBorder="1"/>
    <xf numFmtId="4" fontId="30" fillId="0" borderId="32" xfId="30" applyNumberFormat="1" applyFont="1" applyBorder="1" applyAlignment="1">
      <alignment horizontal="right" vertical="top"/>
    </xf>
    <xf numFmtId="4" fontId="30" fillId="0" borderId="44" xfId="30" applyNumberFormat="1" applyFont="1" applyBorder="1" applyAlignment="1">
      <alignment horizontal="right" vertical="top"/>
    </xf>
    <xf numFmtId="4" fontId="30" fillId="0" borderId="9" xfId="30" applyNumberFormat="1" applyFont="1" applyBorder="1" applyAlignment="1">
      <alignment horizontal="right" vertical="top"/>
    </xf>
    <xf numFmtId="4" fontId="30" fillId="0" borderId="32" xfId="22" applyNumberFormat="1" applyFont="1" applyBorder="1"/>
    <xf numFmtId="4" fontId="30" fillId="3" borderId="32" xfId="6" applyNumberFormat="1" applyFont="1" applyFill="1" applyBorder="1" applyAlignment="1">
      <alignment horizontal="right" vertical="top" wrapText="1"/>
    </xf>
    <xf numFmtId="4" fontId="30" fillId="0" borderId="36" xfId="30" applyNumberFormat="1" applyFont="1" applyBorder="1" applyAlignment="1">
      <alignment horizontal="right" vertical="top"/>
    </xf>
    <xf numFmtId="4" fontId="30" fillId="0" borderId="9" xfId="29" applyNumberFormat="1" applyFont="1" applyBorder="1" applyAlignment="1">
      <alignment horizontal="right" vertical="top"/>
    </xf>
    <xf numFmtId="2" fontId="30" fillId="0" borderId="9" xfId="29" applyNumberFormat="1" applyFont="1" applyBorder="1" applyAlignment="1">
      <alignment horizontal="right" vertical="top"/>
    </xf>
    <xf numFmtId="4" fontId="30" fillId="0" borderId="55" xfId="2" applyNumberFormat="1" applyFont="1" applyBorder="1" applyAlignment="1">
      <alignment horizontal="right" vertical="top"/>
    </xf>
    <xf numFmtId="4" fontId="30" fillId="0" borderId="23" xfId="2" applyNumberFormat="1" applyFont="1" applyBorder="1" applyAlignment="1">
      <alignment horizontal="right" vertical="top"/>
    </xf>
    <xf numFmtId="4" fontId="30" fillId="0" borderId="30" xfId="29" applyNumberFormat="1" applyFont="1" applyBorder="1" applyAlignment="1">
      <alignment horizontal="right" vertical="top"/>
    </xf>
    <xf numFmtId="4" fontId="30" fillId="3" borderId="57" xfId="6" applyNumberFormat="1" applyFont="1" applyFill="1" applyBorder="1" applyAlignment="1">
      <alignment horizontal="right" vertical="top" wrapText="1"/>
    </xf>
    <xf numFmtId="4" fontId="30" fillId="0" borderId="6" xfId="29" applyNumberFormat="1" applyFont="1" applyBorder="1" applyAlignment="1">
      <alignment horizontal="right" vertical="top"/>
    </xf>
    <xf numFmtId="4" fontId="30" fillId="0" borderId="6" xfId="25" applyNumberFormat="1" applyFont="1" applyBorder="1" applyAlignment="1">
      <alignment horizontal="right" vertical="top"/>
    </xf>
    <xf numFmtId="4" fontId="30" fillId="0" borderId="6" xfId="0" applyNumberFormat="1" applyFont="1" applyBorder="1"/>
    <xf numFmtId="4" fontId="30" fillId="0" borderId="7" xfId="0" applyNumberFormat="1" applyFont="1" applyBorder="1"/>
    <xf numFmtId="4" fontId="30" fillId="0" borderId="36" xfId="47" applyNumberFormat="1" applyFont="1" applyBorder="1" applyAlignment="1">
      <alignment horizontal="right" vertical="top"/>
    </xf>
    <xf numFmtId="4" fontId="30" fillId="0" borderId="9" xfId="47" applyNumberFormat="1" applyFont="1" applyBorder="1" applyAlignment="1">
      <alignment horizontal="right" vertical="top"/>
    </xf>
    <xf numFmtId="2" fontId="51" fillId="0" borderId="9" xfId="47" applyNumberFormat="1" applyFont="1" applyBorder="1" applyAlignment="1">
      <alignment horizontal="right" vertical="top"/>
    </xf>
    <xf numFmtId="4" fontId="38" fillId="0" borderId="36" xfId="45" applyNumberFormat="1" applyFont="1" applyBorder="1" applyAlignment="1">
      <alignment horizontal="right" vertical="top"/>
    </xf>
    <xf numFmtId="4" fontId="33" fillId="0" borderId="36" xfId="25" applyNumberFormat="1" applyFont="1" applyBorder="1" applyAlignment="1">
      <alignment horizontal="right" vertical="top"/>
    </xf>
    <xf numFmtId="4" fontId="38" fillId="0" borderId="36" xfId="36" applyNumberFormat="1" applyFont="1" applyBorder="1" applyAlignment="1">
      <alignment horizontal="right" vertical="top"/>
    </xf>
    <xf numFmtId="4" fontId="38" fillId="0" borderId="23" xfId="45" applyNumberFormat="1" applyFont="1" applyBorder="1" applyAlignment="1">
      <alignment horizontal="right" vertical="top"/>
    </xf>
    <xf numFmtId="2" fontId="52" fillId="0" borderId="30" xfId="45" applyNumberFormat="1" applyFont="1" applyBorder="1" applyAlignment="1">
      <alignment horizontal="right" vertical="top"/>
    </xf>
    <xf numFmtId="4" fontId="38" fillId="0" borderId="30" xfId="45" applyNumberFormat="1" applyFont="1" applyBorder="1" applyAlignment="1">
      <alignment horizontal="right" vertical="top"/>
    </xf>
    <xf numFmtId="4" fontId="39" fillId="3" borderId="30" xfId="6" applyNumberFormat="1" applyFont="1" applyFill="1" applyBorder="1" applyAlignment="1">
      <alignment horizontal="right" vertical="top" wrapText="1"/>
    </xf>
    <xf numFmtId="4" fontId="38" fillId="0" borderId="32" xfId="45" applyNumberFormat="1" applyFont="1" applyBorder="1" applyAlignment="1">
      <alignment horizontal="right" vertical="top"/>
    </xf>
    <xf numFmtId="2" fontId="52" fillId="0" borderId="9" xfId="45" applyNumberFormat="1" applyFont="1" applyBorder="1" applyAlignment="1">
      <alignment horizontal="right" vertical="top"/>
    </xf>
    <xf numFmtId="4" fontId="38" fillId="0" borderId="9" xfId="45" applyNumberFormat="1" applyFont="1" applyBorder="1" applyAlignment="1">
      <alignment horizontal="right" vertical="top"/>
    </xf>
    <xf numFmtId="4" fontId="33" fillId="0" borderId="9" xfId="14" applyNumberFormat="1" applyFont="1" applyBorder="1" applyAlignment="1">
      <alignment horizontal="right" vertical="top"/>
    </xf>
    <xf numFmtId="4" fontId="38" fillId="0" borderId="9" xfId="36" applyNumberFormat="1" applyFont="1" applyBorder="1" applyAlignment="1">
      <alignment horizontal="right" vertical="top"/>
    </xf>
    <xf numFmtId="2" fontId="38" fillId="0" borderId="36" xfId="45" applyNumberFormat="1" applyFont="1" applyBorder="1" applyAlignment="1">
      <alignment horizontal="right" vertical="top"/>
    </xf>
    <xf numFmtId="4" fontId="30" fillId="0" borderId="36" xfId="44" applyNumberFormat="1" applyFont="1" applyBorder="1" applyAlignment="1">
      <alignment horizontal="right" vertical="top"/>
    </xf>
    <xf numFmtId="4" fontId="30" fillId="0" borderId="36" xfId="39" applyNumberFormat="1" applyFont="1" applyBorder="1" applyAlignment="1">
      <alignment horizontal="right" vertical="top"/>
    </xf>
    <xf numFmtId="4" fontId="30" fillId="0" borderId="9" xfId="44" applyNumberFormat="1" applyFont="1" applyBorder="1" applyAlignment="1">
      <alignment horizontal="right" vertical="top"/>
    </xf>
    <xf numFmtId="2" fontId="30" fillId="0" borderId="9" xfId="44" applyNumberFormat="1" applyFont="1" applyBorder="1" applyAlignment="1">
      <alignment horizontal="right" vertical="top"/>
    </xf>
    <xf numFmtId="4" fontId="30" fillId="0" borderId="36" xfId="43" applyNumberFormat="1" applyFont="1" applyBorder="1" applyAlignment="1">
      <alignment horizontal="right" vertical="top"/>
    </xf>
    <xf numFmtId="4" fontId="30" fillId="0" borderId="9" xfId="43" applyNumberFormat="1" applyFont="1" applyBorder="1" applyAlignment="1">
      <alignment horizontal="right" vertical="top"/>
    </xf>
    <xf numFmtId="2" fontId="30" fillId="0" borderId="9" xfId="43" applyNumberFormat="1" applyFont="1" applyBorder="1" applyAlignment="1">
      <alignment horizontal="right" vertical="top"/>
    </xf>
    <xf numFmtId="0" fontId="29" fillId="5" borderId="0" xfId="0" applyFont="1" applyFill="1"/>
    <xf numFmtId="4" fontId="30" fillId="0" borderId="32" xfId="42" applyNumberFormat="1" applyFont="1" applyBorder="1" applyAlignment="1">
      <alignment horizontal="right" vertical="top"/>
    </xf>
    <xf numFmtId="2" fontId="30" fillId="0" borderId="44" xfId="42" applyNumberFormat="1" applyFont="1" applyBorder="1" applyAlignment="1">
      <alignment horizontal="right" vertical="top"/>
    </xf>
    <xf numFmtId="4" fontId="30" fillId="0" borderId="44" xfId="42" applyNumberFormat="1" applyFont="1" applyBorder="1" applyAlignment="1">
      <alignment horizontal="right" vertical="top"/>
    </xf>
    <xf numFmtId="4" fontId="30" fillId="0" borderId="9" xfId="42" applyNumberFormat="1" applyFont="1" applyBorder="1" applyAlignment="1">
      <alignment horizontal="right" vertical="top"/>
    </xf>
    <xf numFmtId="2" fontId="30" fillId="0" borderId="9" xfId="42" applyNumberFormat="1" applyFont="1" applyBorder="1" applyAlignment="1">
      <alignment horizontal="right" vertical="top"/>
    </xf>
    <xf numFmtId="4" fontId="51" fillId="0" borderId="9" xfId="36" applyNumberFormat="1" applyFont="1" applyBorder="1" applyAlignment="1">
      <alignment horizontal="right" vertical="top"/>
    </xf>
    <xf numFmtId="4" fontId="36" fillId="0" borderId="0" xfId="0" applyNumberFormat="1" applyFont="1" applyFill="1" applyBorder="1" applyAlignment="1">
      <alignment horizontal="center" vertical="center" wrapText="1"/>
    </xf>
    <xf numFmtId="4" fontId="30" fillId="0" borderId="36" xfId="41" applyNumberFormat="1" applyFont="1" applyBorder="1" applyAlignment="1">
      <alignment horizontal="right" vertical="top"/>
    </xf>
    <xf numFmtId="4" fontId="30" fillId="0" borderId="9" xfId="41" applyNumberFormat="1" applyFont="1" applyBorder="1" applyAlignment="1">
      <alignment horizontal="right" vertical="top"/>
    </xf>
    <xf numFmtId="2" fontId="51" fillId="0" borderId="9" xfId="41" applyNumberFormat="1" applyFont="1" applyBorder="1" applyAlignment="1">
      <alignment horizontal="right" vertical="top"/>
    </xf>
    <xf numFmtId="4" fontId="30" fillId="0" borderId="32" xfId="40" applyNumberFormat="1" applyFont="1" applyBorder="1" applyAlignment="1">
      <alignment horizontal="right" vertical="top"/>
    </xf>
    <xf numFmtId="4" fontId="30" fillId="0" borderId="44" xfId="40" applyNumberFormat="1" applyFont="1" applyBorder="1" applyAlignment="1">
      <alignment horizontal="right" vertical="top"/>
    </xf>
    <xf numFmtId="4" fontId="30" fillId="0" borderId="9" xfId="39" applyNumberFormat="1" applyFont="1" applyBorder="1" applyAlignment="1">
      <alignment horizontal="right" vertical="top"/>
    </xf>
    <xf numFmtId="2" fontId="30" fillId="0" borderId="44" xfId="40" applyNumberFormat="1" applyFont="1" applyBorder="1" applyAlignment="1">
      <alignment horizontal="right" vertical="top"/>
    </xf>
    <xf numFmtId="4" fontId="30" fillId="0" borderId="9" xfId="40" applyNumberFormat="1" applyFont="1" applyBorder="1" applyAlignment="1">
      <alignment horizontal="right" vertical="top"/>
    </xf>
    <xf numFmtId="2" fontId="30" fillId="0" borderId="9" xfId="40" applyNumberFormat="1" applyFont="1" applyBorder="1" applyAlignment="1">
      <alignment horizontal="right" vertical="top"/>
    </xf>
    <xf numFmtId="4" fontId="33" fillId="0" borderId="40" xfId="0" applyNumberFormat="1" applyFont="1" applyFill="1" applyBorder="1"/>
    <xf numFmtId="0" fontId="37" fillId="0" borderId="9" xfId="0" applyFont="1" applyBorder="1"/>
    <xf numFmtId="0" fontId="37" fillId="0" borderId="10" xfId="0" applyFont="1" applyBorder="1"/>
    <xf numFmtId="4" fontId="30" fillId="0" borderId="32" xfId="39" applyNumberFormat="1" applyFont="1" applyBorder="1" applyAlignment="1">
      <alignment horizontal="right" vertical="top"/>
    </xf>
    <xf numFmtId="2" fontId="51" fillId="0" borderId="44" xfId="39" applyNumberFormat="1" applyFont="1" applyBorder="1" applyAlignment="1">
      <alignment horizontal="right" vertical="top"/>
    </xf>
    <xf numFmtId="4" fontId="30" fillId="0" borderId="44" xfId="39" applyNumberFormat="1" applyFont="1" applyBorder="1" applyAlignment="1">
      <alignment horizontal="right" vertical="top"/>
    </xf>
    <xf numFmtId="2" fontId="30" fillId="0" borderId="9" xfId="39" applyNumberFormat="1" applyFont="1" applyBorder="1" applyAlignment="1">
      <alignment horizontal="right" vertical="top"/>
    </xf>
    <xf numFmtId="2" fontId="30" fillId="0" borderId="44" xfId="39" applyNumberFormat="1" applyFont="1" applyBorder="1" applyAlignment="1">
      <alignment horizontal="right" vertical="top"/>
    </xf>
    <xf numFmtId="4" fontId="30" fillId="0" borderId="36" xfId="38" applyNumberFormat="1" applyFont="1" applyBorder="1" applyAlignment="1">
      <alignment horizontal="right" vertical="top"/>
    </xf>
    <xf numFmtId="4" fontId="30" fillId="0" borderId="36" xfId="37" applyNumberFormat="1" applyFont="1" applyBorder="1" applyAlignment="1">
      <alignment horizontal="right" vertical="top"/>
    </xf>
    <xf numFmtId="4" fontId="30" fillId="0" borderId="32" xfId="38" applyNumberFormat="1" applyFont="1" applyBorder="1" applyAlignment="1">
      <alignment horizontal="right" vertical="top"/>
    </xf>
    <xf numFmtId="2" fontId="51" fillId="0" borderId="9" xfId="38" applyNumberFormat="1" applyFont="1" applyBorder="1" applyAlignment="1">
      <alignment horizontal="right" vertical="top"/>
    </xf>
    <xf numFmtId="4" fontId="30" fillId="0" borderId="9" xfId="38" applyNumberFormat="1" applyFont="1" applyBorder="1" applyAlignment="1">
      <alignment horizontal="right" vertical="top"/>
    </xf>
    <xf numFmtId="4" fontId="30" fillId="0" borderId="32" xfId="37" applyNumberFormat="1" applyFont="1" applyBorder="1" applyAlignment="1">
      <alignment horizontal="right" vertical="top"/>
    </xf>
    <xf numFmtId="2" fontId="30" fillId="0" borderId="44" xfId="37" applyNumberFormat="1" applyFont="1" applyBorder="1" applyAlignment="1">
      <alignment horizontal="right" vertical="top"/>
    </xf>
    <xf numFmtId="4" fontId="30" fillId="0" borderId="44" xfId="37" applyNumberFormat="1" applyFont="1" applyBorder="1" applyAlignment="1">
      <alignment horizontal="right" vertical="top"/>
    </xf>
    <xf numFmtId="4" fontId="30" fillId="0" borderId="9" xfId="37" applyNumberFormat="1" applyFont="1" applyBorder="1" applyAlignment="1">
      <alignment horizontal="right" vertical="top"/>
    </xf>
    <xf numFmtId="2" fontId="30" fillId="0" borderId="9" xfId="37" applyNumberFormat="1" applyFont="1" applyBorder="1" applyAlignment="1">
      <alignment horizontal="right" vertical="top"/>
    </xf>
    <xf numFmtId="4" fontId="30" fillId="0" borderId="32" xfId="36" applyNumberFormat="1" applyFont="1" applyBorder="1" applyAlignment="1">
      <alignment horizontal="right" vertical="top"/>
    </xf>
    <xf numFmtId="4" fontId="30" fillId="0" borderId="44" xfId="36" applyNumberFormat="1" applyFont="1" applyBorder="1" applyAlignment="1">
      <alignment horizontal="right" vertical="top"/>
    </xf>
    <xf numFmtId="2" fontId="30" fillId="0" borderId="9" xfId="36" applyNumberFormat="1" applyFont="1" applyBorder="1" applyAlignment="1">
      <alignment horizontal="right" vertical="top"/>
    </xf>
    <xf numFmtId="4" fontId="30" fillId="0" borderId="30" xfId="36" applyNumberFormat="1" applyFont="1" applyBorder="1" applyAlignment="1">
      <alignment horizontal="right" vertical="top"/>
    </xf>
    <xf numFmtId="4" fontId="30" fillId="0" borderId="36" xfId="35" applyNumberFormat="1" applyFont="1" applyBorder="1" applyAlignment="1">
      <alignment horizontal="right" vertical="top"/>
    </xf>
    <xf numFmtId="4" fontId="30" fillId="0" borderId="9" xfId="35" applyNumberFormat="1" applyFont="1" applyBorder="1" applyAlignment="1">
      <alignment horizontal="right" vertical="top"/>
    </xf>
    <xf numFmtId="0" fontId="29" fillId="0" borderId="9" xfId="0" applyFont="1" applyFill="1" applyBorder="1" applyAlignment="1">
      <alignment wrapText="1"/>
    </xf>
    <xf numFmtId="4" fontId="30" fillId="0" borderId="32" xfId="51" applyNumberFormat="1" applyFont="1" applyBorder="1" applyAlignment="1">
      <alignment horizontal="right" vertical="top"/>
    </xf>
    <xf numFmtId="2" fontId="30" fillId="0" borderId="44" xfId="51" applyNumberFormat="1" applyFont="1" applyBorder="1" applyAlignment="1">
      <alignment horizontal="right" vertical="top"/>
    </xf>
    <xf numFmtId="4" fontId="30" fillId="0" borderId="44" xfId="51" applyNumberFormat="1" applyFont="1" applyBorder="1" applyAlignment="1">
      <alignment horizontal="right" vertical="top"/>
    </xf>
    <xf numFmtId="4" fontId="30" fillId="0" borderId="9" xfId="51" applyNumberFormat="1" applyFont="1" applyBorder="1" applyAlignment="1">
      <alignment horizontal="right" vertical="top"/>
    </xf>
    <xf numFmtId="2" fontId="30" fillId="0" borderId="9" xfId="51" applyNumberFormat="1" applyFont="1" applyBorder="1" applyAlignment="1">
      <alignment horizontal="right" vertical="top"/>
    </xf>
    <xf numFmtId="4" fontId="30" fillId="0" borderId="36" xfId="51" applyNumberFormat="1" applyFont="1" applyBorder="1" applyAlignment="1">
      <alignment horizontal="right" vertical="top"/>
    </xf>
    <xf numFmtId="4" fontId="30" fillId="0" borderId="36" xfId="50" applyNumberFormat="1" applyFont="1" applyBorder="1" applyAlignment="1">
      <alignment horizontal="right" vertical="top"/>
    </xf>
    <xf numFmtId="4" fontId="51" fillId="0" borderId="36" xfId="25" applyNumberFormat="1" applyFont="1" applyBorder="1" applyAlignment="1">
      <alignment horizontal="right" vertical="top"/>
    </xf>
    <xf numFmtId="4" fontId="30" fillId="0" borderId="32" xfId="50" applyNumberFormat="1" applyFont="1" applyBorder="1" applyAlignment="1">
      <alignment horizontal="right" vertical="top"/>
    </xf>
    <xf numFmtId="2" fontId="30" fillId="0" borderId="44" xfId="50" applyNumberFormat="1" applyFont="1" applyBorder="1" applyAlignment="1">
      <alignment horizontal="right" vertical="top"/>
    </xf>
    <xf numFmtId="4" fontId="30" fillId="0" borderId="9" xfId="50" applyNumberFormat="1" applyFont="1" applyBorder="1" applyAlignment="1">
      <alignment horizontal="right" vertical="top"/>
    </xf>
    <xf numFmtId="4" fontId="30" fillId="0" borderId="32" xfId="49" applyNumberFormat="1" applyFont="1" applyBorder="1" applyAlignment="1">
      <alignment horizontal="right" vertical="top"/>
    </xf>
    <xf numFmtId="4" fontId="30" fillId="0" borderId="44" xfId="49" applyNumberFormat="1" applyFont="1" applyBorder="1" applyAlignment="1">
      <alignment horizontal="right" vertical="top"/>
    </xf>
    <xf numFmtId="4" fontId="30" fillId="0" borderId="36" xfId="49" applyNumberFormat="1" applyFont="1" applyBorder="1" applyAlignment="1">
      <alignment horizontal="right" vertical="top"/>
    </xf>
    <xf numFmtId="4" fontId="30" fillId="0" borderId="9" xfId="49" applyNumberFormat="1" applyFont="1" applyBorder="1" applyAlignment="1">
      <alignment horizontal="right" vertical="top"/>
    </xf>
    <xf numFmtId="2" fontId="30" fillId="0" borderId="9" xfId="49" applyNumberFormat="1" applyFont="1" applyBorder="1" applyAlignment="1">
      <alignment horizontal="right" vertical="top"/>
    </xf>
    <xf numFmtId="4" fontId="30" fillId="0" borderId="30" xfId="49" applyNumberFormat="1" applyFont="1" applyBorder="1" applyAlignment="1">
      <alignment horizontal="right" vertical="top"/>
    </xf>
    <xf numFmtId="2" fontId="30" fillId="0" borderId="30" xfId="49" applyNumberFormat="1" applyFont="1" applyBorder="1" applyAlignment="1">
      <alignment horizontal="right" vertical="top"/>
    </xf>
    <xf numFmtId="4" fontId="30" fillId="0" borderId="30" xfId="59" applyNumberFormat="1" applyFont="1" applyBorder="1" applyAlignment="1">
      <alignment horizontal="right" vertical="top"/>
    </xf>
    <xf numFmtId="2" fontId="30" fillId="0" borderId="30" xfId="59" applyNumberFormat="1" applyFont="1" applyBorder="1" applyAlignment="1">
      <alignment horizontal="right" vertical="top"/>
    </xf>
    <xf numFmtId="4" fontId="30" fillId="0" borderId="56" xfId="0" applyNumberFormat="1" applyFont="1" applyBorder="1"/>
    <xf numFmtId="4" fontId="30" fillId="0" borderId="9" xfId="59" applyNumberFormat="1" applyFont="1" applyBorder="1" applyAlignment="1">
      <alignment horizontal="right" vertical="top"/>
    </xf>
    <xf numFmtId="2" fontId="30" fillId="0" borderId="9" xfId="59" applyNumberFormat="1" applyFont="1" applyBorder="1" applyAlignment="1">
      <alignment horizontal="right" vertical="top"/>
    </xf>
    <xf numFmtId="4" fontId="30" fillId="0" borderId="56" xfId="0" applyNumberFormat="1" applyFont="1" applyFill="1" applyBorder="1"/>
    <xf numFmtId="4" fontId="30" fillId="0" borderId="32" xfId="59" applyNumberFormat="1" applyFont="1" applyBorder="1" applyAlignment="1">
      <alignment horizontal="right" vertical="top"/>
    </xf>
    <xf numFmtId="4" fontId="30" fillId="0" borderId="44" xfId="59" applyNumberFormat="1" applyFont="1" applyBorder="1" applyAlignment="1">
      <alignment horizontal="right" vertical="top"/>
    </xf>
    <xf numFmtId="4" fontId="30" fillId="0" borderId="36" xfId="59" applyNumberFormat="1" applyFont="1" applyBorder="1" applyAlignment="1">
      <alignment horizontal="right" vertical="top"/>
    </xf>
    <xf numFmtId="2" fontId="30" fillId="0" borderId="9" xfId="45" applyNumberFormat="1" applyFont="1" applyBorder="1" applyAlignment="1">
      <alignment horizontal="right" vertical="top"/>
    </xf>
    <xf numFmtId="4" fontId="30" fillId="0" borderId="32" xfId="58" applyNumberFormat="1" applyFont="1" applyBorder="1" applyAlignment="1">
      <alignment horizontal="right" vertical="top"/>
    </xf>
    <xf numFmtId="2" fontId="30" fillId="0" borderId="44" xfId="58" applyNumberFormat="1" applyFont="1" applyBorder="1" applyAlignment="1">
      <alignment horizontal="right" vertical="top"/>
    </xf>
    <xf numFmtId="4" fontId="30" fillId="0" borderId="44" xfId="58" applyNumberFormat="1" applyFont="1" applyBorder="1" applyAlignment="1">
      <alignment horizontal="right" vertical="top"/>
    </xf>
    <xf numFmtId="4" fontId="30" fillId="0" borderId="9" xfId="58" applyNumberFormat="1" applyFont="1" applyBorder="1" applyAlignment="1">
      <alignment horizontal="right" vertical="top"/>
    </xf>
    <xf numFmtId="2" fontId="30" fillId="0" borderId="9" xfId="58" applyNumberFormat="1" applyFont="1" applyBorder="1" applyAlignment="1">
      <alignment horizontal="right" vertical="top"/>
    </xf>
    <xf numFmtId="2" fontId="30" fillId="0" borderId="30" xfId="16" applyNumberFormat="1" applyFont="1" applyBorder="1" applyAlignment="1">
      <alignment horizontal="right" vertical="top"/>
    </xf>
    <xf numFmtId="4" fontId="30" fillId="0" borderId="36" xfId="58" applyNumberFormat="1" applyFont="1" applyBorder="1" applyAlignment="1">
      <alignment horizontal="right" vertical="top"/>
    </xf>
    <xf numFmtId="4" fontId="30" fillId="0" borderId="32" xfId="57" applyNumberFormat="1" applyFont="1" applyBorder="1" applyAlignment="1">
      <alignment horizontal="right" vertical="top"/>
    </xf>
    <xf numFmtId="4" fontId="30" fillId="0" borderId="44" xfId="57" applyNumberFormat="1" applyFont="1" applyBorder="1" applyAlignment="1">
      <alignment horizontal="right" vertical="top"/>
    </xf>
    <xf numFmtId="4" fontId="30" fillId="0" borderId="9" xfId="57" applyNumberFormat="1" applyFont="1" applyBorder="1" applyAlignment="1">
      <alignment horizontal="right" vertical="top"/>
    </xf>
    <xf numFmtId="2" fontId="30" fillId="0" borderId="9" xfId="57" applyNumberFormat="1" applyFont="1" applyBorder="1" applyAlignment="1">
      <alignment horizontal="right" vertical="top"/>
    </xf>
    <xf numFmtId="4" fontId="30" fillId="0" borderId="36" xfId="57" applyNumberFormat="1" applyFont="1" applyBorder="1" applyAlignment="1">
      <alignment horizontal="right" vertical="top"/>
    </xf>
    <xf numFmtId="4" fontId="30" fillId="0" borderId="32" xfId="56" applyNumberFormat="1" applyFont="1" applyBorder="1" applyAlignment="1">
      <alignment horizontal="right" vertical="top"/>
    </xf>
    <xf numFmtId="4" fontId="30" fillId="0" borderId="44" xfId="56" applyNumberFormat="1" applyFont="1" applyBorder="1" applyAlignment="1">
      <alignment horizontal="right" vertical="top"/>
    </xf>
    <xf numFmtId="4" fontId="30" fillId="0" borderId="9" xfId="56" applyNumberFormat="1" applyFont="1" applyBorder="1" applyAlignment="1">
      <alignment horizontal="right" vertical="top"/>
    </xf>
    <xf numFmtId="4" fontId="30" fillId="0" borderId="36" xfId="56" applyNumberFormat="1" applyFont="1" applyBorder="1" applyAlignment="1">
      <alignment horizontal="right" vertical="top"/>
    </xf>
    <xf numFmtId="2" fontId="30" fillId="0" borderId="9" xfId="56" applyNumberFormat="1" applyFont="1" applyBorder="1" applyAlignment="1">
      <alignment horizontal="right" vertical="top"/>
    </xf>
    <xf numFmtId="0" fontId="29" fillId="0" borderId="11" xfId="0" applyFont="1" applyBorder="1"/>
    <xf numFmtId="0" fontId="29" fillId="0" borderId="12" xfId="0" applyFont="1" applyBorder="1"/>
    <xf numFmtId="4" fontId="29" fillId="0" borderId="13" xfId="0" applyNumberFormat="1" applyFont="1" applyBorder="1"/>
    <xf numFmtId="0" fontId="33" fillId="0" borderId="24" xfId="0" applyFont="1" applyBorder="1"/>
    <xf numFmtId="4" fontId="33" fillId="0" borderId="60" xfId="0" applyNumberFormat="1" applyFont="1" applyBorder="1"/>
    <xf numFmtId="4" fontId="39" fillId="3" borderId="58" xfId="15" applyNumberFormat="1" applyFont="1" applyFill="1" applyBorder="1" applyAlignment="1">
      <alignment horizontal="right" vertical="top" wrapText="1"/>
    </xf>
    <xf numFmtId="4" fontId="30" fillId="0" borderId="36" xfId="55" applyNumberFormat="1" applyFont="1" applyBorder="1" applyAlignment="1">
      <alignment horizontal="right" vertical="top"/>
    </xf>
    <xf numFmtId="4" fontId="30" fillId="0" borderId="32" xfId="55" applyNumberFormat="1" applyFont="1" applyBorder="1" applyAlignment="1">
      <alignment horizontal="right" vertical="top"/>
    </xf>
    <xf numFmtId="4" fontId="30" fillId="0" borderId="30" xfId="55" applyNumberFormat="1" applyFont="1" applyBorder="1" applyAlignment="1">
      <alignment horizontal="right" vertical="top"/>
    </xf>
    <xf numFmtId="4" fontId="30" fillId="0" borderId="9" xfId="55" applyNumberFormat="1" applyFont="1" applyBorder="1" applyAlignment="1">
      <alignment horizontal="right" vertical="top"/>
    </xf>
    <xf numFmtId="2" fontId="30" fillId="0" borderId="9" xfId="55" applyNumberFormat="1" applyFont="1" applyBorder="1" applyAlignment="1">
      <alignment horizontal="right" vertical="top"/>
    </xf>
    <xf numFmtId="4" fontId="30" fillId="0" borderId="32" xfId="54" applyNumberFormat="1" applyFont="1" applyBorder="1" applyAlignment="1">
      <alignment horizontal="right" vertical="top"/>
    </xf>
    <xf numFmtId="4" fontId="30" fillId="0" borderId="44" xfId="54" applyNumberFormat="1" applyFont="1" applyBorder="1" applyAlignment="1">
      <alignment horizontal="right" vertical="top"/>
    </xf>
    <xf numFmtId="4" fontId="30" fillId="0" borderId="36" xfId="54" applyNumberFormat="1" applyFont="1" applyBorder="1" applyAlignment="1">
      <alignment horizontal="right" vertical="top"/>
    </xf>
    <xf numFmtId="4" fontId="30" fillId="0" borderId="9" xfId="54" applyNumberFormat="1" applyFont="1" applyBorder="1" applyAlignment="1">
      <alignment horizontal="right" vertical="top"/>
    </xf>
    <xf numFmtId="2" fontId="30" fillId="0" borderId="9" xfId="54" applyNumberFormat="1" applyFont="1" applyBorder="1" applyAlignment="1">
      <alignment horizontal="right" vertical="top"/>
    </xf>
    <xf numFmtId="4" fontId="30" fillId="0" borderId="32" xfId="60" applyNumberFormat="1" applyFont="1" applyBorder="1" applyAlignment="1">
      <alignment horizontal="right" vertical="top"/>
    </xf>
    <xf numFmtId="4" fontId="30" fillId="0" borderId="44" xfId="60" applyNumberFormat="1" applyFont="1" applyBorder="1" applyAlignment="1">
      <alignment horizontal="right" vertical="top"/>
    </xf>
    <xf numFmtId="4" fontId="30" fillId="0" borderId="9" xfId="60" applyNumberFormat="1" applyFont="1" applyBorder="1" applyAlignment="1">
      <alignment horizontal="right" vertical="top"/>
    </xf>
    <xf numFmtId="4" fontId="30" fillId="0" borderId="30" xfId="60" applyNumberFormat="1" applyFont="1" applyBorder="1" applyAlignment="1">
      <alignment horizontal="right" vertical="top"/>
    </xf>
    <xf numFmtId="0" fontId="42" fillId="2" borderId="0" xfId="0" applyFont="1" applyFill="1"/>
    <xf numFmtId="4" fontId="53" fillId="2" borderId="0" xfId="0" applyNumberFormat="1" applyFont="1" applyFill="1"/>
    <xf numFmtId="4" fontId="54" fillId="0" borderId="0" xfId="0" applyNumberFormat="1" applyFont="1"/>
    <xf numFmtId="0" fontId="31" fillId="0" borderId="0" xfId="0" applyFont="1"/>
    <xf numFmtId="0" fontId="42" fillId="0" borderId="1" xfId="0" applyFont="1" applyBorder="1"/>
    <xf numFmtId="4" fontId="42" fillId="0" borderId="2" xfId="0" applyNumberFormat="1" applyFont="1" applyBorder="1"/>
    <xf numFmtId="4" fontId="42" fillId="0" borderId="3" xfId="0" applyNumberFormat="1" applyFont="1" applyBorder="1" applyAlignment="1">
      <alignment horizontal="center" vertical="center" wrapText="1"/>
    </xf>
    <xf numFmtId="4" fontId="42" fillId="0" borderId="4" xfId="0" applyNumberFormat="1" applyFont="1" applyBorder="1" applyAlignment="1">
      <alignment horizontal="center" vertical="center" wrapText="1"/>
    </xf>
    <xf numFmtId="0" fontId="42" fillId="0" borderId="35" xfId="0" applyFont="1" applyBorder="1"/>
    <xf numFmtId="4" fontId="42" fillId="0" borderId="26" xfId="0" applyNumberFormat="1" applyFont="1" applyBorder="1"/>
    <xf numFmtId="3" fontId="42" fillId="0" borderId="28" xfId="0" applyNumberFormat="1" applyFont="1" applyBorder="1"/>
    <xf numFmtId="0" fontId="42" fillId="0" borderId="5" xfId="0" applyFont="1" applyBorder="1"/>
    <xf numFmtId="4" fontId="42" fillId="0" borderId="9" xfId="0" applyNumberFormat="1" applyFont="1" applyBorder="1"/>
    <xf numFmtId="0" fontId="42" fillId="0" borderId="11" xfId="0" applyFont="1" applyBorder="1"/>
    <xf numFmtId="4" fontId="42" fillId="0" borderId="12" xfId="0" applyNumberFormat="1" applyFont="1" applyBorder="1"/>
    <xf numFmtId="3" fontId="42" fillId="0" borderId="13" xfId="0" applyNumberFormat="1" applyFont="1" applyBorder="1"/>
    <xf numFmtId="0" fontId="55" fillId="0" borderId="0" xfId="0" applyFont="1" applyBorder="1"/>
    <xf numFmtId="4" fontId="55" fillId="0" borderId="0" xfId="0" applyNumberFormat="1" applyFont="1" applyBorder="1"/>
    <xf numFmtId="3" fontId="55" fillId="0" borderId="0" xfId="0" applyNumberFormat="1" applyFont="1" applyBorder="1"/>
    <xf numFmtId="0" fontId="42" fillId="2" borderId="14" xfId="0" applyFont="1" applyFill="1" applyBorder="1"/>
    <xf numFmtId="4" fontId="42" fillId="2" borderId="15" xfId="0" applyNumberFormat="1" applyFont="1" applyFill="1" applyBorder="1"/>
    <xf numFmtId="3" fontId="42" fillId="2" borderId="16" xfId="0" applyNumberFormat="1" applyFont="1" applyFill="1" applyBorder="1" applyAlignment="1">
      <alignment horizontal="right"/>
    </xf>
    <xf numFmtId="0" fontId="42" fillId="0" borderId="17" xfId="0" applyFont="1" applyBorder="1"/>
    <xf numFmtId="4" fontId="42" fillId="0" borderId="0" xfId="0" applyNumberFormat="1" applyFont="1" applyBorder="1"/>
    <xf numFmtId="4" fontId="42" fillId="0" borderId="18" xfId="0" applyNumberFormat="1" applyFont="1" applyBorder="1" applyAlignment="1">
      <alignment horizontal="right"/>
    </xf>
    <xf numFmtId="4" fontId="42" fillId="0" borderId="18" xfId="0" applyNumberFormat="1" applyFont="1" applyBorder="1"/>
    <xf numFmtId="0" fontId="42" fillId="0" borderId="19" xfId="0" applyFont="1" applyBorder="1"/>
    <xf numFmtId="4" fontId="53" fillId="0" borderId="20" xfId="0" applyNumberFormat="1" applyFont="1" applyBorder="1"/>
    <xf numFmtId="4" fontId="42" fillId="0" borderId="21" xfId="0" applyNumberFormat="1" applyFont="1" applyBorder="1"/>
    <xf numFmtId="4" fontId="53" fillId="0" borderId="0" xfId="0" applyNumberFormat="1" applyFont="1"/>
    <xf numFmtId="0" fontId="53" fillId="0" borderId="17" xfId="0" applyFont="1" applyBorder="1"/>
    <xf numFmtId="4" fontId="53" fillId="0" borderId="0" xfId="0" applyNumberFormat="1" applyFont="1" applyBorder="1"/>
    <xf numFmtId="0" fontId="42" fillId="2" borderId="17" xfId="0" applyFont="1" applyFill="1" applyBorder="1"/>
    <xf numFmtId="4" fontId="53" fillId="2" borderId="0" xfId="0" applyNumberFormat="1" applyFont="1" applyFill="1" applyBorder="1"/>
    <xf numFmtId="0" fontId="42" fillId="0" borderId="22" xfId="0" applyFont="1" applyBorder="1"/>
    <xf numFmtId="4" fontId="32" fillId="0" borderId="45" xfId="0" applyNumberFormat="1" applyFont="1" applyFill="1" applyBorder="1"/>
    <xf numFmtId="4" fontId="32" fillId="0" borderId="30" xfId="0" applyNumberFormat="1" applyFont="1" applyBorder="1"/>
    <xf numFmtId="0" fontId="42" fillId="0" borderId="8" xfId="0" applyFont="1" applyBorder="1"/>
    <xf numFmtId="4" fontId="32" fillId="0" borderId="32" xfId="0" applyNumberFormat="1" applyFont="1" applyBorder="1"/>
    <xf numFmtId="4" fontId="32" fillId="0" borderId="9" xfId="0" applyNumberFormat="1" applyFont="1" applyFill="1" applyBorder="1"/>
    <xf numFmtId="4" fontId="32" fillId="0" borderId="9" xfId="0" applyNumberFormat="1" applyFont="1" applyBorder="1"/>
    <xf numFmtId="0" fontId="42" fillId="0" borderId="33" xfId="0" applyFont="1" applyBorder="1"/>
    <xf numFmtId="4" fontId="32" fillId="0" borderId="32" xfId="0" applyNumberFormat="1" applyFont="1" applyFill="1" applyBorder="1"/>
    <xf numFmtId="4" fontId="32" fillId="0" borderId="47" xfId="2" applyNumberFormat="1" applyFont="1" applyBorder="1" applyAlignment="1">
      <alignment horizontal="right" vertical="top"/>
    </xf>
    <xf numFmtId="0" fontId="42" fillId="0" borderId="26" xfId="0" applyFont="1" applyBorder="1"/>
    <xf numFmtId="4" fontId="42" fillId="0" borderId="27" xfId="0" applyNumberFormat="1" applyFont="1" applyFill="1" applyBorder="1"/>
    <xf numFmtId="4" fontId="42" fillId="0" borderId="27" xfId="0" applyNumberFormat="1" applyFont="1" applyBorder="1"/>
    <xf numFmtId="0" fontId="53" fillId="0" borderId="29" xfId="0" applyFont="1" applyBorder="1"/>
    <xf numFmtId="4" fontId="32" fillId="0" borderId="30" xfId="0" applyNumberFormat="1" applyFont="1" applyFill="1" applyBorder="1" applyAlignment="1"/>
    <xf numFmtId="0" fontId="53" fillId="0" borderId="8" xfId="0" applyFont="1" applyBorder="1"/>
    <xf numFmtId="4" fontId="32" fillId="0" borderId="9" xfId="0" applyNumberFormat="1" applyFont="1" applyFill="1" applyBorder="1" applyAlignment="1"/>
    <xf numFmtId="4" fontId="32" fillId="3" borderId="9" xfId="6" applyNumberFormat="1" applyFont="1" applyFill="1" applyBorder="1" applyAlignment="1">
      <alignment horizontal="right" vertical="top" wrapText="1"/>
    </xf>
    <xf numFmtId="4" fontId="32" fillId="0" borderId="9" xfId="0" applyNumberFormat="1" applyFont="1" applyBorder="1" applyAlignment="1"/>
    <xf numFmtId="4" fontId="32" fillId="0" borderId="12" xfId="0" applyNumberFormat="1" applyFont="1" applyBorder="1"/>
    <xf numFmtId="4" fontId="32" fillId="0" borderId="40" xfId="0" applyNumberFormat="1" applyFont="1" applyFill="1" applyBorder="1"/>
    <xf numFmtId="0" fontId="53" fillId="0" borderId="9" xfId="0" applyFont="1" applyBorder="1"/>
    <xf numFmtId="0" fontId="53" fillId="0" borderId="10" xfId="0" applyFont="1" applyBorder="1"/>
    <xf numFmtId="0" fontId="42" fillId="0" borderId="24" xfId="0" applyFont="1" applyFill="1" applyBorder="1"/>
    <xf numFmtId="4" fontId="42" fillId="0" borderId="25" xfId="0" applyNumberFormat="1" applyFont="1" applyFill="1" applyBorder="1"/>
    <xf numFmtId="0" fontId="42" fillId="0" borderId="0" xfId="0" applyFont="1" applyFill="1" applyBorder="1"/>
    <xf numFmtId="4" fontId="42" fillId="0" borderId="0" xfId="0" applyNumberFormat="1" applyFont="1" applyFill="1" applyBorder="1"/>
    <xf numFmtId="0" fontId="54" fillId="0" borderId="0" xfId="0" applyFont="1"/>
    <xf numFmtId="4" fontId="56" fillId="0" borderId="0" xfId="0" applyNumberFormat="1" applyFont="1" applyBorder="1"/>
    <xf numFmtId="0" fontId="53" fillId="0" borderId="0" xfId="0" applyFont="1"/>
    <xf numFmtId="4" fontId="42" fillId="0" borderId="0" xfId="0" applyNumberFormat="1" applyFont="1"/>
    <xf numFmtId="4" fontId="31" fillId="0" borderId="0" xfId="0" applyNumberFormat="1" applyFont="1"/>
    <xf numFmtId="4" fontId="55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/>
    <xf numFmtId="4" fontId="57" fillId="0" borderId="0" xfId="0" applyNumberFormat="1" applyFont="1" applyFill="1" applyBorder="1"/>
    <xf numFmtId="4" fontId="57" fillId="0" borderId="0" xfId="0" applyNumberFormat="1" applyFont="1" applyBorder="1"/>
    <xf numFmtId="0" fontId="57" fillId="0" borderId="0" xfId="0" applyFont="1" applyBorder="1"/>
    <xf numFmtId="0" fontId="58" fillId="0" borderId="0" xfId="0" applyFont="1" applyFill="1" applyBorder="1"/>
    <xf numFmtId="4" fontId="59" fillId="0" borderId="0" xfId="0" applyNumberFormat="1" applyFont="1" applyBorder="1"/>
    <xf numFmtId="4" fontId="60" fillId="0" borderId="0" xfId="0" applyNumberFormat="1" applyFont="1" applyFill="1" applyBorder="1"/>
    <xf numFmtId="0" fontId="61" fillId="0" borderId="0" xfId="0" applyFont="1" applyFill="1" applyBorder="1"/>
    <xf numFmtId="4" fontId="61" fillId="0" borderId="0" xfId="0" applyNumberFormat="1" applyFont="1" applyFill="1" applyBorder="1"/>
    <xf numFmtId="4" fontId="30" fillId="0" borderId="32" xfId="66" applyNumberFormat="1" applyFont="1" applyBorder="1" applyAlignment="1">
      <alignment horizontal="right" vertical="top"/>
    </xf>
    <xf numFmtId="4" fontId="30" fillId="0" borderId="44" xfId="66" applyNumberFormat="1" applyFont="1" applyBorder="1" applyAlignment="1">
      <alignment horizontal="right" vertical="top"/>
    </xf>
    <xf numFmtId="4" fontId="30" fillId="0" borderId="9" xfId="65" applyNumberFormat="1" applyFont="1" applyBorder="1" applyAlignment="1">
      <alignment horizontal="right" vertical="top"/>
    </xf>
    <xf numFmtId="4" fontId="30" fillId="0" borderId="30" xfId="66" applyNumberFormat="1" applyFont="1" applyBorder="1" applyAlignment="1">
      <alignment horizontal="right" vertical="top"/>
    </xf>
    <xf numFmtId="4" fontId="30" fillId="0" borderId="9" xfId="66" applyNumberFormat="1" applyFont="1" applyBorder="1" applyAlignment="1">
      <alignment horizontal="right" vertical="top"/>
    </xf>
    <xf numFmtId="4" fontId="30" fillId="0" borderId="9" xfId="63" applyNumberFormat="1" applyFont="1" applyBorder="1" applyAlignment="1">
      <alignment horizontal="right" vertical="top"/>
    </xf>
    <xf numFmtId="4" fontId="30" fillId="0" borderId="36" xfId="64" applyNumberFormat="1" applyFont="1" applyBorder="1" applyAlignment="1">
      <alignment horizontal="right" vertical="top"/>
    </xf>
    <xf numFmtId="4" fontId="30" fillId="0" borderId="32" xfId="65" applyNumberFormat="1" applyFont="1" applyBorder="1" applyAlignment="1">
      <alignment horizontal="right" vertical="top"/>
    </xf>
    <xf numFmtId="2" fontId="30" fillId="0" borderId="44" xfId="65" applyNumberFormat="1" applyFont="1" applyBorder="1" applyAlignment="1">
      <alignment horizontal="right" vertical="top"/>
    </xf>
    <xf numFmtId="4" fontId="30" fillId="0" borderId="44" xfId="65" applyNumberFormat="1" applyFont="1" applyBorder="1" applyAlignment="1">
      <alignment horizontal="right" vertical="top"/>
    </xf>
    <xf numFmtId="4" fontId="30" fillId="0" borderId="30" xfId="64" applyNumberFormat="1" applyFont="1" applyBorder="1" applyAlignment="1">
      <alignment horizontal="right" vertical="top"/>
    </xf>
    <xf numFmtId="4" fontId="30" fillId="0" borderId="36" xfId="63" applyNumberFormat="1" applyFont="1" applyBorder="1" applyAlignment="1">
      <alignment horizontal="right" vertical="top"/>
    </xf>
    <xf numFmtId="4" fontId="30" fillId="0" borderId="32" xfId="64" applyNumberFormat="1" applyFont="1" applyBorder="1" applyAlignment="1">
      <alignment horizontal="right" vertical="top"/>
    </xf>
    <xf numFmtId="2" fontId="30" fillId="0" borderId="44" xfId="64" applyNumberFormat="1" applyFont="1" applyBorder="1" applyAlignment="1">
      <alignment horizontal="right" vertical="top"/>
    </xf>
    <xf numFmtId="4" fontId="30" fillId="0" borderId="44" xfId="64" applyNumberFormat="1" applyFont="1" applyBorder="1" applyAlignment="1">
      <alignment horizontal="right" vertical="top"/>
    </xf>
    <xf numFmtId="4" fontId="30" fillId="0" borderId="9" xfId="64" applyNumberFormat="1" applyFont="1" applyBorder="1" applyAlignment="1">
      <alignment horizontal="right" vertical="top"/>
    </xf>
    <xf numFmtId="2" fontId="30" fillId="0" borderId="9" xfId="64" applyNumberFormat="1" applyFont="1" applyBorder="1" applyAlignment="1">
      <alignment horizontal="right" vertical="top"/>
    </xf>
    <xf numFmtId="4" fontId="30" fillId="0" borderId="60" xfId="0" applyNumberFormat="1" applyFont="1" applyBorder="1"/>
    <xf numFmtId="4" fontId="30" fillId="0" borderId="64" xfId="0" applyNumberFormat="1" applyFont="1" applyFill="1" applyBorder="1"/>
    <xf numFmtId="0" fontId="35" fillId="0" borderId="30" xfId="0" applyFont="1" applyBorder="1"/>
    <xf numFmtId="0" fontId="35" fillId="0" borderId="31" xfId="0" applyFont="1" applyBorder="1"/>
    <xf numFmtId="4" fontId="30" fillId="0" borderId="65" xfId="64" applyNumberFormat="1" applyFont="1" applyBorder="1" applyAlignment="1">
      <alignment horizontal="right" vertical="top"/>
    </xf>
    <xf numFmtId="4" fontId="30" fillId="0" borderId="12" xfId="36" applyNumberFormat="1" applyFont="1" applyBorder="1" applyAlignment="1">
      <alignment horizontal="right" vertical="top"/>
    </xf>
    <xf numFmtId="4" fontId="30" fillId="0" borderId="12" xfId="0" applyNumberFormat="1" applyFont="1" applyFill="1" applyBorder="1" applyAlignment="1"/>
    <xf numFmtId="4" fontId="30" fillId="0" borderId="12" xfId="0" applyNumberFormat="1" applyFont="1" applyBorder="1" applyAlignment="1"/>
    <xf numFmtId="4" fontId="30" fillId="0" borderId="58" xfId="0" applyNumberFormat="1" applyFont="1" applyBorder="1"/>
    <xf numFmtId="4" fontId="30" fillId="0" borderId="32" xfId="63" applyNumberFormat="1" applyFont="1" applyBorder="1" applyAlignment="1">
      <alignment horizontal="right" vertical="top"/>
    </xf>
    <xf numFmtId="4" fontId="30" fillId="0" borderId="44" xfId="25" applyNumberFormat="1" applyFont="1" applyBorder="1" applyAlignment="1">
      <alignment horizontal="right" vertical="top"/>
    </xf>
    <xf numFmtId="4" fontId="30" fillId="0" borderId="44" xfId="63" applyNumberFormat="1" applyFont="1" applyBorder="1" applyAlignment="1">
      <alignment horizontal="right" vertical="top"/>
    </xf>
    <xf numFmtId="4" fontId="30" fillId="0" borderId="60" xfId="36" applyNumberFormat="1" applyFont="1" applyBorder="1" applyAlignment="1">
      <alignment horizontal="right" vertical="top"/>
    </xf>
    <xf numFmtId="2" fontId="30" fillId="0" borderId="60" xfId="45" applyNumberFormat="1" applyFont="1" applyBorder="1" applyAlignment="1">
      <alignment horizontal="right" vertical="top"/>
    </xf>
    <xf numFmtId="4" fontId="30" fillId="0" borderId="60" xfId="0" applyNumberFormat="1" applyFont="1" applyFill="1" applyBorder="1" applyAlignment="1"/>
    <xf numFmtId="4" fontId="30" fillId="0" borderId="60" xfId="0" applyNumberFormat="1" applyFont="1" applyBorder="1" applyAlignment="1"/>
    <xf numFmtId="4" fontId="30" fillId="0" borderId="32" xfId="62" applyNumberFormat="1" applyFont="1" applyBorder="1" applyAlignment="1">
      <alignment horizontal="right" vertical="top"/>
    </xf>
    <xf numFmtId="4" fontId="30" fillId="0" borderId="44" xfId="62" applyNumberFormat="1" applyFont="1" applyBorder="1" applyAlignment="1">
      <alignment horizontal="right" vertical="top"/>
    </xf>
    <xf numFmtId="4" fontId="30" fillId="0" borderId="36" xfId="62" applyNumberFormat="1" applyFont="1" applyBorder="1" applyAlignment="1">
      <alignment horizontal="right" vertical="top"/>
    </xf>
    <xf numFmtId="4" fontId="30" fillId="0" borderId="9" xfId="62" applyNumberFormat="1" applyFont="1" applyBorder="1" applyAlignment="1">
      <alignment horizontal="right" vertical="top"/>
    </xf>
    <xf numFmtId="4" fontId="30" fillId="0" borderId="32" xfId="67" applyNumberFormat="1" applyFont="1" applyBorder="1" applyAlignment="1">
      <alignment horizontal="right" vertical="top"/>
    </xf>
    <xf numFmtId="4" fontId="30" fillId="0" borderId="44" xfId="67" applyNumberFormat="1" applyFont="1" applyBorder="1" applyAlignment="1">
      <alignment horizontal="right" vertical="top"/>
    </xf>
    <xf numFmtId="2" fontId="30" fillId="0" borderId="9" xfId="67" applyNumberFormat="1" applyFont="1" applyBorder="1" applyAlignment="1">
      <alignment horizontal="right" vertical="top"/>
    </xf>
    <xf numFmtId="4" fontId="30" fillId="0" borderId="32" xfId="68" applyNumberFormat="1" applyFont="1" applyBorder="1" applyAlignment="1">
      <alignment horizontal="right" vertical="top"/>
    </xf>
    <xf numFmtId="2" fontId="30" fillId="0" borderId="44" xfId="68" applyNumberFormat="1" applyFont="1" applyBorder="1" applyAlignment="1">
      <alignment horizontal="right" vertical="top"/>
    </xf>
    <xf numFmtId="4" fontId="30" fillId="0" borderId="44" xfId="68" applyNumberFormat="1" applyFont="1" applyBorder="1" applyAlignment="1">
      <alignment horizontal="right" vertical="top"/>
    </xf>
    <xf numFmtId="4" fontId="30" fillId="0" borderId="36" xfId="68" applyNumberFormat="1" applyFont="1" applyBorder="1" applyAlignment="1">
      <alignment horizontal="right" vertical="top"/>
    </xf>
    <xf numFmtId="4" fontId="30" fillId="0" borderId="30" xfId="67" applyNumberFormat="1" applyFont="1" applyBorder="1" applyAlignment="1">
      <alignment horizontal="right" vertical="top"/>
    </xf>
    <xf numFmtId="2" fontId="30" fillId="0" borderId="30" xfId="67" applyNumberFormat="1" applyFont="1" applyBorder="1" applyAlignment="1">
      <alignment horizontal="right" vertical="top"/>
    </xf>
    <xf numFmtId="4" fontId="30" fillId="0" borderId="32" xfId="71" applyNumberFormat="1" applyFont="1" applyBorder="1" applyAlignment="1">
      <alignment horizontal="right" vertical="top"/>
    </xf>
    <xf numFmtId="4" fontId="30" fillId="0" borderId="44" xfId="71" applyNumberFormat="1" applyFont="1" applyBorder="1" applyAlignment="1">
      <alignment horizontal="right" vertical="top"/>
    </xf>
    <xf numFmtId="4" fontId="30" fillId="0" borderId="9" xfId="71" applyNumberFormat="1" applyFont="1" applyBorder="1" applyAlignment="1">
      <alignment horizontal="right" vertical="top"/>
    </xf>
    <xf numFmtId="4" fontId="30" fillId="0" borderId="32" xfId="70" applyNumberFormat="1" applyFont="1" applyBorder="1" applyAlignment="1">
      <alignment horizontal="right" vertical="top"/>
    </xf>
    <xf numFmtId="4" fontId="30" fillId="0" borderId="44" xfId="70" applyNumberFormat="1" applyFont="1" applyBorder="1" applyAlignment="1">
      <alignment horizontal="right" vertical="top"/>
    </xf>
    <xf numFmtId="4" fontId="30" fillId="0" borderId="36" xfId="70" applyNumberFormat="1" applyFont="1" applyBorder="1" applyAlignment="1">
      <alignment horizontal="right" vertical="top"/>
    </xf>
    <xf numFmtId="4" fontId="30" fillId="0" borderId="36" xfId="69" applyNumberFormat="1" applyFont="1" applyBorder="1" applyAlignment="1">
      <alignment horizontal="right" vertical="top"/>
    </xf>
    <xf numFmtId="4" fontId="30" fillId="0" borderId="36" xfId="65" applyNumberFormat="1" applyFont="1" applyBorder="1" applyAlignment="1">
      <alignment horizontal="right" vertical="top"/>
    </xf>
    <xf numFmtId="4" fontId="30" fillId="0" borderId="32" xfId="69" applyNumberFormat="1" applyFont="1" applyBorder="1" applyAlignment="1">
      <alignment horizontal="right" vertical="top"/>
    </xf>
    <xf numFmtId="4" fontId="30" fillId="0" borderId="44" xfId="69" applyNumberFormat="1" applyFont="1" applyBorder="1" applyAlignment="1">
      <alignment horizontal="right" vertical="top"/>
    </xf>
    <xf numFmtId="4" fontId="30" fillId="0" borderId="36" xfId="72" applyNumberFormat="1" applyFont="1" applyBorder="1" applyAlignment="1">
      <alignment horizontal="right" vertical="top"/>
    </xf>
    <xf numFmtId="4" fontId="30" fillId="0" borderId="32" xfId="73" applyNumberFormat="1" applyFont="1" applyBorder="1" applyAlignment="1">
      <alignment horizontal="right" vertical="top"/>
    </xf>
    <xf numFmtId="4" fontId="30" fillId="0" borderId="44" xfId="73" applyNumberFormat="1" applyFont="1" applyBorder="1" applyAlignment="1">
      <alignment horizontal="right" vertical="top"/>
    </xf>
    <xf numFmtId="4" fontId="30" fillId="0" borderId="9" xfId="73" applyNumberFormat="1" applyFont="1" applyBorder="1" applyAlignment="1">
      <alignment horizontal="right" vertical="top"/>
    </xf>
    <xf numFmtId="4" fontId="30" fillId="0" borderId="36" xfId="73" applyNumberFormat="1" applyFont="1" applyBorder="1" applyAlignment="1">
      <alignment horizontal="right" vertical="top"/>
    </xf>
    <xf numFmtId="4" fontId="34" fillId="0" borderId="0" xfId="0" applyNumberFormat="1" applyFont="1" applyFill="1"/>
    <xf numFmtId="4" fontId="30" fillId="0" borderId="32" xfId="74" applyNumberFormat="1" applyFont="1" applyBorder="1" applyAlignment="1">
      <alignment horizontal="right" vertical="top"/>
    </xf>
    <xf numFmtId="4" fontId="30" fillId="0" borderId="44" xfId="74" applyNumberFormat="1" applyFont="1" applyBorder="1" applyAlignment="1">
      <alignment horizontal="right" vertical="top"/>
    </xf>
    <xf numFmtId="4" fontId="30" fillId="0" borderId="36" xfId="74" applyNumberFormat="1" applyFont="1" applyBorder="1" applyAlignment="1">
      <alignment horizontal="right" vertical="top"/>
    </xf>
    <xf numFmtId="4" fontId="30" fillId="0" borderId="9" xfId="74" applyNumberFormat="1" applyFont="1" applyBorder="1" applyAlignment="1">
      <alignment horizontal="right" vertical="top"/>
    </xf>
    <xf numFmtId="4" fontId="30" fillId="0" borderId="32" xfId="75" applyNumberFormat="1" applyFont="1" applyBorder="1" applyAlignment="1">
      <alignment horizontal="right" vertical="top"/>
    </xf>
    <xf numFmtId="4" fontId="30" fillId="0" borderId="44" xfId="75" applyNumberFormat="1" applyFont="1" applyBorder="1" applyAlignment="1">
      <alignment horizontal="right" vertical="top"/>
    </xf>
    <xf numFmtId="4" fontId="30" fillId="0" borderId="36" xfId="75" applyNumberFormat="1" applyFont="1" applyBorder="1" applyAlignment="1">
      <alignment horizontal="right" vertical="top"/>
    </xf>
    <xf numFmtId="4" fontId="30" fillId="0" borderId="9" xfId="75" applyNumberFormat="1" applyFont="1" applyBorder="1" applyAlignment="1">
      <alignment horizontal="right" vertical="top"/>
    </xf>
    <xf numFmtId="4" fontId="30" fillId="0" borderId="36" xfId="78" applyNumberFormat="1" applyFont="1" applyBorder="1" applyAlignment="1">
      <alignment horizontal="right" vertical="top"/>
    </xf>
    <xf numFmtId="4" fontId="30" fillId="0" borderId="9" xfId="78" applyNumberFormat="1" applyFont="1" applyBorder="1" applyAlignment="1">
      <alignment horizontal="right" vertical="top"/>
    </xf>
    <xf numFmtId="4" fontId="30" fillId="0" borderId="32" xfId="79" applyNumberFormat="1" applyFont="1" applyBorder="1" applyAlignment="1">
      <alignment horizontal="right" vertical="top"/>
    </xf>
    <xf numFmtId="2" fontId="30" fillId="0" borderId="44" xfId="79" applyNumberFormat="1" applyFont="1" applyBorder="1" applyAlignment="1">
      <alignment horizontal="right" vertical="top"/>
    </xf>
    <xf numFmtId="4" fontId="30" fillId="0" borderId="44" xfId="79" applyNumberFormat="1" applyFont="1" applyBorder="1" applyAlignment="1">
      <alignment horizontal="right" vertical="top"/>
    </xf>
    <xf numFmtId="4" fontId="30" fillId="0" borderId="9" xfId="79" applyNumberFormat="1" applyFont="1" applyBorder="1" applyAlignment="1">
      <alignment horizontal="right" vertical="top"/>
    </xf>
    <xf numFmtId="2" fontId="30" fillId="0" borderId="9" xfId="79" applyNumberFormat="1" applyFont="1" applyBorder="1" applyAlignment="1">
      <alignment horizontal="right" vertical="top"/>
    </xf>
    <xf numFmtId="4" fontId="30" fillId="0" borderId="36" xfId="79" applyNumberFormat="1" applyFont="1" applyBorder="1" applyAlignment="1">
      <alignment horizontal="right" vertical="top"/>
    </xf>
    <xf numFmtId="4" fontId="30" fillId="0" borderId="32" xfId="81" applyNumberFormat="1" applyFont="1" applyBorder="1" applyAlignment="1">
      <alignment horizontal="right" vertical="top"/>
    </xf>
    <xf numFmtId="4" fontId="30" fillId="0" borderId="44" xfId="81" applyNumberFormat="1" applyFont="1" applyBorder="1" applyAlignment="1">
      <alignment horizontal="right" vertical="top"/>
    </xf>
    <xf numFmtId="4" fontId="30" fillId="0" borderId="36" xfId="81" applyNumberFormat="1" applyFont="1" applyBorder="1" applyAlignment="1">
      <alignment horizontal="right" vertical="top"/>
    </xf>
    <xf numFmtId="4" fontId="30" fillId="3" borderId="57" xfId="81" applyNumberFormat="1" applyFont="1" applyFill="1" applyBorder="1" applyAlignment="1">
      <alignment horizontal="right" vertical="top" wrapText="1"/>
    </xf>
    <xf numFmtId="4" fontId="30" fillId="0" borderId="9" xfId="81" applyNumberFormat="1" applyFont="1" applyBorder="1" applyAlignment="1">
      <alignment horizontal="right" vertical="top"/>
    </xf>
    <xf numFmtId="4" fontId="30" fillId="0" borderId="36" xfId="82" applyNumberFormat="1" applyFont="1" applyBorder="1" applyAlignment="1">
      <alignment horizontal="right" vertical="top"/>
    </xf>
    <xf numFmtId="4" fontId="30" fillId="0" borderId="30" xfId="82" applyNumberFormat="1" applyFont="1" applyBorder="1" applyAlignment="1">
      <alignment horizontal="right" vertical="top"/>
    </xf>
    <xf numFmtId="4" fontId="30" fillId="3" borderId="30" xfId="83" applyNumberFormat="1" applyFont="1" applyFill="1" applyBorder="1" applyAlignment="1">
      <alignment horizontal="right" vertical="top" wrapText="1"/>
    </xf>
    <xf numFmtId="4" fontId="30" fillId="3" borderId="9" xfId="83" applyNumberFormat="1" applyFont="1" applyFill="1" applyBorder="1" applyAlignment="1">
      <alignment horizontal="right" vertical="top" wrapText="1"/>
    </xf>
    <xf numFmtId="4" fontId="30" fillId="0" borderId="9" xfId="82" applyNumberFormat="1" applyFont="1" applyBorder="1" applyAlignment="1">
      <alignment horizontal="right" vertical="top"/>
    </xf>
    <xf numFmtId="2" fontId="30" fillId="3" borderId="43" xfId="83" applyNumberFormat="1" applyFont="1" applyFill="1" applyBorder="1" applyAlignment="1">
      <alignment horizontal="right" vertical="top" wrapText="1"/>
    </xf>
    <xf numFmtId="4" fontId="30" fillId="0" borderId="36" xfId="84" applyNumberFormat="1" applyFont="1" applyBorder="1" applyAlignment="1">
      <alignment horizontal="right" vertical="top"/>
    </xf>
    <xf numFmtId="2" fontId="30" fillId="0" borderId="36" xfId="84" applyNumberFormat="1" applyFont="1" applyBorder="1" applyAlignment="1">
      <alignment horizontal="right" vertical="top"/>
    </xf>
    <xf numFmtId="4" fontId="30" fillId="3" borderId="43" xfId="85" applyNumberFormat="1" applyFont="1" applyFill="1" applyBorder="1" applyAlignment="1">
      <alignment horizontal="right" vertical="top" wrapText="1"/>
    </xf>
    <xf numFmtId="4" fontId="30" fillId="0" borderId="9" xfId="84" applyNumberFormat="1" applyFont="1" applyBorder="1" applyAlignment="1">
      <alignment horizontal="right" vertical="top"/>
    </xf>
    <xf numFmtId="2" fontId="30" fillId="3" borderId="9" xfId="83" applyNumberFormat="1" applyFont="1" applyFill="1" applyBorder="1" applyAlignment="1">
      <alignment horizontal="right" vertical="top" wrapText="1"/>
    </xf>
    <xf numFmtId="4" fontId="30" fillId="3" borderId="49" xfId="6" applyNumberFormat="1" applyFont="1" applyFill="1" applyBorder="1" applyAlignment="1">
      <alignment horizontal="right" vertical="top" wrapText="1"/>
    </xf>
    <xf numFmtId="4" fontId="42" fillId="4" borderId="9" xfId="0" applyNumberFormat="1" applyFont="1" applyFill="1" applyBorder="1"/>
    <xf numFmtId="3" fontId="42" fillId="4" borderId="10" xfId="0" applyNumberFormat="1" applyFont="1" applyFill="1" applyBorder="1"/>
    <xf numFmtId="4" fontId="32" fillId="0" borderId="23" xfId="2" applyNumberFormat="1" applyFont="1" applyBorder="1" applyAlignment="1">
      <alignment horizontal="right" vertical="top"/>
    </xf>
    <xf numFmtId="4" fontId="32" fillId="0" borderId="32" xfId="11" applyNumberFormat="1" applyFont="1" applyBorder="1" applyAlignment="1">
      <alignment horizontal="right" vertical="top"/>
    </xf>
    <xf numFmtId="4" fontId="32" fillId="0" borderId="36" xfId="11" applyNumberFormat="1" applyFont="1" applyBorder="1" applyAlignment="1">
      <alignment horizontal="right" vertical="top"/>
    </xf>
    <xf numFmtId="4" fontId="32" fillId="0" borderId="31" xfId="0" applyNumberFormat="1" applyFont="1" applyBorder="1"/>
    <xf numFmtId="4" fontId="32" fillId="0" borderId="9" xfId="11" applyNumberFormat="1" applyFont="1" applyBorder="1" applyAlignment="1">
      <alignment horizontal="right" vertical="top"/>
    </xf>
    <xf numFmtId="2" fontId="32" fillId="0" borderId="9" xfId="2" applyNumberFormat="1" applyFont="1" applyBorder="1" applyAlignment="1">
      <alignment horizontal="right" vertical="top"/>
    </xf>
    <xf numFmtId="4" fontId="32" fillId="0" borderId="44" xfId="2" applyNumberFormat="1" applyFont="1" applyBorder="1" applyAlignment="1">
      <alignment horizontal="right" vertical="top"/>
    </xf>
    <xf numFmtId="4" fontId="32" fillId="3" borderId="49" xfId="6" applyNumberFormat="1" applyFont="1" applyFill="1" applyBorder="1" applyAlignment="1">
      <alignment horizontal="right" vertical="top" wrapText="1"/>
    </xf>
    <xf numFmtId="4" fontId="32" fillId="0" borderId="12" xfId="0" applyNumberFormat="1" applyFont="1" applyFill="1" applyBorder="1"/>
    <xf numFmtId="4" fontId="32" fillId="0" borderId="50" xfId="2" applyNumberFormat="1" applyFont="1" applyBorder="1" applyAlignment="1">
      <alignment horizontal="right" vertical="top"/>
    </xf>
    <xf numFmtId="2" fontId="32" fillId="0" borderId="12" xfId="2" applyNumberFormat="1" applyFont="1" applyBorder="1" applyAlignment="1">
      <alignment horizontal="right" vertical="top"/>
    </xf>
    <xf numFmtId="4" fontId="32" fillId="0" borderId="12" xfId="2" applyNumberFormat="1" applyFont="1" applyBorder="1" applyAlignment="1">
      <alignment horizontal="right" vertical="top"/>
    </xf>
    <xf numFmtId="4" fontId="32" fillId="3" borderId="51" xfId="6" applyNumberFormat="1" applyFont="1" applyFill="1" applyBorder="1" applyAlignment="1">
      <alignment horizontal="right" vertical="top" wrapText="1"/>
    </xf>
    <xf numFmtId="4" fontId="42" fillId="0" borderId="28" xfId="0" applyNumberFormat="1" applyFont="1" applyBorder="1"/>
    <xf numFmtId="4" fontId="32" fillId="0" borderId="6" xfId="9" applyNumberFormat="1" applyFont="1" applyBorder="1" applyAlignment="1">
      <alignment horizontal="right" vertical="top"/>
    </xf>
    <xf numFmtId="2" fontId="32" fillId="0" borderId="6" xfId="9" applyNumberFormat="1" applyFont="1" applyBorder="1" applyAlignment="1">
      <alignment horizontal="right" vertical="top"/>
    </xf>
    <xf numFmtId="4" fontId="32" fillId="0" borderId="36" xfId="2" applyNumberFormat="1" applyFont="1" applyBorder="1" applyAlignment="1">
      <alignment horizontal="right" vertical="top"/>
    </xf>
    <xf numFmtId="4" fontId="32" fillId="3" borderId="43" xfId="10" applyNumberFormat="1" applyFont="1" applyFill="1" applyBorder="1" applyAlignment="1">
      <alignment horizontal="right" vertical="top" wrapText="1"/>
    </xf>
    <xf numFmtId="4" fontId="32" fillId="0" borderId="9" xfId="9" applyNumberFormat="1" applyFont="1" applyBorder="1"/>
    <xf numFmtId="4" fontId="32" fillId="0" borderId="9" xfId="2" applyNumberFormat="1" applyFont="1" applyBorder="1"/>
    <xf numFmtId="4" fontId="32" fillId="3" borderId="9" xfId="12" applyNumberFormat="1" applyFont="1" applyFill="1" applyBorder="1" applyAlignment="1">
      <alignment horizontal="right" vertical="top" wrapText="1"/>
    </xf>
    <xf numFmtId="4" fontId="32" fillId="0" borderId="9" xfId="4" applyNumberFormat="1" applyFont="1" applyBorder="1" applyAlignment="1">
      <alignment horizontal="right" vertical="top"/>
    </xf>
    <xf numFmtId="4" fontId="32" fillId="0" borderId="9" xfId="2" applyNumberFormat="1" applyFont="1" applyBorder="1" applyAlignment="1">
      <alignment horizontal="right" vertical="top"/>
    </xf>
    <xf numFmtId="4" fontId="32" fillId="3" borderId="9" xfId="7" applyNumberFormat="1" applyFont="1" applyFill="1" applyBorder="1" applyAlignment="1">
      <alignment horizontal="right" vertical="top" wrapText="1"/>
    </xf>
    <xf numFmtId="4" fontId="42" fillId="0" borderId="21" xfId="0" applyNumberFormat="1" applyFont="1" applyFill="1" applyBorder="1"/>
    <xf numFmtId="0" fontId="42" fillId="0" borderId="26" xfId="0" applyFont="1" applyBorder="1" applyAlignment="1">
      <alignment horizontal="center" vertical="center" wrapText="1"/>
    </xf>
    <xf numFmtId="4" fontId="42" fillId="0" borderId="27" xfId="0" applyNumberFormat="1" applyFont="1" applyBorder="1" applyAlignment="1">
      <alignment horizontal="center" vertical="center" wrapText="1"/>
    </xf>
    <xf numFmtId="4" fontId="42" fillId="0" borderId="28" xfId="0" applyNumberFormat="1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/>
    </xf>
    <xf numFmtId="4" fontId="42" fillId="0" borderId="6" xfId="0" applyNumberFormat="1" applyFont="1" applyBorder="1" applyAlignment="1">
      <alignment horizontal="center"/>
    </xf>
    <xf numFmtId="4" fontId="42" fillId="0" borderId="7" xfId="0" applyNumberFormat="1" applyFont="1" applyBorder="1" applyAlignment="1">
      <alignment horizontal="center"/>
    </xf>
    <xf numFmtId="0" fontId="31" fillId="0" borderId="17" xfId="0" applyFont="1" applyBorder="1"/>
    <xf numFmtId="4" fontId="31" fillId="0" borderId="9" xfId="0" applyNumberFormat="1" applyFont="1" applyBorder="1"/>
    <xf numFmtId="0" fontId="31" fillId="0" borderId="18" xfId="0" applyFont="1" applyBorder="1"/>
    <xf numFmtId="4" fontId="55" fillId="0" borderId="0" xfId="0" applyNumberFormat="1" applyFont="1" applyBorder="1" applyAlignment="1">
      <alignment wrapText="1"/>
    </xf>
    <xf numFmtId="4" fontId="55" fillId="0" borderId="0" xfId="0" applyNumberFormat="1" applyFont="1" applyFill="1" applyBorder="1" applyAlignment="1">
      <alignment horizontal="center" vertical="center" wrapText="1"/>
    </xf>
    <xf numFmtId="4" fontId="42" fillId="0" borderId="13" xfId="0" applyNumberFormat="1" applyFont="1" applyFill="1" applyBorder="1"/>
    <xf numFmtId="4" fontId="30" fillId="0" borderId="36" xfId="2" applyNumberFormat="1" applyFont="1" applyBorder="1" applyAlignment="1">
      <alignment horizontal="right" vertical="top"/>
    </xf>
    <xf numFmtId="2" fontId="30" fillId="0" borderId="9" xfId="2" applyNumberFormat="1" applyFont="1" applyBorder="1" applyAlignment="1">
      <alignment horizontal="right" vertical="top"/>
    </xf>
    <xf numFmtId="2" fontId="30" fillId="0" borderId="23" xfId="2" applyNumberFormat="1" applyFont="1" applyBorder="1" applyAlignment="1">
      <alignment horizontal="right" vertical="top"/>
    </xf>
    <xf numFmtId="4" fontId="30" fillId="3" borderId="46" xfId="6" applyNumberFormat="1" applyFont="1" applyFill="1" applyBorder="1" applyAlignment="1">
      <alignment horizontal="right" vertical="top" wrapText="1"/>
    </xf>
    <xf numFmtId="4" fontId="30" fillId="0" borderId="44" xfId="2" applyNumberFormat="1" applyFont="1" applyBorder="1" applyAlignment="1">
      <alignment horizontal="right" vertical="top"/>
    </xf>
    <xf numFmtId="4" fontId="30" fillId="3" borderId="43" xfId="8" applyNumberFormat="1" applyFont="1" applyFill="1" applyBorder="1" applyAlignment="1">
      <alignment horizontal="right" vertical="top" wrapText="1"/>
    </xf>
    <xf numFmtId="4" fontId="30" fillId="0" borderId="9" xfId="2" applyNumberFormat="1" applyFont="1" applyBorder="1" applyAlignment="1">
      <alignment horizontal="right" vertical="top"/>
    </xf>
    <xf numFmtId="4" fontId="30" fillId="3" borderId="9" xfId="8" applyNumberFormat="1" applyFont="1" applyFill="1" applyBorder="1" applyAlignment="1">
      <alignment horizontal="right" vertical="top" wrapText="1"/>
    </xf>
    <xf numFmtId="4" fontId="30" fillId="0" borderId="9" xfId="4" applyNumberFormat="1" applyFont="1" applyBorder="1" applyAlignment="1">
      <alignment horizontal="right" vertical="top"/>
    </xf>
    <xf numFmtId="4" fontId="30" fillId="3" borderId="9" xfId="7" applyNumberFormat="1" applyFont="1" applyFill="1" applyBorder="1" applyAlignment="1">
      <alignment horizontal="right" vertical="top" wrapText="1"/>
    </xf>
    <xf numFmtId="4" fontId="30" fillId="0" borderId="9" xfId="3" applyNumberFormat="1" applyFont="1" applyBorder="1" applyAlignment="1">
      <alignment horizontal="right" vertical="top"/>
    </xf>
    <xf numFmtId="0" fontId="33" fillId="0" borderId="26" xfId="0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4" fontId="33" fillId="0" borderId="28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/>
    </xf>
    <xf numFmtId="4" fontId="33" fillId="0" borderId="6" xfId="0" applyNumberFormat="1" applyFont="1" applyBorder="1" applyAlignment="1">
      <alignment horizontal="center"/>
    </xf>
    <xf numFmtId="4" fontId="33" fillId="0" borderId="7" xfId="0" applyNumberFormat="1" applyFont="1" applyBorder="1" applyAlignment="1">
      <alignment horizontal="center"/>
    </xf>
    <xf numFmtId="0" fontId="29" fillId="0" borderId="18" xfId="0" applyFont="1" applyBorder="1"/>
    <xf numFmtId="4" fontId="33" fillId="0" borderId="13" xfId="0" applyNumberFormat="1" applyFont="1" applyFill="1" applyBorder="1"/>
    <xf numFmtId="4" fontId="30" fillId="0" borderId="32" xfId="80" applyNumberFormat="1" applyFont="1" applyBorder="1" applyAlignment="1">
      <alignment horizontal="right" vertical="top"/>
    </xf>
    <xf numFmtId="4" fontId="30" fillId="0" borderId="44" xfId="80" applyNumberFormat="1" applyFont="1" applyBorder="1" applyAlignment="1">
      <alignment horizontal="right" vertical="top"/>
    </xf>
    <xf numFmtId="4" fontId="30" fillId="0" borderId="36" xfId="14" applyNumberFormat="1" applyFont="1" applyBorder="1" applyAlignment="1">
      <alignment horizontal="right" vertical="top"/>
    </xf>
    <xf numFmtId="2" fontId="30" fillId="0" borderId="9" xfId="80" applyNumberFormat="1" applyFont="1" applyBorder="1" applyAlignment="1">
      <alignment horizontal="right" vertical="top"/>
    </xf>
    <xf numFmtId="4" fontId="30" fillId="0" borderId="30" xfId="80" applyNumberFormat="1" applyFont="1" applyBorder="1" applyAlignment="1">
      <alignment horizontal="right" vertical="top"/>
    </xf>
    <xf numFmtId="4" fontId="30" fillId="0" borderId="30" xfId="14" applyNumberFormat="1" applyFont="1" applyBorder="1" applyAlignment="1">
      <alignment horizontal="right" vertical="top"/>
    </xf>
    <xf numFmtId="4" fontId="30" fillId="0" borderId="9" xfId="80" applyNumberFormat="1" applyFont="1" applyBorder="1" applyAlignment="1">
      <alignment horizontal="right" vertical="top"/>
    </xf>
    <xf numFmtId="4" fontId="29" fillId="0" borderId="9" xfId="0" applyNumberFormat="1" applyFont="1" applyFill="1" applyBorder="1"/>
    <xf numFmtId="4" fontId="33" fillId="0" borderId="22" xfId="0" applyNumberFormat="1" applyFont="1" applyFill="1" applyBorder="1" applyAlignment="1">
      <alignment horizontal="center" vertical="center" wrapText="1"/>
    </xf>
    <xf numFmtId="4" fontId="30" fillId="0" borderId="6" xfId="0" applyNumberFormat="1" applyFont="1" applyFill="1" applyBorder="1"/>
    <xf numFmtId="4" fontId="30" fillId="0" borderId="36" xfId="4" applyNumberFormat="1" applyFont="1" applyBorder="1" applyAlignment="1">
      <alignment horizontal="right" vertical="top"/>
    </xf>
    <xf numFmtId="4" fontId="30" fillId="0" borderId="30" xfId="1" applyNumberFormat="1" applyFont="1" applyBorder="1" applyAlignment="1">
      <alignment horizontal="right" vertical="top"/>
    </xf>
    <xf numFmtId="4" fontId="30" fillId="0" borderId="32" xfId="4" applyNumberFormat="1" applyFont="1" applyBorder="1" applyAlignment="1">
      <alignment horizontal="right" vertical="top"/>
    </xf>
    <xf numFmtId="4" fontId="30" fillId="0" borderId="36" xfId="1" applyNumberFormat="1" applyFont="1" applyBorder="1" applyAlignment="1">
      <alignment horizontal="right" vertical="top"/>
    </xf>
    <xf numFmtId="4" fontId="30" fillId="0" borderId="10" xfId="0" applyNumberFormat="1" applyFont="1" applyFill="1" applyBorder="1"/>
    <xf numFmtId="4" fontId="30" fillId="0" borderId="30" xfId="4" applyNumberFormat="1" applyFont="1" applyBorder="1" applyAlignment="1">
      <alignment horizontal="right" vertical="top"/>
    </xf>
    <xf numFmtId="4" fontId="30" fillId="3" borderId="46" xfId="4" applyNumberFormat="1" applyFont="1" applyFill="1" applyBorder="1" applyAlignment="1">
      <alignment horizontal="right" vertical="top" wrapText="1"/>
    </xf>
    <xf numFmtId="4" fontId="30" fillId="0" borderId="23" xfId="4" applyNumberFormat="1" applyFont="1" applyBorder="1" applyAlignment="1">
      <alignment horizontal="right" vertical="top"/>
    </xf>
    <xf numFmtId="2" fontId="30" fillId="0" borderId="23" xfId="4" applyNumberFormat="1" applyFont="1" applyBorder="1" applyAlignment="1">
      <alignment horizontal="right" vertical="top"/>
    </xf>
    <xf numFmtId="4" fontId="30" fillId="0" borderId="41" xfId="0" applyNumberFormat="1" applyFont="1" applyFill="1" applyBorder="1" applyAlignment="1"/>
    <xf numFmtId="4" fontId="30" fillId="3" borderId="30" xfId="4" applyNumberFormat="1" applyFont="1" applyFill="1" applyBorder="1" applyAlignment="1">
      <alignment horizontal="right" vertical="top" wrapText="1"/>
    </xf>
    <xf numFmtId="4" fontId="30" fillId="0" borderId="39" xfId="0" applyNumberFormat="1" applyFont="1" applyFill="1" applyBorder="1" applyAlignment="1"/>
    <xf numFmtId="4" fontId="30" fillId="3" borderId="9" xfId="1" applyNumberFormat="1" applyFont="1" applyFill="1" applyBorder="1" applyAlignment="1">
      <alignment horizontal="right" wrapText="1"/>
    </xf>
    <xf numFmtId="4" fontId="30" fillId="3" borderId="9" xfId="4" applyNumberFormat="1" applyFont="1" applyFill="1" applyBorder="1" applyAlignment="1">
      <alignment horizontal="right" vertical="top" wrapText="1"/>
    </xf>
    <xf numFmtId="4" fontId="30" fillId="0" borderId="39" xfId="0" applyNumberFormat="1" applyFont="1" applyBorder="1" applyAlignment="1"/>
    <xf numFmtId="4" fontId="30" fillId="0" borderId="39" xfId="0" applyNumberFormat="1" applyFont="1" applyFill="1" applyBorder="1"/>
    <xf numFmtId="4" fontId="30" fillId="0" borderId="36" xfId="3" applyNumberFormat="1" applyFont="1" applyBorder="1" applyAlignment="1">
      <alignment horizontal="right" vertical="top"/>
    </xf>
    <xf numFmtId="4" fontId="30" fillId="0" borderId="42" xfId="0" applyNumberFormat="1" applyFont="1" applyFill="1" applyBorder="1" applyAlignment="1"/>
    <xf numFmtId="4" fontId="36" fillId="0" borderId="0" xfId="0" applyNumberFormat="1" applyFont="1" applyBorder="1" applyAlignment="1">
      <alignment wrapText="1"/>
    </xf>
    <xf numFmtId="0" fontId="33" fillId="0" borderId="9" xfId="0" applyFont="1" applyBorder="1"/>
    <xf numFmtId="4" fontId="33" fillId="0" borderId="9" xfId="0" applyNumberFormat="1" applyFont="1" applyFill="1" applyBorder="1"/>
    <xf numFmtId="0" fontId="29" fillId="0" borderId="18" xfId="0" applyFont="1" applyFill="1" applyBorder="1"/>
    <xf numFmtId="4" fontId="51" fillId="0" borderId="23" xfId="2" applyNumberFormat="1" applyFont="1" applyBorder="1" applyAlignment="1">
      <alignment horizontal="right" vertical="top"/>
    </xf>
    <xf numFmtId="4" fontId="30" fillId="0" borderId="30" xfId="2" applyNumberFormat="1" applyFont="1" applyBorder="1" applyAlignment="1">
      <alignment horizontal="right" vertical="top"/>
    </xf>
    <xf numFmtId="4" fontId="30" fillId="3" borderId="57" xfId="7" applyNumberFormat="1" applyFont="1" applyFill="1" applyBorder="1" applyAlignment="1">
      <alignment horizontal="right" vertical="top" wrapText="1"/>
    </xf>
    <xf numFmtId="4" fontId="51" fillId="0" borderId="9" xfId="2" applyNumberFormat="1" applyFont="1" applyBorder="1" applyAlignment="1">
      <alignment horizontal="right" vertical="top"/>
    </xf>
    <xf numFmtId="4" fontId="39" fillId="0" borderId="30" xfId="1" applyNumberFormat="1" applyFont="1" applyBorder="1" applyAlignment="1">
      <alignment horizontal="right" vertical="top"/>
    </xf>
    <xf numFmtId="4" fontId="39" fillId="0" borderId="36" xfId="1" applyNumberFormat="1" applyFont="1" applyBorder="1" applyAlignment="1">
      <alignment horizontal="right" vertical="top"/>
    </xf>
    <xf numFmtId="4" fontId="35" fillId="0" borderId="32" xfId="0" applyNumberFormat="1" applyFont="1" applyBorder="1"/>
    <xf numFmtId="0" fontId="35" fillId="0" borderId="5" xfId="0" applyFont="1" applyBorder="1"/>
    <xf numFmtId="4" fontId="30" fillId="0" borderId="6" xfId="0" applyNumberFormat="1" applyFont="1" applyFill="1" applyBorder="1" applyAlignment="1"/>
    <xf numFmtId="4" fontId="30" fillId="0" borderId="6" xfId="1" applyNumberFormat="1" applyFont="1" applyBorder="1" applyAlignment="1">
      <alignment horizontal="right"/>
    </xf>
    <xf numFmtId="4" fontId="30" fillId="0" borderId="45" xfId="0" applyNumberFormat="1" applyFont="1" applyFill="1" applyBorder="1" applyAlignment="1"/>
    <xf numFmtId="4" fontId="30" fillId="3" borderId="6" xfId="1" applyNumberFormat="1" applyFont="1" applyFill="1" applyBorder="1" applyAlignment="1">
      <alignment horizontal="right" wrapText="1"/>
    </xf>
    <xf numFmtId="4" fontId="30" fillId="0" borderId="36" xfId="1" applyNumberFormat="1" applyFont="1" applyBorder="1" applyAlignment="1">
      <alignment horizontal="right"/>
    </xf>
    <xf numFmtId="4" fontId="30" fillId="0" borderId="9" xfId="2" applyNumberFormat="1" applyFont="1" applyBorder="1" applyAlignment="1">
      <alignment horizontal="right"/>
    </xf>
    <xf numFmtId="4" fontId="30" fillId="0" borderId="32" xfId="2" applyNumberFormat="1" applyFont="1" applyBorder="1" applyAlignment="1">
      <alignment horizontal="right"/>
    </xf>
    <xf numFmtId="4" fontId="30" fillId="0" borderId="9" xfId="1" applyNumberFormat="1" applyFont="1" applyBorder="1" applyAlignment="1">
      <alignment horizontal="right"/>
    </xf>
    <xf numFmtId="4" fontId="30" fillId="0" borderId="32" xfId="21" applyNumberFormat="1" applyFont="1" applyBorder="1" applyAlignment="1">
      <alignment horizontal="right" vertical="top"/>
    </xf>
    <xf numFmtId="4" fontId="30" fillId="0" borderId="36" xfId="24" applyNumberFormat="1" applyFont="1" applyBorder="1" applyAlignment="1">
      <alignment horizontal="right" vertical="top"/>
    </xf>
    <xf numFmtId="4" fontId="30" fillId="0" borderId="23" xfId="21" applyNumberFormat="1" applyFont="1" applyBorder="1" applyAlignment="1">
      <alignment horizontal="right" vertical="top"/>
    </xf>
    <xf numFmtId="0" fontId="29" fillId="0" borderId="33" xfId="0" applyFont="1" applyBorder="1"/>
    <xf numFmtId="4" fontId="29" fillId="0" borderId="32" xfId="0" applyNumberFormat="1" applyFont="1" applyBorder="1"/>
    <xf numFmtId="2" fontId="30" fillId="0" borderId="44" xfId="21" applyNumberFormat="1" applyFont="1" applyBorder="1" applyAlignment="1">
      <alignment horizontal="right" vertical="top"/>
    </xf>
    <xf numFmtId="4" fontId="30" fillId="0" borderId="44" xfId="21" applyNumberFormat="1" applyFont="1" applyBorder="1" applyAlignment="1">
      <alignment horizontal="right" vertical="top"/>
    </xf>
    <xf numFmtId="4" fontId="29" fillId="0" borderId="18" xfId="0" applyNumberFormat="1" applyFont="1" applyBorder="1"/>
    <xf numFmtId="4" fontId="33" fillId="0" borderId="62" xfId="0" applyNumberFormat="1" applyFont="1" applyBorder="1"/>
    <xf numFmtId="0" fontId="33" fillId="0" borderId="61" xfId="0" applyFont="1" applyBorder="1"/>
    <xf numFmtId="4" fontId="33" fillId="0" borderId="30" xfId="0" applyNumberFormat="1" applyFont="1" applyBorder="1"/>
    <xf numFmtId="3" fontId="33" fillId="0" borderId="31" xfId="0" applyNumberFormat="1" applyFont="1" applyBorder="1"/>
    <xf numFmtId="4" fontId="62" fillId="0" borderId="0" xfId="0" applyNumberFormat="1" applyFont="1"/>
    <xf numFmtId="4" fontId="30" fillId="0" borderId="48" xfId="0" applyNumberFormat="1" applyFont="1" applyFill="1" applyBorder="1"/>
    <xf numFmtId="4" fontId="30" fillId="0" borderId="6" xfId="20" applyNumberFormat="1" applyFont="1" applyBorder="1" applyAlignment="1">
      <alignment horizontal="right" vertical="top"/>
    </xf>
    <xf numFmtId="4" fontId="30" fillId="0" borderId="36" xfId="20" applyNumberFormat="1" applyFont="1" applyBorder="1" applyAlignment="1">
      <alignment horizontal="right" vertical="top"/>
    </xf>
    <xf numFmtId="4" fontId="30" fillId="0" borderId="32" xfId="20" applyNumberFormat="1" applyFont="1" applyBorder="1" applyAlignment="1">
      <alignment horizontal="right" vertical="top"/>
    </xf>
    <xf numFmtId="2" fontId="30" fillId="0" borderId="44" xfId="20" applyNumberFormat="1" applyFont="1" applyBorder="1" applyAlignment="1">
      <alignment horizontal="right" vertical="top"/>
    </xf>
    <xf numFmtId="4" fontId="30" fillId="0" borderId="44" xfId="20" applyNumberFormat="1" applyFont="1" applyBorder="1" applyAlignment="1">
      <alignment horizontal="right" vertical="top"/>
    </xf>
    <xf numFmtId="4" fontId="30" fillId="0" borderId="32" xfId="18" applyNumberFormat="1" applyFont="1" applyBorder="1" applyAlignment="1">
      <alignment horizontal="right" vertical="top"/>
    </xf>
    <xf numFmtId="4" fontId="30" fillId="0" borderId="9" xfId="16" applyNumberFormat="1" applyFont="1" applyBorder="1"/>
    <xf numFmtId="4" fontId="30" fillId="0" borderId="44" xfId="16" applyNumberFormat="1" applyFont="1" applyBorder="1" applyAlignment="1">
      <alignment horizontal="right" vertical="top"/>
    </xf>
    <xf numFmtId="4" fontId="30" fillId="0" borderId="36" xfId="17" applyNumberFormat="1" applyFont="1" applyBorder="1" applyAlignment="1">
      <alignment horizontal="right" vertical="top"/>
    </xf>
    <xf numFmtId="4" fontId="30" fillId="0" borderId="32" xfId="17" applyNumberFormat="1" applyFont="1" applyBorder="1" applyAlignment="1">
      <alignment horizontal="right" vertical="top"/>
    </xf>
    <xf numFmtId="4" fontId="30" fillId="0" borderId="47" xfId="16" applyNumberFormat="1" applyFont="1" applyBorder="1" applyAlignment="1">
      <alignment horizontal="right" vertical="top"/>
    </xf>
    <xf numFmtId="2" fontId="30" fillId="0" borderId="44" xfId="14" applyNumberFormat="1" applyFont="1" applyBorder="1" applyAlignment="1">
      <alignment horizontal="right" vertical="top"/>
    </xf>
    <xf numFmtId="4" fontId="30" fillId="0" borderId="44" xfId="17" applyNumberFormat="1" applyFont="1" applyBorder="1" applyAlignment="1">
      <alignment horizontal="right" vertical="top"/>
    </xf>
    <xf numFmtId="4" fontId="30" fillId="0" borderId="9" xfId="17" applyNumberFormat="1" applyFont="1" applyBorder="1" applyAlignment="1">
      <alignment horizontal="right" vertical="top"/>
    </xf>
    <xf numFmtId="2" fontId="30" fillId="0" borderId="9" xfId="17" applyNumberFormat="1" applyFont="1" applyBorder="1" applyAlignment="1">
      <alignment horizontal="right" vertical="top"/>
    </xf>
    <xf numFmtId="2" fontId="30" fillId="0" borderId="36" xfId="17" applyNumberFormat="1" applyFont="1" applyBorder="1" applyAlignment="1">
      <alignment horizontal="right" vertical="top"/>
    </xf>
    <xf numFmtId="4" fontId="30" fillId="3" borderId="9" xfId="15" applyNumberFormat="1" applyFont="1" applyFill="1" applyBorder="1" applyAlignment="1">
      <alignment horizontal="right" vertical="top" wrapText="1"/>
    </xf>
    <xf numFmtId="4" fontId="63" fillId="0" borderId="43" xfId="87" applyNumberFormat="1" applyFont="1" applyFill="1" applyBorder="1" applyAlignment="1">
      <alignment horizontal="right" vertical="top" wrapText="1"/>
    </xf>
    <xf numFmtId="4" fontId="64" fillId="0" borderId="0" xfId="0" applyNumberFormat="1" applyFont="1" applyFill="1" applyBorder="1"/>
    <xf numFmtId="4" fontId="30" fillId="0" borderId="32" xfId="14" applyNumberFormat="1" applyFont="1" applyBorder="1" applyAlignment="1">
      <alignment horizontal="right" vertical="top"/>
    </xf>
    <xf numFmtId="4" fontId="30" fillId="0" borderId="32" xfId="11" applyNumberFormat="1" applyFont="1" applyBorder="1" applyAlignment="1">
      <alignment horizontal="right" vertical="top"/>
    </xf>
    <xf numFmtId="4" fontId="30" fillId="0" borderId="36" xfId="11" applyNumberFormat="1" applyFont="1" applyBorder="1" applyAlignment="1">
      <alignment horizontal="right" vertical="top"/>
    </xf>
    <xf numFmtId="4" fontId="30" fillId="3" borderId="43" xfId="15" applyNumberFormat="1" applyFont="1" applyFill="1" applyBorder="1" applyAlignment="1">
      <alignment horizontal="right" vertical="top" wrapText="1"/>
    </xf>
    <xf numFmtId="4" fontId="30" fillId="0" borderId="9" xfId="9" applyNumberFormat="1" applyFont="1" applyBorder="1"/>
    <xf numFmtId="4" fontId="39" fillId="3" borderId="52" xfId="15" applyNumberFormat="1" applyFont="1" applyFill="1" applyBorder="1" applyAlignment="1">
      <alignment horizontal="right" vertical="top" wrapText="1"/>
    </xf>
    <xf numFmtId="4" fontId="30" fillId="0" borderId="32" xfId="6" applyNumberFormat="1" applyFont="1" applyBorder="1" applyAlignment="1">
      <alignment horizontal="right" vertical="top"/>
    </xf>
    <xf numFmtId="4" fontId="30" fillId="0" borderId="36" xfId="6" applyNumberFormat="1" applyFont="1" applyBorder="1" applyAlignment="1">
      <alignment horizontal="right" vertical="top"/>
    </xf>
    <xf numFmtId="2" fontId="30" fillId="0" borderId="6" xfId="9" applyNumberFormat="1" applyFont="1" applyBorder="1" applyAlignment="1">
      <alignment horizontal="right" vertical="top"/>
    </xf>
    <xf numFmtId="4" fontId="30" fillId="3" borderId="43" xfId="10" applyNumberFormat="1" applyFont="1" applyFill="1" applyBorder="1" applyAlignment="1">
      <alignment horizontal="right" vertical="top" wrapText="1"/>
    </xf>
    <xf numFmtId="2" fontId="30" fillId="0" borderId="9" xfId="6" applyNumberFormat="1" applyFont="1" applyBorder="1" applyAlignment="1">
      <alignment horizontal="right" vertical="top"/>
    </xf>
    <xf numFmtId="4" fontId="30" fillId="3" borderId="9" xfId="13" applyNumberFormat="1" applyFont="1" applyFill="1" applyBorder="1" applyAlignment="1">
      <alignment horizontal="right" vertical="top" wrapText="1"/>
    </xf>
    <xf numFmtId="2" fontId="30" fillId="3" borderId="9" xfId="13" applyNumberFormat="1" applyFont="1" applyFill="1" applyBorder="1" applyAlignment="1">
      <alignment horizontal="right" vertical="top" wrapText="1"/>
    </xf>
    <xf numFmtId="4" fontId="30" fillId="0" borderId="6" xfId="3" applyNumberFormat="1" applyFont="1" applyBorder="1" applyAlignment="1">
      <alignment horizontal="right" vertical="top"/>
    </xf>
    <xf numFmtId="4" fontId="30" fillId="0" borderId="6" xfId="1" applyNumberFormat="1" applyFont="1" applyBorder="1" applyAlignment="1">
      <alignment horizontal="right" vertical="top"/>
    </xf>
    <xf numFmtId="4" fontId="30" fillId="0" borderId="4" xfId="0" applyNumberFormat="1" applyFont="1" applyBorder="1"/>
    <xf numFmtId="4" fontId="30" fillId="0" borderId="32" xfId="3" applyNumberFormat="1" applyFont="1" applyBorder="1" applyAlignment="1">
      <alignment horizontal="right" vertical="top"/>
    </xf>
    <xf numFmtId="2" fontId="30" fillId="0" borderId="44" xfId="3" applyNumberFormat="1" applyFont="1" applyBorder="1" applyAlignment="1">
      <alignment horizontal="right" vertical="top"/>
    </xf>
    <xf numFmtId="4" fontId="30" fillId="3" borderId="43" xfId="3" applyNumberFormat="1" applyFont="1" applyFill="1" applyBorder="1" applyAlignment="1">
      <alignment horizontal="right" vertical="top" wrapText="1"/>
    </xf>
    <xf numFmtId="4" fontId="30" fillId="3" borderId="9" xfId="3" applyNumberFormat="1" applyFont="1" applyFill="1" applyBorder="1" applyAlignment="1">
      <alignment horizontal="right" vertical="top" wrapText="1"/>
    </xf>
    <xf numFmtId="4" fontId="30" fillId="0" borderId="36" xfId="46" applyNumberFormat="1" applyFont="1" applyBorder="1" applyAlignment="1">
      <alignment horizontal="right" vertical="top"/>
    </xf>
    <xf numFmtId="2" fontId="30" fillId="0" borderId="36" xfId="46" applyNumberFormat="1" applyFont="1" applyBorder="1" applyAlignment="1">
      <alignment horizontal="right" vertical="top"/>
    </xf>
    <xf numFmtId="4" fontId="30" fillId="0" borderId="36" xfId="86" applyNumberFormat="1" applyFont="1" applyBorder="1" applyAlignment="1">
      <alignment horizontal="right" vertical="top"/>
    </xf>
    <xf numFmtId="2" fontId="30" fillId="0" borderId="36" xfId="86" applyNumberFormat="1" applyFont="1" applyBorder="1" applyAlignment="1">
      <alignment horizontal="right" vertical="top"/>
    </xf>
    <xf numFmtId="4" fontId="30" fillId="0" borderId="32" xfId="9" applyNumberFormat="1" applyFont="1" applyBorder="1" applyAlignment="1">
      <alignment horizontal="right" vertical="top"/>
    </xf>
    <xf numFmtId="4" fontId="30" fillId="0" borderId="44" xfId="9" applyNumberFormat="1" applyFont="1" applyBorder="1" applyAlignment="1">
      <alignment horizontal="right" vertical="top"/>
    </xf>
    <xf numFmtId="4" fontId="30" fillId="0" borderId="6" xfId="9" applyNumberFormat="1" applyFont="1" applyBorder="1" applyAlignment="1">
      <alignment horizontal="right" vertical="top"/>
    </xf>
    <xf numFmtId="4" fontId="30" fillId="3" borderId="9" xfId="10" applyNumberFormat="1" applyFont="1" applyFill="1" applyBorder="1" applyAlignment="1">
      <alignment horizontal="right" vertical="top" wrapText="1"/>
    </xf>
    <xf numFmtId="4" fontId="30" fillId="0" borderId="9" xfId="9" applyNumberFormat="1" applyFont="1" applyBorder="1" applyAlignment="1">
      <alignment horizontal="right" vertical="top"/>
    </xf>
    <xf numFmtId="4" fontId="30" fillId="0" borderId="36" xfId="9" applyNumberFormat="1" applyFont="1" applyBorder="1" applyAlignment="1">
      <alignment horizontal="right" vertical="top"/>
    </xf>
    <xf numFmtId="4" fontId="29" fillId="0" borderId="0" xfId="0" applyNumberFormat="1" applyFont="1" applyFill="1"/>
    <xf numFmtId="4" fontId="33" fillId="0" borderId="5" xfId="0" applyNumberFormat="1" applyFont="1" applyBorder="1"/>
    <xf numFmtId="0" fontId="33" fillId="0" borderId="22" xfId="0" applyFont="1" applyBorder="1" applyAlignment="1">
      <alignment wrapText="1"/>
    </xf>
    <xf numFmtId="0" fontId="0" fillId="0" borderId="63" xfId="0" applyBorder="1" applyAlignment="1">
      <alignment wrapText="1"/>
    </xf>
  </cellXfs>
  <cellStyles count="88">
    <cellStyle name="Обычный" xfId="0" builtinId="0"/>
    <cellStyle name="Обычный_1 Сов., 1" xfId="38"/>
    <cellStyle name="Обычный_1 Сов., 2" xfId="39"/>
    <cellStyle name="Обычный_1 Сов., 3" xfId="40"/>
    <cellStyle name="Обычный_1 Сов., 4" xfId="41"/>
    <cellStyle name="Обычный_1 Сов., 5" xfId="42"/>
    <cellStyle name="Обычный_1 Сов., 6" xfId="43"/>
    <cellStyle name="Обычный_1 Сов., 7" xfId="44"/>
    <cellStyle name="Обычный_15 Советс., 17" xfId="37"/>
    <cellStyle name="Обычный_2 жд, 4а" xfId="13"/>
    <cellStyle name="Обычный_3-я Жд, 66" xfId="84"/>
    <cellStyle name="Обычный_3-я Железнодорожная, 66" xfId="85"/>
    <cellStyle name="Обычный_4 жд, 14а" xfId="15"/>
    <cellStyle name="Обычный_4 жд, 46б" xfId="1"/>
    <cellStyle name="Обычный_4-я жд, 23ж" xfId="53"/>
    <cellStyle name="Обычный_4-я Жд, 46а" xfId="86"/>
    <cellStyle name="Обычный_Баррикад, 17" xfId="66"/>
    <cellStyle name="Обычный_Баумана, 162" xfId="64"/>
    <cellStyle name="Обычный_Баумана, 235а1" xfId="83"/>
    <cellStyle name="Обычный_Баумана, 235а-1" xfId="82"/>
    <cellStyle name="Обычный_Воронежская, 13" xfId="31"/>
    <cellStyle name="Обычный_Воронежская, 17" xfId="32"/>
    <cellStyle name="Обычный_Воронежская, 19" xfId="33"/>
    <cellStyle name="Обычный_Воронежская, 21" xfId="76"/>
    <cellStyle name="Обычный_Воронежская, 23" xfId="21"/>
    <cellStyle name="Обычный_Гашека, 4а" xfId="25"/>
    <cellStyle name="Обычный_Гашека, 7" xfId="26"/>
    <cellStyle name="Обычный_гоголя, 42б" xfId="3"/>
    <cellStyle name="Обычный_Горького 29" xfId="87"/>
    <cellStyle name="Обычный_Горького, 29" xfId="16"/>
    <cellStyle name="Обычный_Грязнова, 15а" xfId="45"/>
    <cellStyle name="Обычный_Грязнова, 15в" xfId="46"/>
    <cellStyle name="Обычный_Грязнова, 18" xfId="47"/>
    <cellStyle name="Обычный_Грязнова, 26" xfId="48"/>
    <cellStyle name="Обычный_Джамбула, 4" xfId="17"/>
    <cellStyle name="Обычный_К. Маркса, 32" xfId="30"/>
    <cellStyle name="Обычный_Киренская, 2А" xfId="68"/>
    <cellStyle name="Обычный_Лапина,17" xfId="4"/>
    <cellStyle name="Обычный_Лист1" xfId="2"/>
    <cellStyle name="Обычный_Лист2" xfId="6"/>
    <cellStyle name="Обычный_Лист3" xfId="14"/>
    <cellStyle name="Обычный_мичурина 7-2" xfId="80"/>
    <cellStyle name="Обычный_мичурина,7" xfId="5"/>
    <cellStyle name="Обычный_мичурина,7-1" xfId="7"/>
    <cellStyle name="Обычный_Первомайская, 38а" xfId="67"/>
    <cellStyle name="Обычный_Полярная, 74" xfId="69"/>
    <cellStyle name="Обычный_Полярная, 76" xfId="70"/>
    <cellStyle name="Обычный_Полярная, 78" xfId="71"/>
    <cellStyle name="Обычный_Полярная, 86" xfId="72"/>
    <cellStyle name="Обычный_Профс., 6а" xfId="77"/>
    <cellStyle name="Обычный_Профс., 6е" xfId="78"/>
    <cellStyle name="Обычный_Профсоюзная, 15" xfId="29"/>
    <cellStyle name="Обычный_Профсоюзная, 4" xfId="36"/>
    <cellStyle name="Обычный_Пушкина, 13" xfId="18"/>
    <cellStyle name="Обычный_Пушкина, 4" xfId="73"/>
    <cellStyle name="Обычный_Пушкина, 6" xfId="28"/>
    <cellStyle name="Обычный_Р. Люкс, 136а" xfId="59"/>
    <cellStyle name="Обычный_Р. Люкс, 136б" xfId="60"/>
    <cellStyle name="Обычный_Р. Люкс., 136в" xfId="61"/>
    <cellStyle name="Обычный_Р. Люкс., 154" xfId="58"/>
    <cellStyle name="Обычный_Р. Люкс., 70" xfId="57"/>
    <cellStyle name="Обычный_Р. Люкс., 72" xfId="56"/>
    <cellStyle name="Обычный_Р. Люкс., 78" xfId="55"/>
    <cellStyle name="Обычный_Р. Люкс., 80" xfId="54"/>
    <cellStyle name="Обычный_Р. Штаба, 18а" xfId="49"/>
    <cellStyle name="Обычный_Р. Штаба, 18б" xfId="50"/>
    <cellStyle name="Обычный_Р. Штаба, 18д" xfId="51"/>
    <cellStyle name="Обычный_Р.-Кр., 3" xfId="75"/>
    <cellStyle name="Обычный_Радужный, 74" xfId="81"/>
    <cellStyle name="Обычный_Р-Кр., 2" xfId="74"/>
    <cellStyle name="Обычный_Роза Люксембург, 5" xfId="8"/>
    <cellStyle name="Обычный_Российская, 25" xfId="19"/>
    <cellStyle name="Обычный_Румянцева, 26" xfId="27"/>
    <cellStyle name="Обычный_Румянцева, 45а" xfId="20"/>
    <cellStyle name="Обычный_Свердлова, 1" xfId="24"/>
    <cellStyle name="Обычный_Свердлова, 38" xfId="52"/>
    <cellStyle name="Обычный_Севастопольская, 145" xfId="34"/>
    <cellStyle name="Обычный_Севастопольская, 147" xfId="35"/>
    <cellStyle name="Обычный_Терешковой, 49" xfId="65"/>
    <cellStyle name="Обычный_Чайк., 16-1" xfId="63"/>
    <cellStyle name="Обычный_Чайк.14" xfId="9"/>
    <cellStyle name="Обычный_Чайковского, 10" xfId="62"/>
    <cellStyle name="Обычный_Чайковского, 9" xfId="22"/>
    <cellStyle name="Обычный_чайковского,14" xfId="10"/>
    <cellStyle name="Обычный_чайковского,9" xfId="23"/>
    <cellStyle name="Обычный_Шмидта, 32" xfId="11"/>
    <cellStyle name="Обычный_шмидта,32" xfId="12"/>
    <cellStyle name="Обычный_Ямская, 13" xfId="79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88"/>
  <sheetViews>
    <sheetView tabSelected="1" view="pageBreakPreview" topLeftCell="A7" zoomScale="75" zoomScaleSheetLayoutView="75" workbookViewId="0">
      <selection activeCell="M23" sqref="M23"/>
    </sheetView>
  </sheetViews>
  <sheetFormatPr defaultRowHeight="15" x14ac:dyDescent="0.25"/>
  <cols>
    <col min="1" max="1" width="42.7109375" customWidth="1"/>
    <col min="2" max="2" width="16.5703125" style="3" customWidth="1"/>
    <col min="3" max="3" width="19.5703125" style="3" customWidth="1"/>
    <col min="4" max="4" width="18.140625" style="3" customWidth="1"/>
    <col min="5" max="5" width="17.28515625" style="3" customWidth="1"/>
    <col min="6" max="6" width="16.28515625" customWidth="1"/>
    <col min="7" max="7" width="16.1406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3" ht="18" x14ac:dyDescent="0.25">
      <c r="A2" s="187" t="s">
        <v>70</v>
      </c>
      <c r="B2" s="2"/>
      <c r="C2" s="2"/>
      <c r="D2" s="2"/>
      <c r="E2" s="25"/>
    </row>
    <row r="3" spans="1:23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3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3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3" ht="15.75" x14ac:dyDescent="0.25">
      <c r="A6" s="110" t="s">
        <v>4</v>
      </c>
      <c r="B6" s="345"/>
      <c r="C6" s="345">
        <v>1868.2</v>
      </c>
      <c r="D6" s="346">
        <v>62</v>
      </c>
      <c r="E6" s="99"/>
      <c r="F6" s="100"/>
      <c r="G6" s="100"/>
      <c r="H6" s="100"/>
      <c r="L6" s="20"/>
      <c r="M6" s="20"/>
      <c r="N6" s="20"/>
      <c r="O6" s="20"/>
    </row>
    <row r="7" spans="1:23" ht="15.75" x14ac:dyDescent="0.25">
      <c r="A7" s="142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3" ht="16.5" thickBot="1" x14ac:dyDescent="0.3">
      <c r="A8" s="113" t="s">
        <v>5</v>
      </c>
      <c r="B8" s="114"/>
      <c r="C8" s="114">
        <f>C6+C7</f>
        <v>1868.2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3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3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3" ht="15.75" x14ac:dyDescent="0.25">
      <c r="A11" s="121" t="s">
        <v>7</v>
      </c>
      <c r="B11" s="122"/>
      <c r="C11" s="122"/>
      <c r="D11" s="124">
        <f>10.44+0.55</f>
        <v>10.99</v>
      </c>
      <c r="E11" s="99"/>
      <c r="F11" s="100"/>
      <c r="G11" s="100"/>
      <c r="H11" s="100"/>
      <c r="L11" s="20"/>
      <c r="M11" s="20"/>
      <c r="N11" s="20"/>
      <c r="O11" s="20"/>
    </row>
    <row r="12" spans="1:23" ht="15.75" x14ac:dyDescent="0.25">
      <c r="A12" s="121" t="s">
        <v>8</v>
      </c>
      <c r="B12" s="122"/>
      <c r="C12" s="122"/>
      <c r="D12" s="123">
        <v>5.36</v>
      </c>
      <c r="E12" s="99"/>
      <c r="F12" s="100"/>
      <c r="G12" s="100"/>
      <c r="H12" s="100"/>
      <c r="L12" s="20"/>
      <c r="M12" s="20"/>
      <c r="N12" s="20"/>
      <c r="O12" s="20"/>
    </row>
    <row r="13" spans="1:23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3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3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3" ht="16.5" thickBot="1" x14ac:dyDescent="0.3">
      <c r="A16" s="131" t="s">
        <v>72</v>
      </c>
      <c r="B16" s="132"/>
      <c r="C16" s="132"/>
      <c r="D16" s="132"/>
      <c r="E16" s="132"/>
      <c r="F16" s="102"/>
      <c r="G16" s="102"/>
      <c r="H16" s="102"/>
      <c r="M16" s="20"/>
      <c r="N16" s="21"/>
      <c r="O16" s="21"/>
      <c r="P16" s="20"/>
      <c r="Q16" s="6"/>
      <c r="R16" s="6"/>
      <c r="S16" s="6"/>
      <c r="T16" s="6"/>
      <c r="U16" s="6"/>
      <c r="V16" s="6"/>
      <c r="W16" s="6"/>
    </row>
    <row r="17" spans="1:23" ht="16.5" hidden="1" thickBot="1" x14ac:dyDescent="0.3">
      <c r="A17" s="121"/>
      <c r="B17" s="130"/>
      <c r="C17" s="130"/>
      <c r="D17" s="130"/>
      <c r="E17" s="130"/>
      <c r="F17" s="128"/>
      <c r="G17" s="100"/>
      <c r="H17" s="100"/>
      <c r="M17" s="21"/>
      <c r="N17" s="22"/>
      <c r="O17" s="21"/>
      <c r="P17" s="20"/>
      <c r="Q17" s="6"/>
      <c r="R17" s="6"/>
      <c r="S17" s="6"/>
      <c r="T17" s="6"/>
      <c r="U17" s="6"/>
      <c r="V17" s="6"/>
      <c r="W17" s="6"/>
    </row>
    <row r="18" spans="1:23" ht="16.5" hidden="1" thickBot="1" x14ac:dyDescent="0.3">
      <c r="A18" s="121"/>
      <c r="B18" s="130"/>
      <c r="C18" s="130"/>
      <c r="D18" s="130"/>
      <c r="E18" s="130"/>
      <c r="F18" s="128"/>
      <c r="G18" s="100"/>
      <c r="H18" s="100"/>
      <c r="M18" s="20"/>
      <c r="N18" s="20"/>
      <c r="O18" s="20"/>
      <c r="P18" s="20"/>
      <c r="Q18" s="6"/>
      <c r="R18" s="6"/>
      <c r="S18" s="6"/>
      <c r="T18" s="6"/>
      <c r="U18" s="6"/>
      <c r="V18" s="6"/>
      <c r="W18" s="6"/>
    </row>
    <row r="19" spans="1:23" ht="65.25" customHeight="1" thickBot="1" x14ac:dyDescent="0.3">
      <c r="A19" s="316" t="s">
        <v>11</v>
      </c>
      <c r="B19" s="861" t="s">
        <v>73</v>
      </c>
      <c r="C19" s="135" t="s">
        <v>74</v>
      </c>
      <c r="D19" s="135" t="s">
        <v>84</v>
      </c>
      <c r="E19" s="135" t="s">
        <v>75</v>
      </c>
      <c r="F19" s="317" t="s">
        <v>76</v>
      </c>
      <c r="G19" s="137" t="s">
        <v>77</v>
      </c>
      <c r="H19" s="138" t="s">
        <v>78</v>
      </c>
      <c r="I19" s="24"/>
      <c r="M19" s="20"/>
      <c r="N19" s="23"/>
      <c r="O19" s="23"/>
      <c r="P19" s="20"/>
      <c r="Q19" s="6"/>
      <c r="R19" s="6"/>
      <c r="S19" s="6"/>
      <c r="T19" s="6"/>
      <c r="U19" s="6"/>
      <c r="V19" s="6"/>
      <c r="W19" s="6"/>
    </row>
    <row r="20" spans="1:23" ht="15.75" x14ac:dyDescent="0.25">
      <c r="A20" s="110" t="s">
        <v>12</v>
      </c>
      <c r="B20" s="862">
        <v>90045.049999999974</v>
      </c>
      <c r="C20" s="889">
        <v>246378.48</v>
      </c>
      <c r="D20" s="889">
        <v>0</v>
      </c>
      <c r="E20" s="889">
        <v>202332.71</v>
      </c>
      <c r="F20" s="321">
        <v>134090.81999999998</v>
      </c>
      <c r="G20" s="141">
        <v>246378.48</v>
      </c>
      <c r="H20" s="189">
        <v>0</v>
      </c>
      <c r="I20" s="24"/>
      <c r="M20" s="20"/>
      <c r="N20" s="20"/>
      <c r="O20" s="20"/>
      <c r="P20" s="20"/>
      <c r="Q20" s="6"/>
      <c r="R20" s="6"/>
      <c r="S20" s="6"/>
      <c r="T20" s="6"/>
      <c r="U20" s="6"/>
      <c r="V20" s="6"/>
      <c r="W20" s="6"/>
    </row>
    <row r="21" spans="1:23" ht="15.75" x14ac:dyDescent="0.25">
      <c r="A21" s="142" t="s">
        <v>13</v>
      </c>
      <c r="B21" s="143">
        <v>43112.999999999978</v>
      </c>
      <c r="C21" s="890">
        <v>120162.6</v>
      </c>
      <c r="D21" s="890">
        <v>0</v>
      </c>
      <c r="E21" s="890">
        <v>98919.47</v>
      </c>
      <c r="F21" s="143">
        <v>64356.129999999976</v>
      </c>
      <c r="G21" s="323">
        <v>159506.82</v>
      </c>
      <c r="H21" s="189">
        <v>-39344.22</v>
      </c>
      <c r="I21" s="24"/>
      <c r="M21" s="20"/>
      <c r="N21" s="20"/>
      <c r="O21" s="23"/>
      <c r="P21" s="20"/>
      <c r="Q21" s="6"/>
      <c r="R21" s="6"/>
      <c r="S21" s="6"/>
      <c r="T21" s="6"/>
      <c r="U21" s="6"/>
      <c r="V21" s="6"/>
      <c r="W21" s="6"/>
    </row>
    <row r="22" spans="1:23" ht="16.5" thickBot="1" x14ac:dyDescent="0.3">
      <c r="A22" s="144" t="s">
        <v>15</v>
      </c>
      <c r="B22" s="322">
        <v>0</v>
      </c>
      <c r="C22" s="322">
        <v>0</v>
      </c>
      <c r="D22" s="322">
        <v>0</v>
      </c>
      <c r="E22" s="322">
        <v>0</v>
      </c>
      <c r="F22" s="147">
        <v>0</v>
      </c>
      <c r="G22" s="891">
        <v>6600</v>
      </c>
      <c r="H22" s="189">
        <v>-6600</v>
      </c>
      <c r="I22" s="24"/>
      <c r="M22" s="20"/>
      <c r="N22" s="20"/>
      <c r="O22" s="20"/>
      <c r="P22" s="20"/>
      <c r="Q22" s="6"/>
      <c r="R22" s="6"/>
      <c r="S22" s="6"/>
      <c r="T22" s="6"/>
      <c r="U22" s="6"/>
      <c r="V22" s="6"/>
      <c r="W22" s="6"/>
    </row>
    <row r="23" spans="1:23" ht="16.5" thickBot="1" x14ac:dyDescent="0.3">
      <c r="A23" s="151" t="s">
        <v>16</v>
      </c>
      <c r="B23" s="152">
        <v>161885.18999999997</v>
      </c>
      <c r="C23" s="153">
        <v>682820.09000000008</v>
      </c>
      <c r="D23" s="153">
        <v>-24117.329999999998</v>
      </c>
      <c r="E23" s="153">
        <v>567899.67000000004</v>
      </c>
      <c r="F23" s="153">
        <v>252688.28</v>
      </c>
      <c r="G23" s="153">
        <v>633622.66999999993</v>
      </c>
      <c r="H23" s="191">
        <v>25080.090000000033</v>
      </c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x14ac:dyDescent="0.25">
      <c r="A24" s="892" t="s">
        <v>17</v>
      </c>
      <c r="B24" s="893">
        <v>132458.69</v>
      </c>
      <c r="C24" s="894">
        <v>409761.34</v>
      </c>
      <c r="D24" s="894"/>
      <c r="E24" s="894">
        <v>344429.95</v>
      </c>
      <c r="F24" s="895">
        <v>197790.08000000002</v>
      </c>
      <c r="G24" s="896">
        <v>402613.13</v>
      </c>
      <c r="H24" s="189">
        <v>7148.210000000021</v>
      </c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5.75" x14ac:dyDescent="0.25">
      <c r="A25" s="157" t="s">
        <v>18</v>
      </c>
      <c r="B25" s="158">
        <v>4873.6399999999849</v>
      </c>
      <c r="C25" s="158">
        <v>174703.01</v>
      </c>
      <c r="D25" s="158">
        <v>-15341.34</v>
      </c>
      <c r="E25" s="158">
        <v>145428.20000000001</v>
      </c>
      <c r="F25" s="158">
        <v>18807.109999999986</v>
      </c>
      <c r="G25" s="875">
        <v>136677.6</v>
      </c>
      <c r="H25" s="189">
        <v>22684.070000000007</v>
      </c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5.75" x14ac:dyDescent="0.25">
      <c r="A26" s="157" t="s">
        <v>19</v>
      </c>
      <c r="B26" s="158">
        <v>5930.5899999999965</v>
      </c>
      <c r="C26" s="897">
        <v>32536.18</v>
      </c>
      <c r="D26" s="898">
        <v>-3236.6</v>
      </c>
      <c r="E26" s="897">
        <v>26536.02</v>
      </c>
      <c r="F26" s="158">
        <v>8694.1499999999978</v>
      </c>
      <c r="G26" s="875">
        <v>33362.99</v>
      </c>
      <c r="H26" s="189">
        <v>-4063.4099999999962</v>
      </c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.75" x14ac:dyDescent="0.25">
      <c r="A27" s="157" t="s">
        <v>20</v>
      </c>
      <c r="B27" s="158">
        <v>18622.27</v>
      </c>
      <c r="C27" s="899">
        <v>65819.56</v>
      </c>
      <c r="D27" s="900">
        <v>-5539.39</v>
      </c>
      <c r="E27" s="897">
        <v>51505.5</v>
      </c>
      <c r="F27" s="158">
        <v>27396.940000000002</v>
      </c>
      <c r="G27" s="875">
        <v>60968.95</v>
      </c>
      <c r="H27" s="189">
        <v>-688.77999999999884</v>
      </c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5.75" x14ac:dyDescent="0.25">
      <c r="A28" s="142" t="s">
        <v>31</v>
      </c>
      <c r="B28" s="158">
        <v>0</v>
      </c>
      <c r="C28" s="337">
        <v>0</v>
      </c>
      <c r="D28" s="337"/>
      <c r="E28" s="337">
        <v>0</v>
      </c>
      <c r="F28" s="158">
        <v>0</v>
      </c>
      <c r="G28" s="337">
        <v>0</v>
      </c>
      <c r="H28" s="189">
        <v>0</v>
      </c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.75" x14ac:dyDescent="0.25">
      <c r="A29" s="142" t="s">
        <v>21</v>
      </c>
      <c r="B29" s="337">
        <v>0</v>
      </c>
      <c r="C29" s="897">
        <v>13027.8</v>
      </c>
      <c r="D29" s="337"/>
      <c r="E29" s="897">
        <v>8725.51</v>
      </c>
      <c r="F29" s="880">
        <v>4302.2899999999991</v>
      </c>
      <c r="G29" s="337">
        <v>6980.4080000000004</v>
      </c>
      <c r="H29" s="189">
        <v>6047.3919999999989</v>
      </c>
      <c r="K29" s="8"/>
      <c r="L29" s="8"/>
      <c r="M29" s="3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.5" hidden="1" thickBot="1" x14ac:dyDescent="0.3">
      <c r="A30" s="113" t="s">
        <v>22</v>
      </c>
      <c r="B30" s="161"/>
      <c r="C30" s="161"/>
      <c r="D30" s="161"/>
      <c r="E30" s="161"/>
      <c r="F30" s="162">
        <v>0</v>
      </c>
      <c r="G30" s="163"/>
      <c r="H30" s="164">
        <v>0</v>
      </c>
      <c r="L30" s="3"/>
      <c r="M30" s="3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6.5" thickBot="1" x14ac:dyDescent="0.3">
      <c r="A31" s="165" t="s">
        <v>23</v>
      </c>
      <c r="B31" s="166">
        <v>295043.23999999993</v>
      </c>
      <c r="C31" s="166">
        <v>1062388.9700000002</v>
      </c>
      <c r="D31" s="166">
        <v>-24117.329999999998</v>
      </c>
      <c r="E31" s="166">
        <v>877877.3600000001</v>
      </c>
      <c r="F31" s="166">
        <v>455437.51999999996</v>
      </c>
      <c r="G31" s="166">
        <v>1053088.378</v>
      </c>
      <c r="H31" s="193">
        <v>-14816.737999999968</v>
      </c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x14ac:dyDescent="0.25">
      <c r="A32" s="167"/>
      <c r="B32" s="168"/>
      <c r="C32" s="122"/>
      <c r="D32" s="122"/>
      <c r="E32" s="122"/>
      <c r="F32" s="99"/>
      <c r="G32" s="169"/>
      <c r="H32" s="169"/>
      <c r="I32" s="15"/>
      <c r="J32" s="15"/>
      <c r="K32" s="3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10" ht="15.75" x14ac:dyDescent="0.25">
      <c r="A33" s="167"/>
      <c r="B33" s="168"/>
      <c r="C33" s="122"/>
      <c r="D33" s="170"/>
      <c r="E33" s="122"/>
      <c r="F33" s="128"/>
      <c r="G33" s="171"/>
      <c r="H33" s="171"/>
      <c r="I33" s="27"/>
      <c r="J33" s="15"/>
    </row>
    <row r="34" spans="1:10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10" ht="79.5" thickBot="1" x14ac:dyDescent="0.3">
      <c r="A35" s="845" t="s">
        <v>33</v>
      </c>
      <c r="B35" s="846" t="s">
        <v>25</v>
      </c>
      <c r="C35" s="847" t="s">
        <v>29</v>
      </c>
      <c r="D35" s="122"/>
      <c r="E35" s="122"/>
      <c r="F35" s="172"/>
      <c r="G35" s="100"/>
      <c r="H35" s="100"/>
    </row>
    <row r="36" spans="1:10" ht="15.75" x14ac:dyDescent="0.25">
      <c r="A36" s="848" t="s">
        <v>26</v>
      </c>
      <c r="B36" s="849" t="s">
        <v>24</v>
      </c>
      <c r="C36" s="850" t="s">
        <v>24</v>
      </c>
      <c r="D36" s="122"/>
      <c r="E36" s="122"/>
      <c r="F36" s="172"/>
      <c r="G36" s="100"/>
      <c r="H36" s="100"/>
    </row>
    <row r="37" spans="1:10" ht="15.75" x14ac:dyDescent="0.25">
      <c r="A37" s="358" t="s">
        <v>103</v>
      </c>
      <c r="B37" s="860"/>
      <c r="C37" s="181">
        <v>74613</v>
      </c>
      <c r="D37" s="168"/>
      <c r="E37" s="122"/>
      <c r="F37" s="172"/>
      <c r="G37" s="100"/>
      <c r="H37" s="100"/>
    </row>
    <row r="38" spans="1:10" ht="15.75" x14ac:dyDescent="0.25">
      <c r="A38" s="358" t="s">
        <v>81</v>
      </c>
      <c r="B38" s="860"/>
      <c r="C38" s="181">
        <v>13358.99</v>
      </c>
      <c r="D38" s="168"/>
      <c r="E38" s="122"/>
      <c r="F38" s="172"/>
      <c r="G38" s="100"/>
      <c r="H38" s="100"/>
    </row>
    <row r="39" spans="1:10" ht="15.75" x14ac:dyDescent="0.25">
      <c r="A39" s="358" t="s">
        <v>82</v>
      </c>
      <c r="B39" s="860"/>
      <c r="C39" s="181">
        <v>47359.33</v>
      </c>
      <c r="D39" s="168"/>
      <c r="E39" s="172"/>
      <c r="F39" s="100"/>
      <c r="G39" s="100"/>
      <c r="H39" s="100"/>
    </row>
    <row r="40" spans="1:10" ht="15.75" x14ac:dyDescent="0.25">
      <c r="A40" s="358" t="s">
        <v>87</v>
      </c>
      <c r="B40" s="860"/>
      <c r="C40" s="181">
        <v>7593</v>
      </c>
      <c r="D40" s="168"/>
      <c r="E40" s="881"/>
      <c r="F40" s="524"/>
      <c r="G40" s="169"/>
      <c r="H40" s="100"/>
    </row>
    <row r="41" spans="1:10" ht="15.75" x14ac:dyDescent="0.25">
      <c r="A41" s="358" t="s">
        <v>275</v>
      </c>
      <c r="B41" s="860"/>
      <c r="C41" s="181">
        <v>16582.5</v>
      </c>
      <c r="D41" s="168"/>
      <c r="E41" s="881"/>
      <c r="F41" s="524"/>
      <c r="G41" s="169"/>
      <c r="H41" s="100"/>
    </row>
    <row r="42" spans="1:10" ht="16.5" thickBot="1" x14ac:dyDescent="0.3">
      <c r="A42" s="113" t="s">
        <v>5</v>
      </c>
      <c r="B42" s="114">
        <f>B37</f>
        <v>0</v>
      </c>
      <c r="C42" s="852">
        <f>SUM(C37:C41)</f>
        <v>159506.82</v>
      </c>
      <c r="D42" s="182"/>
      <c r="E42" s="881"/>
      <c r="F42" s="524"/>
      <c r="G42" s="169"/>
      <c r="H42" s="100"/>
    </row>
    <row r="43" spans="1:10" ht="15.75" x14ac:dyDescent="0.25">
      <c r="A43" s="398"/>
      <c r="B43" s="122"/>
      <c r="C43" s="168"/>
      <c r="D43" s="182"/>
      <c r="E43" s="881"/>
      <c r="F43" s="524"/>
      <c r="G43" s="169"/>
      <c r="H43" s="100"/>
    </row>
    <row r="44" spans="1:10" ht="15.75" hidden="1" x14ac:dyDescent="0.25">
      <c r="A44" s="92" t="s">
        <v>118</v>
      </c>
      <c r="B44" s="93">
        <f>9404.6+34000+H21</f>
        <v>4060.3799999999974</v>
      </c>
      <c r="C44" s="94" t="s">
        <v>24</v>
      </c>
      <c r="D44" s="116"/>
      <c r="E44" s="116"/>
      <c r="F44" s="116"/>
      <c r="G44" s="169"/>
      <c r="H44" s="100"/>
    </row>
    <row r="45" spans="1:10" ht="15.75" x14ac:dyDescent="0.25">
      <c r="A45" s="92"/>
      <c r="B45" s="93"/>
      <c r="C45" s="94"/>
      <c r="D45" s="116"/>
      <c r="E45" s="116"/>
      <c r="F45" s="116"/>
      <c r="G45" s="169"/>
      <c r="H45" s="100"/>
    </row>
    <row r="46" spans="1:10" ht="31.5" x14ac:dyDescent="0.25">
      <c r="A46" s="344" t="s">
        <v>289</v>
      </c>
      <c r="B46" s="93">
        <f>44806.57-37850.4+9404.6+34000+E21-G21</f>
        <v>-10226.580000000016</v>
      </c>
      <c r="C46" s="94"/>
      <c r="D46" s="116"/>
      <c r="E46" s="116"/>
      <c r="F46" s="116"/>
      <c r="G46" s="169"/>
      <c r="H46" s="100"/>
    </row>
    <row r="47" spans="1:10" ht="15.75" x14ac:dyDescent="0.25">
      <c r="A47" s="92"/>
      <c r="B47" s="93"/>
      <c r="C47" s="94"/>
      <c r="D47" s="116"/>
      <c r="E47" s="116"/>
      <c r="F47" s="116"/>
      <c r="G47" s="169"/>
      <c r="H47" s="100"/>
    </row>
    <row r="48" spans="1:10" ht="15.75" x14ac:dyDescent="0.25">
      <c r="A48" s="197" t="s">
        <v>69</v>
      </c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8"/>
      <c r="B49" s="40"/>
      <c r="C49" s="41"/>
      <c r="D49" s="184"/>
      <c r="E49" s="185"/>
      <c r="F49" s="186"/>
      <c r="G49" s="169"/>
      <c r="H49" s="100"/>
    </row>
    <row r="50" spans="1:8" ht="15.75" x14ac:dyDescent="0.25">
      <c r="A50" s="197" t="s">
        <v>53</v>
      </c>
      <c r="B50" s="40" t="s">
        <v>54</v>
      </c>
      <c r="C50" s="199"/>
      <c r="D50" s="184"/>
      <c r="E50" s="185"/>
      <c r="F50" s="186"/>
      <c r="G50" s="169"/>
      <c r="H50" s="100"/>
    </row>
    <row r="51" spans="1:8" x14ac:dyDescent="0.25">
      <c r="A51" s="31"/>
      <c r="B51" s="28"/>
      <c r="C51" s="36"/>
      <c r="D51" s="16"/>
      <c r="E51" s="17"/>
      <c r="F51" s="18"/>
      <c r="G51" s="15"/>
    </row>
    <row r="52" spans="1:8" x14ac:dyDescent="0.25">
      <c r="A52" s="37"/>
      <c r="B52" s="38"/>
      <c r="C52" s="36"/>
      <c r="D52" s="19"/>
      <c r="E52" s="17"/>
      <c r="F52" s="18"/>
      <c r="G52" s="15"/>
    </row>
    <row r="53" spans="1:8" ht="19.5" customHeight="1" x14ac:dyDescent="0.25">
      <c r="A53" s="39" t="s">
        <v>27</v>
      </c>
      <c r="B53" s="40" t="s">
        <v>54</v>
      </c>
      <c r="C53" s="41"/>
      <c r="D53" s="19"/>
      <c r="E53" s="17"/>
      <c r="F53" s="18"/>
      <c r="G53" s="15"/>
    </row>
    <row r="54" spans="1:8" ht="15.75" x14ac:dyDescent="0.25">
      <c r="A54" s="6"/>
      <c r="B54" s="7"/>
      <c r="C54" s="10"/>
      <c r="D54" s="42" t="s">
        <v>28</v>
      </c>
      <c r="E54" s="10"/>
    </row>
    <row r="55" spans="1:8" x14ac:dyDescent="0.25">
      <c r="A55" s="6"/>
      <c r="B55" s="7"/>
      <c r="C55" s="10"/>
      <c r="D55" s="35"/>
      <c r="E55" s="8"/>
    </row>
    <row r="56" spans="1:8" x14ac:dyDescent="0.25">
      <c r="A56" s="13"/>
      <c r="B56" s="14"/>
      <c r="C56" s="10"/>
      <c r="D56" s="34"/>
      <c r="E56" s="10"/>
    </row>
    <row r="57" spans="1:8" x14ac:dyDescent="0.25">
      <c r="C57" s="10"/>
      <c r="D57" s="29"/>
      <c r="E57" s="10"/>
    </row>
    <row r="58" spans="1:8" x14ac:dyDescent="0.25">
      <c r="A58" s="6"/>
      <c r="B58" s="7"/>
      <c r="C58" s="8"/>
      <c r="E58" s="10"/>
    </row>
    <row r="59" spans="1:8" x14ac:dyDescent="0.25">
      <c r="A59" s="4"/>
      <c r="B59" s="5"/>
      <c r="C59" s="10"/>
      <c r="D59" s="11"/>
      <c r="E59" s="10"/>
    </row>
    <row r="60" spans="1:8" x14ac:dyDescent="0.25">
      <c r="A60" s="6"/>
      <c r="B60" s="7"/>
      <c r="C60" s="10"/>
      <c r="D60" s="11"/>
      <c r="E60" s="10"/>
      <c r="F60" s="12"/>
    </row>
    <row r="61" spans="1:8" x14ac:dyDescent="0.25">
      <c r="A61" s="6"/>
      <c r="B61" s="7"/>
      <c r="C61" s="7"/>
      <c r="D61" s="11"/>
      <c r="E61" s="10"/>
    </row>
    <row r="62" spans="1:8" x14ac:dyDescent="0.25">
      <c r="A62" s="6"/>
      <c r="B62" s="7"/>
      <c r="C62" s="7"/>
      <c r="D62" s="9"/>
      <c r="E62" s="10"/>
    </row>
    <row r="63" spans="1:8" x14ac:dyDescent="0.25">
      <c r="A63" s="6"/>
      <c r="B63" s="7"/>
      <c r="C63" s="7"/>
      <c r="D63" s="9"/>
      <c r="E63" s="10"/>
    </row>
    <row r="64" spans="1:8" x14ac:dyDescent="0.25">
      <c r="A64" s="6"/>
      <c r="B64" s="7"/>
      <c r="D64" s="8"/>
      <c r="E64" s="8"/>
      <c r="F64" s="3"/>
    </row>
    <row r="65" spans="2:6" x14ac:dyDescent="0.25">
      <c r="D65" s="8"/>
      <c r="E65" s="10"/>
    </row>
    <row r="66" spans="2:6" x14ac:dyDescent="0.25">
      <c r="D66" s="8"/>
      <c r="E66" s="8"/>
    </row>
    <row r="67" spans="2:6" x14ac:dyDescent="0.25">
      <c r="D67" s="10"/>
      <c r="E67" s="10"/>
    </row>
    <row r="68" spans="2:6" hidden="1" x14ac:dyDescent="0.25">
      <c r="D68" s="10"/>
      <c r="E68" s="10"/>
    </row>
    <row r="69" spans="2:6" hidden="1" x14ac:dyDescent="0.25">
      <c r="B69"/>
      <c r="C69"/>
      <c r="D69" s="10"/>
      <c r="E69" s="10"/>
    </row>
    <row r="70" spans="2:6" hidden="1" x14ac:dyDescent="0.25">
      <c r="B70"/>
      <c r="C70"/>
      <c r="D70" s="10"/>
      <c r="E70" s="10"/>
    </row>
    <row r="71" spans="2:6" x14ac:dyDescent="0.25">
      <c r="B71"/>
      <c r="C71"/>
      <c r="D71" s="10"/>
      <c r="E71" s="10"/>
    </row>
    <row r="72" spans="2:6" x14ac:dyDescent="0.25">
      <c r="B72"/>
      <c r="C72"/>
      <c r="D72" s="10"/>
      <c r="E72" s="10"/>
    </row>
    <row r="73" spans="2:6" x14ac:dyDescent="0.25">
      <c r="B73"/>
      <c r="C73"/>
      <c r="D73" s="8"/>
      <c r="E73" s="8"/>
      <c r="F73" s="3"/>
    </row>
    <row r="74" spans="2:6" x14ac:dyDescent="0.25">
      <c r="D74" s="10"/>
      <c r="E74" s="10"/>
      <c r="F74" s="3"/>
    </row>
    <row r="75" spans="2:6" x14ac:dyDescent="0.25">
      <c r="D75" s="10"/>
      <c r="E75" s="10"/>
    </row>
    <row r="76" spans="2:6" x14ac:dyDescent="0.25">
      <c r="B76"/>
      <c r="C76"/>
      <c r="D76" s="7"/>
      <c r="E76" s="7"/>
    </row>
    <row r="77" spans="2:6" x14ac:dyDescent="0.25">
      <c r="B77"/>
      <c r="C77"/>
      <c r="D77" s="7"/>
      <c r="E77" s="7"/>
    </row>
    <row r="78" spans="2:6" x14ac:dyDescent="0.25">
      <c r="B78"/>
      <c r="C78"/>
      <c r="D78" s="7"/>
      <c r="E78" s="7"/>
    </row>
    <row r="79" spans="2:6" x14ac:dyDescent="0.25">
      <c r="B79"/>
      <c r="C79"/>
    </row>
    <row r="80" spans="2:6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75" zoomScaleSheetLayoutView="75" workbookViewId="0">
      <selection activeCell="F37" sqref="F37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8.140625" style="3" customWidth="1"/>
    <col min="5" max="5" width="18.42578125" style="3" customWidth="1"/>
    <col min="6" max="6" width="16.28515625" customWidth="1"/>
    <col min="7" max="7" width="14.5703125" customWidth="1"/>
    <col min="8" max="8" width="14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8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32</v>
      </c>
      <c r="B6" s="108"/>
      <c r="C6" s="345">
        <v>175.6</v>
      </c>
      <c r="D6" s="346">
        <v>13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175.6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26.22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0"/>
      <c r="L17" s="59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487">
        <v>35136.843045355497</v>
      </c>
      <c r="C18" s="940">
        <v>55250.64</v>
      </c>
      <c r="D18" s="935"/>
      <c r="E18" s="941">
        <v>40379.101192043265</v>
      </c>
      <c r="F18" s="321">
        <v>50008.381853312239</v>
      </c>
      <c r="G18" s="141">
        <v>55250.64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-122.65</v>
      </c>
      <c r="C19" s="340"/>
      <c r="D19" s="340"/>
      <c r="E19" s="936"/>
      <c r="F19" s="143">
        <v>-122.65</v>
      </c>
      <c r="G19" s="323"/>
      <c r="H19" s="189">
        <v>0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8"/>
      <c r="D20" s="835"/>
      <c r="E20" s="838"/>
      <c r="F20" s="149">
        <v>0</v>
      </c>
      <c r="G20" s="794"/>
      <c r="H20" s="189">
        <v>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45212.051207562006</v>
      </c>
      <c r="C22" s="153">
        <v>107521.55999999998</v>
      </c>
      <c r="D22" s="153">
        <v>-3860.03</v>
      </c>
      <c r="E22" s="153">
        <v>72423.685499946267</v>
      </c>
      <c r="F22" s="153">
        <v>76449.895707615739</v>
      </c>
      <c r="G22" s="153">
        <v>77655.839999999997</v>
      </c>
      <c r="H22" s="191">
        <v>26005.690000000002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26276.451665375629</v>
      </c>
      <c r="C23" s="940">
        <v>56970.81</v>
      </c>
      <c r="D23" s="942"/>
      <c r="E23" s="941">
        <v>41273.64623633989</v>
      </c>
      <c r="F23" s="155">
        <v>41973.615429035737</v>
      </c>
      <c r="G23" s="943"/>
      <c r="H23" s="189">
        <v>56970.81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8033.4339663742303</v>
      </c>
      <c r="C24" s="938">
        <v>25468.46</v>
      </c>
      <c r="D24" s="158">
        <v>-2755.96</v>
      </c>
      <c r="E24" s="334">
        <v>15408.099943300316</v>
      </c>
      <c r="F24" s="158">
        <v>15337.834023073912</v>
      </c>
      <c r="G24" s="145">
        <v>47781.74</v>
      </c>
      <c r="H24" s="189">
        <v>-25069.239999999998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3954.9933352461921</v>
      </c>
      <c r="C25" s="940">
        <v>10551.9</v>
      </c>
      <c r="D25" s="944">
        <v>-353.88</v>
      </c>
      <c r="E25" s="941">
        <v>6772.9878951577994</v>
      </c>
      <c r="F25" s="158">
        <v>7380.0254400883932</v>
      </c>
      <c r="G25" s="945">
        <v>2917.04</v>
      </c>
      <c r="H25" s="189">
        <v>7280.9800000000005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6947.1722405659566</v>
      </c>
      <c r="C26" s="940">
        <v>14530.39</v>
      </c>
      <c r="D26" s="944">
        <v>-750.19</v>
      </c>
      <c r="E26" s="941">
        <v>8968.9514251482615</v>
      </c>
      <c r="F26" s="158">
        <v>11758.420815417696</v>
      </c>
      <c r="G26" s="946">
        <v>26957.06</v>
      </c>
      <c r="H26" s="189">
        <v>-13176.860000000002</v>
      </c>
      <c r="K26" s="52"/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15277.955747082493</v>
      </c>
      <c r="C27" s="940">
        <v>34872.639999999999</v>
      </c>
      <c r="D27" s="944">
        <v>-203.36</v>
      </c>
      <c r="E27" s="941">
        <v>20519.633308010471</v>
      </c>
      <c r="F27" s="158">
        <v>29427.602439072023</v>
      </c>
      <c r="G27" s="945">
        <v>37965.410000000003</v>
      </c>
      <c r="H27" s="189">
        <v>-3296.1300000000047</v>
      </c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-639.93000000000006</v>
      </c>
      <c r="C28" s="340"/>
      <c r="D28" s="340"/>
      <c r="E28" s="936"/>
      <c r="F28" s="158">
        <v>-639.93000000000006</v>
      </c>
      <c r="G28" s="337"/>
      <c r="H28" s="189">
        <v>0</v>
      </c>
      <c r="K28" s="8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94864.27</v>
      </c>
      <c r="C30" s="166">
        <v>197644.83999999997</v>
      </c>
      <c r="D30" s="166">
        <v>-4063.3900000000003</v>
      </c>
      <c r="E30" s="166">
        <v>133322.42000000001</v>
      </c>
      <c r="F30" s="166">
        <v>155123.29999999999</v>
      </c>
      <c r="G30" s="166">
        <v>170871.88999999998</v>
      </c>
      <c r="H30" s="193">
        <v>22709.559999999998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9.5" thickBot="1" x14ac:dyDescent="0.3">
      <c r="A35" s="845" t="s">
        <v>33</v>
      </c>
      <c r="B35" s="846" t="s">
        <v>25</v>
      </c>
      <c r="C35" s="847" t="s">
        <v>29</v>
      </c>
      <c r="D35" s="122"/>
      <c r="E35" s="122"/>
      <c r="F35" s="172"/>
      <c r="G35" s="100"/>
      <c r="H35" s="100"/>
    </row>
    <row r="36" spans="1:8" ht="15.75" x14ac:dyDescent="0.25">
      <c r="A36" s="848" t="s">
        <v>26</v>
      </c>
      <c r="B36" s="849" t="s">
        <v>24</v>
      </c>
      <c r="C36" s="850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341"/>
      <c r="C37" s="342"/>
      <c r="D37" s="122"/>
      <c r="E37" s="122"/>
      <c r="F37" s="172"/>
      <c r="G37" s="100"/>
      <c r="H37" s="100"/>
    </row>
    <row r="38" spans="1:8" ht="15.75" x14ac:dyDescent="0.25">
      <c r="A38" s="179"/>
      <c r="B38" s="341"/>
      <c r="C38" s="342"/>
      <c r="D38" s="172"/>
      <c r="E38" s="172"/>
      <c r="F38" s="100"/>
      <c r="G38" s="100"/>
      <c r="H38" s="100"/>
    </row>
    <row r="39" spans="1:8" ht="15.75" x14ac:dyDescent="0.25">
      <c r="A39" s="314"/>
      <c r="B39" s="341"/>
      <c r="C39" s="851"/>
      <c r="D39" s="182"/>
      <c r="E39" s="881"/>
      <c r="F39" s="524"/>
      <c r="G39" s="169"/>
      <c r="H39" s="100"/>
    </row>
    <row r="40" spans="1:8" ht="16.5" thickBot="1" x14ac:dyDescent="0.3">
      <c r="A40" s="113" t="s">
        <v>5</v>
      </c>
      <c r="B40" s="114">
        <f>B37</f>
        <v>0</v>
      </c>
      <c r="C40" s="852">
        <f>SUM(C37:C39)</f>
        <v>0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50" max="7" man="1"/>
  </rowBreaks>
  <colBreaks count="1" manualBreakCount="1">
    <brk id="8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workbookViewId="0">
      <selection activeCell="F47" sqref="F47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20.5703125" customWidth="1"/>
    <col min="7" max="7" width="18.140625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34</v>
      </c>
      <c r="B6" s="108"/>
      <c r="C6" s="345">
        <v>491.8</v>
      </c>
      <c r="D6" s="346">
        <v>51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491.8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19.059999999999999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1"/>
      <c r="L17" s="59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29212.46999999999</v>
      </c>
      <c r="C18" s="934">
        <v>112484.64</v>
      </c>
      <c r="D18" s="935"/>
      <c r="E18" s="855">
        <v>86915.179615901376</v>
      </c>
      <c r="F18" s="321">
        <v>54781.93038409861</v>
      </c>
      <c r="G18" s="141">
        <v>112484.64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-278.23</v>
      </c>
      <c r="C19" s="340"/>
      <c r="D19" s="340"/>
      <c r="E19" s="936"/>
      <c r="F19" s="143">
        <v>-278.23</v>
      </c>
      <c r="G19" s="323">
        <v>26584.720000000001</v>
      </c>
      <c r="H19" s="189">
        <v>-26584.720000000001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8"/>
      <c r="D20" s="835"/>
      <c r="E20" s="838"/>
      <c r="F20" s="149">
        <v>0</v>
      </c>
      <c r="G20" s="794">
        <v>19300</v>
      </c>
      <c r="H20" s="189">
        <v>-19300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67012.08</v>
      </c>
      <c r="C22" s="153">
        <v>398442.70999999996</v>
      </c>
      <c r="D22" s="153">
        <v>-13952.68</v>
      </c>
      <c r="E22" s="153">
        <v>303148.7753721131</v>
      </c>
      <c r="F22" s="153">
        <v>148353.33462788691</v>
      </c>
      <c r="G22" s="153">
        <v>294413</v>
      </c>
      <c r="H22" s="191">
        <v>90077.03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9190.7800000000025</v>
      </c>
      <c r="C23" s="934">
        <v>201507.94</v>
      </c>
      <c r="D23" s="926">
        <v>-116.26</v>
      </c>
      <c r="E23" s="855">
        <v>154305.38718746026</v>
      </c>
      <c r="F23" s="155">
        <v>56277.072812539729</v>
      </c>
      <c r="G23" s="937">
        <v>164635.71</v>
      </c>
      <c r="H23" s="189">
        <v>36755.97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36335.86</v>
      </c>
      <c r="C24" s="938">
        <v>111662.92</v>
      </c>
      <c r="D24" s="158">
        <v>-8445.33</v>
      </c>
      <c r="E24" s="334">
        <v>84399.898063326924</v>
      </c>
      <c r="F24" s="158">
        <v>55153.551936673088</v>
      </c>
      <c r="G24" s="145">
        <v>78847.78</v>
      </c>
      <c r="H24" s="189">
        <v>24369.809999999998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8159.8599999999951</v>
      </c>
      <c r="C25" s="356">
        <v>16810.47</v>
      </c>
      <c r="D25" s="356">
        <v>-1974.54</v>
      </c>
      <c r="E25" s="356">
        <v>13283.619509207849</v>
      </c>
      <c r="F25" s="158">
        <v>9712.1704907921448</v>
      </c>
      <c r="G25" s="931">
        <v>16812.46</v>
      </c>
      <c r="H25" s="189">
        <v>-1976.5299999999988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13325.580000000004</v>
      </c>
      <c r="C26" s="356">
        <v>68461.38</v>
      </c>
      <c r="D26" s="356">
        <v>-3416.55</v>
      </c>
      <c r="E26" s="356">
        <v>51159.870612118051</v>
      </c>
      <c r="F26" s="158">
        <v>27210.539387881952</v>
      </c>
      <c r="G26" s="931">
        <v>34117.050000000003</v>
      </c>
      <c r="H26" s="189">
        <v>30927.78</v>
      </c>
      <c r="K26" s="52"/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9375.0300000000025</v>
      </c>
      <c r="C27" s="356">
        <v>47594.45</v>
      </c>
      <c r="D27" s="356">
        <v>-1433.92</v>
      </c>
      <c r="E27" s="356">
        <v>37223.394972408118</v>
      </c>
      <c r="F27" s="158">
        <v>18312.16502759188</v>
      </c>
      <c r="G27" s="931">
        <v>42038.05</v>
      </c>
      <c r="H27" s="189">
        <v>4122.4799999999959</v>
      </c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-2815.0800000000027</v>
      </c>
      <c r="C28" s="356">
        <v>1059.48</v>
      </c>
      <c r="D28" s="340"/>
      <c r="E28" s="340">
        <v>161.17003957744978</v>
      </c>
      <c r="F28" s="158">
        <v>-1916.7700395774525</v>
      </c>
      <c r="G28" s="337">
        <v>128.93603166195982</v>
      </c>
      <c r="H28" s="189">
        <v>930.54396833804026</v>
      </c>
      <c r="K28" s="8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102506.26999999999</v>
      </c>
      <c r="C30" s="166">
        <v>559581.27999999991</v>
      </c>
      <c r="D30" s="166">
        <v>-15386.6</v>
      </c>
      <c r="E30" s="166">
        <v>427448.52000000008</v>
      </c>
      <c r="F30" s="166">
        <v>219252.42999999993</v>
      </c>
      <c r="G30" s="166">
        <v>494949.34603166196</v>
      </c>
      <c r="H30" s="193">
        <v>49245.333968338033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9.5" thickBot="1" x14ac:dyDescent="0.3">
      <c r="A35" s="845" t="s">
        <v>33</v>
      </c>
      <c r="B35" s="846" t="s">
        <v>25</v>
      </c>
      <c r="C35" s="847" t="s">
        <v>29</v>
      </c>
      <c r="D35" s="122"/>
      <c r="E35" s="122"/>
      <c r="F35" s="172"/>
      <c r="G35" s="100"/>
      <c r="H35" s="100"/>
    </row>
    <row r="36" spans="1:8" ht="15.75" x14ac:dyDescent="0.25">
      <c r="A36" s="848" t="s">
        <v>26</v>
      </c>
      <c r="B36" s="849" t="s">
        <v>24</v>
      </c>
      <c r="C36" s="850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55</v>
      </c>
      <c r="B37" s="341"/>
      <c r="C37" s="342">
        <f>1200*1.1</f>
        <v>1320</v>
      </c>
      <c r="D37" s="122"/>
      <c r="E37" s="122"/>
      <c r="F37" s="100"/>
      <c r="G37" s="100"/>
      <c r="H37" s="100"/>
    </row>
    <row r="38" spans="1:8" ht="15.75" x14ac:dyDescent="0.25">
      <c r="A38" s="179" t="s">
        <v>273</v>
      </c>
      <c r="B38" s="341"/>
      <c r="C38" s="342">
        <v>25264.720000000001</v>
      </c>
      <c r="D38" s="122"/>
      <c r="E38" s="172"/>
      <c r="F38" s="100"/>
      <c r="G38" s="100"/>
      <c r="H38" s="100"/>
    </row>
    <row r="39" spans="1:8" ht="15.75" hidden="1" x14ac:dyDescent="0.25">
      <c r="A39" s="314"/>
      <c r="B39" s="341"/>
      <c r="C39" s="180"/>
      <c r="D39" s="182"/>
      <c r="E39" s="881"/>
      <c r="F39" s="524"/>
      <c r="G39" s="169"/>
      <c r="H39" s="100"/>
    </row>
    <row r="40" spans="1:8" ht="16.5" thickBot="1" x14ac:dyDescent="0.3">
      <c r="A40" s="113" t="s">
        <v>5</v>
      </c>
      <c r="B40" s="114">
        <f>B37</f>
        <v>0</v>
      </c>
      <c r="C40" s="939">
        <f>SUM(C37:C38)</f>
        <v>26584.720000000001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-29350+E19-G19</f>
        <v>-55934.720000000001</v>
      </c>
      <c r="C42" s="122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A53" s="6"/>
      <c r="B53" s="7"/>
      <c r="C53" s="10"/>
      <c r="E53" s="10"/>
    </row>
    <row r="54" spans="1:6" x14ac:dyDescent="0.25"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7"/>
  <sheetViews>
    <sheetView view="pageBreakPreview" topLeftCell="A7" zoomScale="75" zoomScaleSheetLayoutView="75" workbookViewId="0">
      <selection activeCell="F35" sqref="F35"/>
    </sheetView>
  </sheetViews>
  <sheetFormatPr defaultRowHeight="15" x14ac:dyDescent="0.25"/>
  <cols>
    <col min="1" max="1" width="42.140625" customWidth="1"/>
    <col min="2" max="2" width="16.5703125" style="3" customWidth="1"/>
    <col min="3" max="3" width="19.5703125" style="3" customWidth="1"/>
    <col min="4" max="4" width="18.7109375" style="3" customWidth="1"/>
    <col min="5" max="5" width="18.42578125" style="3" customWidth="1"/>
    <col min="6" max="6" width="16.28515625" customWidth="1"/>
    <col min="7" max="7" width="15.85546875" customWidth="1"/>
    <col min="8" max="8" width="15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30</v>
      </c>
      <c r="B6" s="108"/>
      <c r="C6" s="383">
        <v>2393.1999999999998</v>
      </c>
      <c r="D6" s="474">
        <v>46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2393.1999999999998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14.5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 t="s">
        <v>109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0.21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2"/>
      <c r="L17" s="63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67107.164896084141</v>
      </c>
      <c r="C18" s="389">
        <v>424059.77</v>
      </c>
      <c r="D18" s="922">
        <v>-16306.77</v>
      </c>
      <c r="E18" s="922">
        <v>390448.58250479982</v>
      </c>
      <c r="F18" s="321">
        <v>84411.58239128429</v>
      </c>
      <c r="G18" s="141">
        <v>407753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36220.622332062791</v>
      </c>
      <c r="C19" s="389">
        <v>128302.27</v>
      </c>
      <c r="D19" s="311">
        <v>-17418.21</v>
      </c>
      <c r="E19" s="311">
        <v>138368.64713342462</v>
      </c>
      <c r="F19" s="143">
        <v>8736.0351986381866</v>
      </c>
      <c r="G19" s="323">
        <v>486662.00000000006</v>
      </c>
      <c r="H19" s="189">
        <v>-375777.94000000006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1096.2849938513943</v>
      </c>
      <c r="C20" s="389">
        <v>6141.76</v>
      </c>
      <c r="D20" s="146">
        <v>-74.38</v>
      </c>
      <c r="E20" s="311">
        <v>12299.839866036526</v>
      </c>
      <c r="F20" s="143">
        <v>-5136.1748721851309</v>
      </c>
      <c r="G20" s="794">
        <v>24100</v>
      </c>
      <c r="H20" s="189">
        <v>-18032.62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>
        <v>-10250.459999999999</v>
      </c>
      <c r="C21" s="328"/>
      <c r="D21" s="391"/>
      <c r="E21" s="329"/>
      <c r="F21" s="149">
        <v>-10250.459999999999</v>
      </c>
      <c r="G21" s="330">
        <v>0</v>
      </c>
      <c r="H21" s="189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34544.657778001696</v>
      </c>
      <c r="C22" s="153">
        <v>665220.80000000005</v>
      </c>
      <c r="D22" s="153">
        <v>-33850.39</v>
      </c>
      <c r="E22" s="153">
        <v>653218.19049573899</v>
      </c>
      <c r="F22" s="153">
        <v>12696.877282262765</v>
      </c>
      <c r="G22" s="153">
        <v>594571.37</v>
      </c>
      <c r="H22" s="191">
        <v>36799.039999999979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17726.612978109948</v>
      </c>
      <c r="C23" s="389">
        <v>469498.88</v>
      </c>
      <c r="D23" s="926"/>
      <c r="E23" s="922">
        <v>452617.24025951815</v>
      </c>
      <c r="F23" s="156">
        <v>34608.25271859183</v>
      </c>
      <c r="G23" s="394">
        <v>441862.38</v>
      </c>
      <c r="H23" s="189">
        <v>27636.5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18623.778165533327</v>
      </c>
      <c r="C24" s="921">
        <v>111399.9</v>
      </c>
      <c r="D24" s="158">
        <v>-19761.939999999999</v>
      </c>
      <c r="E24" s="334">
        <v>112745.31841043646</v>
      </c>
      <c r="F24" s="158">
        <v>-2483.5802449031471</v>
      </c>
      <c r="G24" s="145">
        <v>75054.100000000006</v>
      </c>
      <c r="H24" s="189">
        <v>16583.859999999986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-7331.1800685863464</v>
      </c>
      <c r="C25" s="311">
        <v>27004.639999999999</v>
      </c>
      <c r="D25" s="311">
        <v>-5456.8</v>
      </c>
      <c r="E25" s="311">
        <v>30859.544010571008</v>
      </c>
      <c r="F25" s="158">
        <v>-16642.884079157353</v>
      </c>
      <c r="G25" s="145">
        <v>30318.81</v>
      </c>
      <c r="H25" s="189">
        <v>-8770.9700000000012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5525.4467029447642</v>
      </c>
      <c r="C26" s="311">
        <v>57317.38</v>
      </c>
      <c r="D26" s="311">
        <v>-8631.65</v>
      </c>
      <c r="E26" s="311">
        <v>56996.087815213323</v>
      </c>
      <c r="F26" s="158">
        <v>-2784.9111122685645</v>
      </c>
      <c r="G26" s="145">
        <v>47336.08</v>
      </c>
      <c r="H26" s="189">
        <v>1349.6499999999942</v>
      </c>
      <c r="K26" s="52"/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56"/>
      <c r="E27" s="356"/>
      <c r="F27" s="158">
        <v>0</v>
      </c>
      <c r="G27" s="931"/>
      <c r="H27" s="189">
        <v>0</v>
      </c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56"/>
      <c r="D28" s="340"/>
      <c r="E28" s="340"/>
      <c r="F28" s="158">
        <v>0</v>
      </c>
      <c r="G28" s="337"/>
      <c r="H28" s="189">
        <v>0</v>
      </c>
      <c r="K28" s="8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128718.27000000005</v>
      </c>
      <c r="C30" s="166">
        <v>1223724.6000000001</v>
      </c>
      <c r="D30" s="166">
        <v>-67649.75</v>
      </c>
      <c r="E30" s="166">
        <v>1194335.26</v>
      </c>
      <c r="F30" s="166">
        <v>90457.860000000102</v>
      </c>
      <c r="G30" s="166">
        <v>1513086.37</v>
      </c>
      <c r="H30" s="193">
        <v>-357011.52000000008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55</v>
      </c>
      <c r="B37" s="341"/>
      <c r="C37" s="342">
        <f>29140*1.1</f>
        <v>32054.000000000004</v>
      </c>
      <c r="D37" s="182"/>
      <c r="E37" s="172"/>
      <c r="F37" s="172"/>
      <c r="G37" s="100"/>
      <c r="H37" s="100"/>
    </row>
    <row r="38" spans="1:8" ht="15.75" x14ac:dyDescent="0.25">
      <c r="A38" s="179" t="s">
        <v>86</v>
      </c>
      <c r="B38" s="341"/>
      <c r="C38" s="342">
        <f>3000*1.1</f>
        <v>3300.0000000000005</v>
      </c>
      <c r="D38" s="182"/>
      <c r="E38" s="172"/>
      <c r="F38" s="100"/>
      <c r="G38" s="100"/>
      <c r="H38" s="100"/>
    </row>
    <row r="39" spans="1:8" ht="15.75" x14ac:dyDescent="0.25">
      <c r="A39" s="179" t="s">
        <v>103</v>
      </c>
      <c r="B39" s="341"/>
      <c r="C39" s="342">
        <f>400000*1.1</f>
        <v>440000.00000000006</v>
      </c>
      <c r="D39" s="182"/>
      <c r="E39" s="172"/>
      <c r="F39" s="524"/>
      <c r="G39" s="169"/>
      <c r="H39" s="100"/>
    </row>
    <row r="40" spans="1:8" ht="15.75" x14ac:dyDescent="0.25">
      <c r="A40" s="179" t="s">
        <v>55</v>
      </c>
      <c r="B40" s="341"/>
      <c r="C40" s="342">
        <f>10280*1.1</f>
        <v>11308.000000000002</v>
      </c>
      <c r="D40" s="182"/>
      <c r="E40" s="172"/>
      <c r="F40" s="524"/>
      <c r="G40" s="169"/>
      <c r="H40" s="100"/>
    </row>
    <row r="41" spans="1:8" ht="16.5" thickBot="1" x14ac:dyDescent="0.3">
      <c r="A41" s="113" t="s">
        <v>5</v>
      </c>
      <c r="B41" s="114">
        <f>B37</f>
        <v>0</v>
      </c>
      <c r="C41" s="343">
        <f>SUM(C37:C40)</f>
        <v>486662.00000000006</v>
      </c>
      <c r="D41" s="932">
        <v>442420</v>
      </c>
      <c r="E41" s="933">
        <f>C41-D41</f>
        <v>44242.000000000058</v>
      </c>
      <c r="F41" s="11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hidden="1" x14ac:dyDescent="0.25">
      <c r="A43" s="92" t="s">
        <v>118</v>
      </c>
      <c r="B43" s="93">
        <f>162857.27+H19</f>
        <v>-212920.67000000007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31.5" x14ac:dyDescent="0.25">
      <c r="A45" s="344" t="s">
        <v>289</v>
      </c>
      <c r="B45" s="93">
        <f>144012.8+62703.28+162857.27+E19-G19</f>
        <v>21279.997133424564</v>
      </c>
      <c r="C45" s="94" t="s">
        <v>24</v>
      </c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15.75" x14ac:dyDescent="0.25">
      <c r="A47" s="197" t="s">
        <v>69</v>
      </c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198"/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7" t="s">
        <v>53</v>
      </c>
      <c r="B49" s="40" t="s">
        <v>54</v>
      </c>
      <c r="C49" s="199"/>
      <c r="D49" s="184"/>
      <c r="E49" s="185"/>
      <c r="F49" s="186"/>
      <c r="G49" s="169"/>
      <c r="H49" s="100"/>
    </row>
    <row r="50" spans="1:8" x14ac:dyDescent="0.25">
      <c r="A50" s="31"/>
      <c r="B50" s="28"/>
      <c r="C50" s="36"/>
      <c r="D50" s="19"/>
      <c r="E50" s="17"/>
      <c r="F50" s="18"/>
      <c r="G50" s="15"/>
    </row>
    <row r="51" spans="1:8" x14ac:dyDescent="0.25">
      <c r="A51" s="37"/>
      <c r="B51" s="38"/>
      <c r="C51" s="36"/>
      <c r="D51" s="19"/>
      <c r="E51" s="17"/>
      <c r="F51" s="18"/>
      <c r="G51" s="15"/>
    </row>
    <row r="52" spans="1:8" ht="15.75" x14ac:dyDescent="0.25">
      <c r="A52" s="39" t="s">
        <v>27</v>
      </c>
      <c r="B52" s="40" t="s">
        <v>54</v>
      </c>
      <c r="C52" s="41"/>
      <c r="D52" s="42" t="s">
        <v>28</v>
      </c>
      <c r="E52" s="10"/>
    </row>
    <row r="53" spans="1:8" x14ac:dyDescent="0.25">
      <c r="A53" s="6"/>
      <c r="B53" s="7"/>
      <c r="C53" s="10"/>
      <c r="D53" s="35"/>
      <c r="E53" s="8"/>
    </row>
    <row r="54" spans="1:8" x14ac:dyDescent="0.25">
      <c r="A54" s="6"/>
      <c r="B54" s="7"/>
      <c r="C54" s="10"/>
      <c r="D54" s="34"/>
      <c r="E54" s="8"/>
    </row>
    <row r="55" spans="1:8" x14ac:dyDescent="0.25">
      <c r="A55" s="13"/>
      <c r="B55" s="14"/>
      <c r="C55" s="10"/>
      <c r="D55" s="29"/>
      <c r="E55" s="10"/>
    </row>
    <row r="56" spans="1:8" x14ac:dyDescent="0.25">
      <c r="C56" s="10"/>
      <c r="E56" s="10"/>
    </row>
    <row r="57" spans="1:8" x14ac:dyDescent="0.25">
      <c r="A57" s="6"/>
      <c r="B57" s="7"/>
      <c r="C57" s="8"/>
      <c r="D57" s="11"/>
      <c r="E57" s="10"/>
    </row>
    <row r="58" spans="1:8" x14ac:dyDescent="0.25">
      <c r="A58" s="4"/>
      <c r="B58" s="5"/>
      <c r="C58" s="10"/>
      <c r="D58" s="11"/>
      <c r="E58" s="10"/>
      <c r="F58" s="12"/>
    </row>
    <row r="59" spans="1:8" x14ac:dyDescent="0.25">
      <c r="A59" s="6"/>
      <c r="B59" s="7"/>
      <c r="C59" s="10"/>
      <c r="D59" s="11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8"/>
      <c r="E62" s="8"/>
      <c r="F62" s="3"/>
    </row>
    <row r="63" spans="1:8" x14ac:dyDescent="0.25">
      <c r="A63" s="6"/>
      <c r="B63" s="7"/>
      <c r="D63" s="8"/>
      <c r="E63" s="10"/>
    </row>
    <row r="64" spans="1:8" x14ac:dyDescent="0.25">
      <c r="D64" s="8"/>
      <c r="E64" s="8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8"/>
      <c r="E71" s="8"/>
      <c r="F71" s="3"/>
    </row>
    <row r="72" spans="2:6" x14ac:dyDescent="0.25">
      <c r="B72"/>
      <c r="C72"/>
      <c r="D72" s="10"/>
      <c r="E72" s="10"/>
      <c r="F72" s="3"/>
    </row>
    <row r="73" spans="2:6" x14ac:dyDescent="0.25">
      <c r="D73" s="10"/>
      <c r="E73" s="10"/>
    </row>
    <row r="74" spans="2:6" x14ac:dyDescent="0.25"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</row>
    <row r="78" spans="2:6" x14ac:dyDescent="0.25">
      <c r="B78"/>
      <c r="C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rowBreaks count="1" manualBreakCount="1">
    <brk id="5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6"/>
  <sheetViews>
    <sheetView view="pageBreakPreview" zoomScale="60" workbookViewId="0">
      <selection activeCell="A44" sqref="A44"/>
    </sheetView>
  </sheetViews>
  <sheetFormatPr defaultRowHeight="15" x14ac:dyDescent="0.25"/>
  <cols>
    <col min="1" max="1" width="44.425781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7" width="16.285156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35</v>
      </c>
      <c r="B6" s="108"/>
      <c r="C6" s="345">
        <v>668.8</v>
      </c>
      <c r="D6" s="346">
        <v>33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668.8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4">
        <v>17.059999999999999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6.01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4"/>
      <c r="L17" s="63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79513.62</v>
      </c>
      <c r="C18" s="389">
        <v>136916.64000000001</v>
      </c>
      <c r="D18" s="922"/>
      <c r="E18" s="923">
        <v>121701.4805616464</v>
      </c>
      <c r="F18" s="321">
        <v>94728.779438353609</v>
      </c>
      <c r="G18" s="141">
        <v>136916.64000000001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12018.270000000002</v>
      </c>
      <c r="C19" s="924">
        <v>14637.84</v>
      </c>
      <c r="D19" s="311"/>
      <c r="E19" s="923">
        <v>14011.344595862784</v>
      </c>
      <c r="F19" s="143">
        <v>12644.765404137217</v>
      </c>
      <c r="G19" s="323">
        <v>31984.080000000002</v>
      </c>
      <c r="H19" s="189">
        <v>-17346.240000000002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9"/>
      <c r="D20" s="146"/>
      <c r="E20" s="390"/>
      <c r="F20" s="149">
        <v>0</v>
      </c>
      <c r="G20" s="145"/>
      <c r="H20" s="189">
        <v>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5.75" x14ac:dyDescent="0.25">
      <c r="A21" s="142" t="s">
        <v>61</v>
      </c>
      <c r="B21" s="867">
        <v>793.29999999999973</v>
      </c>
      <c r="C21" s="925">
        <v>1920</v>
      </c>
      <c r="D21" s="146"/>
      <c r="E21" s="923">
        <v>1918.2370367251278</v>
      </c>
      <c r="F21" s="149"/>
      <c r="G21" s="145">
        <v>1920</v>
      </c>
      <c r="H21" s="189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6.5" thickBot="1" x14ac:dyDescent="0.3">
      <c r="A22" s="113" t="s">
        <v>14</v>
      </c>
      <c r="B22" s="327"/>
      <c r="C22" s="328"/>
      <c r="D22" s="391"/>
      <c r="E22" s="329"/>
      <c r="F22" s="149">
        <v>0</v>
      </c>
      <c r="G22" s="330"/>
      <c r="H22" s="189">
        <v>0</v>
      </c>
      <c r="L22" s="20"/>
      <c r="M22" s="20"/>
      <c r="N22" s="20"/>
      <c r="O22" s="20"/>
      <c r="P22" s="6"/>
      <c r="Q22" s="6"/>
      <c r="R22" s="6"/>
      <c r="S22" s="6"/>
      <c r="T22" s="6"/>
      <c r="U22" s="6"/>
      <c r="V22" s="6"/>
    </row>
    <row r="23" spans="1:22" ht="16.5" thickBot="1" x14ac:dyDescent="0.3">
      <c r="A23" s="151" t="s">
        <v>16</v>
      </c>
      <c r="B23" s="152">
        <v>171614.19</v>
      </c>
      <c r="C23" s="153">
        <v>426652.92999999993</v>
      </c>
      <c r="D23" s="153">
        <v>-5417.52</v>
      </c>
      <c r="E23" s="153">
        <v>365554.64762244449</v>
      </c>
      <c r="F23" s="153">
        <v>227294.95237755557</v>
      </c>
      <c r="G23" s="153">
        <v>339635.09</v>
      </c>
      <c r="H23" s="191">
        <v>81600.320000000007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4" t="s">
        <v>17</v>
      </c>
      <c r="B24" s="155">
        <v>81105.900000000009</v>
      </c>
      <c r="C24" s="389">
        <v>217618.34</v>
      </c>
      <c r="D24" s="926">
        <v>-41.47</v>
      </c>
      <c r="E24" s="927">
        <v>191354.66322241735</v>
      </c>
      <c r="F24" s="156">
        <v>107328.10677758267</v>
      </c>
      <c r="G24" s="394">
        <v>176400.87</v>
      </c>
      <c r="H24" s="189">
        <v>41176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18</v>
      </c>
      <c r="B25" s="158">
        <v>45248.57</v>
      </c>
      <c r="C25" s="921">
        <v>129734.64</v>
      </c>
      <c r="D25" s="158">
        <v>-3765.02</v>
      </c>
      <c r="E25" s="334">
        <v>108610.04758364646</v>
      </c>
      <c r="F25" s="158">
        <v>62608.142416353541</v>
      </c>
      <c r="G25" s="145">
        <v>107853.53</v>
      </c>
      <c r="H25" s="189">
        <v>18116.089999999997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57" t="s">
        <v>19</v>
      </c>
      <c r="B26" s="158">
        <v>16457.86</v>
      </c>
      <c r="C26" s="311">
        <v>29583.66</v>
      </c>
      <c r="D26" s="311">
        <v>-654.1</v>
      </c>
      <c r="E26" s="928">
        <v>24439.350357022755</v>
      </c>
      <c r="F26" s="158">
        <v>20948.069642977251</v>
      </c>
      <c r="G26" s="145">
        <v>27324.57</v>
      </c>
      <c r="H26" s="189">
        <v>1604.9900000000016</v>
      </c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57" t="s">
        <v>20</v>
      </c>
      <c r="B27" s="158">
        <v>28801.86</v>
      </c>
      <c r="C27" s="928">
        <v>49716.29</v>
      </c>
      <c r="D27" s="929">
        <v>-956.93</v>
      </c>
      <c r="E27" s="928">
        <v>41150.586459357866</v>
      </c>
      <c r="F27" s="158">
        <v>36410.633540642135</v>
      </c>
      <c r="G27" s="145">
        <v>28056.12</v>
      </c>
      <c r="H27" s="189">
        <v>20703.240000000002</v>
      </c>
      <c r="K27" s="52"/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x14ac:dyDescent="0.25">
      <c r="A28" s="142" t="s">
        <v>31</v>
      </c>
      <c r="B28" s="337">
        <v>23085.33</v>
      </c>
      <c r="C28" s="924">
        <v>39082.559999999998</v>
      </c>
      <c r="D28" s="356">
        <v>-2506.1799999999998</v>
      </c>
      <c r="E28" s="923">
        <v>32630.048431058334</v>
      </c>
      <c r="F28" s="158">
        <v>27031.661568941665</v>
      </c>
      <c r="G28" s="145">
        <v>43425</v>
      </c>
      <c r="H28" s="189">
        <v>-6848.6200000000026</v>
      </c>
      <c r="M28" s="20"/>
      <c r="N28" s="6"/>
      <c r="O28" s="6"/>
      <c r="P28" s="6"/>
      <c r="Q28" s="6"/>
      <c r="R28" s="6"/>
      <c r="S28" s="6"/>
      <c r="T28" s="6"/>
      <c r="U28" s="6"/>
      <c r="V28" s="6"/>
    </row>
    <row r="29" spans="1:22" ht="15.75" x14ac:dyDescent="0.25">
      <c r="A29" s="142" t="s">
        <v>21</v>
      </c>
      <c r="B29" s="143">
        <v>-1643.4300000000021</v>
      </c>
      <c r="C29" s="356">
        <v>889.44</v>
      </c>
      <c r="D29" s="340"/>
      <c r="E29" s="930">
        <v>330.0417522629154</v>
      </c>
      <c r="F29" s="158">
        <v>-1084.0317522629175</v>
      </c>
      <c r="G29" s="337">
        <v>264.03340181033229</v>
      </c>
      <c r="H29" s="189">
        <v>625.40659818966776</v>
      </c>
      <c r="K29" s="8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6.5" hidden="1" thickBot="1" x14ac:dyDescent="0.3">
      <c r="A30" s="113" t="s">
        <v>22</v>
      </c>
      <c r="B30" s="161">
        <v>0</v>
      </c>
      <c r="C30" s="161"/>
      <c r="D30" s="161"/>
      <c r="E30" s="161"/>
      <c r="F30" s="162">
        <v>0</v>
      </c>
      <c r="G30" s="163"/>
      <c r="H30" s="164"/>
      <c r="K30" s="3"/>
      <c r="L30" s="3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6.5" thickBot="1" x14ac:dyDescent="0.3">
      <c r="A31" s="165" t="s">
        <v>23</v>
      </c>
      <c r="B31" s="166">
        <v>285381.28000000003</v>
      </c>
      <c r="C31" s="166">
        <v>620099.40999999992</v>
      </c>
      <c r="D31" s="166">
        <v>-7923.7000000000007</v>
      </c>
      <c r="E31" s="166">
        <v>536145.80000000016</v>
      </c>
      <c r="F31" s="166">
        <v>360616.12703672517</v>
      </c>
      <c r="G31" s="166">
        <v>552224.84340181039</v>
      </c>
      <c r="H31" s="193">
        <v>58030.86659818967</v>
      </c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22"/>
      <c r="E32" s="122"/>
      <c r="F32" s="99"/>
      <c r="G32" s="169"/>
      <c r="H32" s="169"/>
      <c r="I32" s="15"/>
      <c r="J32" s="15"/>
      <c r="K32" s="3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10" ht="15.75" x14ac:dyDescent="0.25">
      <c r="A33" s="167"/>
      <c r="B33" s="168"/>
      <c r="C33" s="122"/>
      <c r="D33" s="170"/>
      <c r="E33" s="122"/>
      <c r="F33" s="128"/>
      <c r="G33" s="171"/>
      <c r="H33" s="171"/>
      <c r="I33" s="27"/>
      <c r="J33" s="15"/>
    </row>
    <row r="34" spans="1:10" ht="15.75" x14ac:dyDescent="0.25">
      <c r="A34" s="167"/>
      <c r="B34" s="98"/>
      <c r="C34" s="122"/>
      <c r="D34" s="122"/>
      <c r="E34" s="122"/>
      <c r="F34" s="172"/>
      <c r="G34" s="100"/>
      <c r="H34" s="100"/>
    </row>
    <row r="35" spans="1:10" ht="16.5" thickBot="1" x14ac:dyDescent="0.3">
      <c r="A35" s="167" t="s">
        <v>79</v>
      </c>
      <c r="B35" s="172"/>
      <c r="C35" s="172"/>
      <c r="D35" s="122"/>
      <c r="E35" s="122"/>
      <c r="F35" s="172"/>
      <c r="G35" s="100"/>
      <c r="H35" s="100"/>
    </row>
    <row r="36" spans="1:10" ht="78.75" x14ac:dyDescent="0.25">
      <c r="A36" s="173" t="s">
        <v>33</v>
      </c>
      <c r="B36" s="174" t="s">
        <v>25</v>
      </c>
      <c r="C36" s="175" t="s">
        <v>29</v>
      </c>
      <c r="D36" s="122"/>
      <c r="E36" s="122"/>
      <c r="F36" s="172"/>
      <c r="G36" s="100"/>
      <c r="H36" s="100"/>
    </row>
    <row r="37" spans="1:10" ht="15.75" x14ac:dyDescent="0.25">
      <c r="A37" s="176" t="s">
        <v>26</v>
      </c>
      <c r="B37" s="177" t="s">
        <v>24</v>
      </c>
      <c r="C37" s="178" t="s">
        <v>24</v>
      </c>
      <c r="D37" s="122"/>
      <c r="E37" s="122"/>
      <c r="F37" s="172"/>
      <c r="G37" s="100"/>
      <c r="H37" s="100"/>
    </row>
    <row r="38" spans="1:10" ht="15.75" x14ac:dyDescent="0.25">
      <c r="A38" s="472" t="s">
        <v>82</v>
      </c>
      <c r="B38" s="860"/>
      <c r="C38" s="884">
        <v>31984.080000000002</v>
      </c>
      <c r="D38" s="122"/>
      <c r="E38" s="122"/>
      <c r="F38" s="172"/>
      <c r="G38" s="100"/>
      <c r="H38" s="100"/>
    </row>
    <row r="39" spans="1:10" ht="15.75" x14ac:dyDescent="0.25">
      <c r="A39" s="179"/>
      <c r="B39" s="341"/>
      <c r="C39" s="342"/>
      <c r="D39" s="172"/>
      <c r="E39" s="172"/>
      <c r="F39" s="100"/>
      <c r="G39" s="100"/>
      <c r="H39" s="100"/>
    </row>
    <row r="40" spans="1:10" ht="16.5" thickBot="1" x14ac:dyDescent="0.3">
      <c r="A40" s="113" t="s">
        <v>5</v>
      </c>
      <c r="B40" s="114">
        <f>B38</f>
        <v>0</v>
      </c>
      <c r="C40" s="343">
        <f>SUM(C38:C39)</f>
        <v>31984.080000000002</v>
      </c>
      <c r="D40" s="116"/>
      <c r="E40" s="116"/>
      <c r="F40" s="116"/>
      <c r="G40" s="169"/>
      <c r="H40" s="100"/>
    </row>
    <row r="41" spans="1:10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10" ht="15.75" hidden="1" x14ac:dyDescent="0.25">
      <c r="A42" s="92" t="s">
        <v>118</v>
      </c>
      <c r="B42" s="93">
        <f>-1767.76+H19</f>
        <v>-19114</v>
      </c>
      <c r="C42" s="94" t="s">
        <v>24</v>
      </c>
      <c r="D42" s="184"/>
      <c r="E42" s="185"/>
      <c r="F42" s="186"/>
      <c r="G42" s="169"/>
      <c r="H42" s="100"/>
    </row>
    <row r="43" spans="1:10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10" ht="15.75" x14ac:dyDescent="0.25">
      <c r="A44" s="92" t="s">
        <v>289</v>
      </c>
      <c r="B44" s="93">
        <f>-2446.72-1765.16-1767.76+E19-G19</f>
        <v>-23952.375404137219</v>
      </c>
      <c r="C44" s="94"/>
      <c r="D44" s="184"/>
      <c r="E44" s="185"/>
      <c r="F44" s="186"/>
      <c r="G44" s="169"/>
      <c r="H44" s="100"/>
    </row>
    <row r="45" spans="1:10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10" ht="15.75" x14ac:dyDescent="0.25">
      <c r="A46" s="197" t="s">
        <v>69</v>
      </c>
      <c r="B46" s="40"/>
      <c r="C46" s="41"/>
      <c r="D46" s="184"/>
      <c r="E46" s="185"/>
      <c r="F46" s="186"/>
      <c r="G46" s="169"/>
      <c r="H46" s="100"/>
    </row>
    <row r="47" spans="1:10" ht="15.75" x14ac:dyDescent="0.25">
      <c r="A47" s="198"/>
      <c r="B47" s="40"/>
      <c r="C47" s="41"/>
      <c r="D47" s="184"/>
      <c r="E47" s="185"/>
      <c r="F47" s="186"/>
      <c r="G47" s="169"/>
      <c r="H47" s="100"/>
    </row>
    <row r="48" spans="1:10" ht="15.75" x14ac:dyDescent="0.25">
      <c r="A48" s="197" t="s">
        <v>53</v>
      </c>
      <c r="B48" s="40" t="s">
        <v>54</v>
      </c>
      <c r="C48" s="199"/>
      <c r="D48" s="184"/>
      <c r="E48" s="185"/>
      <c r="F48" s="186"/>
      <c r="G48" s="169"/>
      <c r="H48" s="100"/>
    </row>
    <row r="49" spans="1:8" ht="15.75" x14ac:dyDescent="0.25">
      <c r="A49" s="197"/>
      <c r="B49" s="40"/>
      <c r="C49" s="199"/>
      <c r="D49" s="200"/>
      <c r="E49" s="185"/>
      <c r="F49" s="186"/>
      <c r="G49" s="169"/>
      <c r="H49" s="100"/>
    </row>
    <row r="50" spans="1:8" x14ac:dyDescent="0.25">
      <c r="A50" s="37"/>
      <c r="B50" s="38"/>
      <c r="C50" s="36"/>
      <c r="D50" s="19"/>
      <c r="E50" s="17"/>
      <c r="F50" s="18"/>
      <c r="G50" s="15"/>
    </row>
    <row r="51" spans="1:8" ht="15.75" x14ac:dyDescent="0.25">
      <c r="A51" s="39" t="s">
        <v>27</v>
      </c>
      <c r="B51" s="40" t="s">
        <v>54</v>
      </c>
      <c r="C51" s="41"/>
      <c r="D51" s="42" t="s">
        <v>28</v>
      </c>
      <c r="E51" s="10"/>
    </row>
    <row r="52" spans="1:8" x14ac:dyDescent="0.25">
      <c r="A52" s="6"/>
      <c r="B52" s="7"/>
      <c r="C52" s="10"/>
      <c r="D52" s="35"/>
      <c r="E52" s="8"/>
    </row>
    <row r="53" spans="1:8" x14ac:dyDescent="0.25">
      <c r="A53" s="6"/>
      <c r="B53" s="7"/>
      <c r="C53" s="10"/>
      <c r="D53" s="34"/>
      <c r="E53" s="8"/>
    </row>
    <row r="54" spans="1:8" x14ac:dyDescent="0.25">
      <c r="A54" s="13"/>
      <c r="B54" s="14"/>
      <c r="C54" s="10"/>
      <c r="D54" s="29"/>
      <c r="E54" s="10"/>
    </row>
    <row r="55" spans="1:8" x14ac:dyDescent="0.25">
      <c r="C55" s="10"/>
      <c r="E55" s="10"/>
    </row>
    <row r="56" spans="1:8" x14ac:dyDescent="0.25">
      <c r="A56" s="6"/>
      <c r="B56" s="7"/>
      <c r="C56" s="8"/>
      <c r="D56" s="11"/>
      <c r="E56" s="10"/>
    </row>
    <row r="57" spans="1:8" x14ac:dyDescent="0.25">
      <c r="A57" s="4"/>
      <c r="B57" s="5"/>
      <c r="C57" s="10"/>
      <c r="D57" s="11"/>
      <c r="E57" s="10"/>
      <c r="F57" s="12"/>
    </row>
    <row r="58" spans="1:8" x14ac:dyDescent="0.25">
      <c r="A58" s="6"/>
      <c r="B58" s="7"/>
      <c r="C58" s="10"/>
      <c r="D58" s="11"/>
      <c r="E58" s="10"/>
    </row>
    <row r="59" spans="1:8" x14ac:dyDescent="0.25">
      <c r="A59" s="6"/>
      <c r="B59" s="7"/>
      <c r="C59" s="7"/>
      <c r="D59" s="9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8"/>
      <c r="E61" s="8"/>
      <c r="F61" s="3"/>
    </row>
    <row r="62" spans="1:8" x14ac:dyDescent="0.25">
      <c r="A62" s="6"/>
      <c r="B62" s="7"/>
      <c r="D62" s="8"/>
      <c r="E62" s="10"/>
    </row>
    <row r="63" spans="1:8" x14ac:dyDescent="0.25">
      <c r="D63" s="8"/>
      <c r="E63" s="8"/>
    </row>
    <row r="64" spans="1:8" x14ac:dyDescent="0.25">
      <c r="D64" s="10"/>
      <c r="E64" s="10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8"/>
      <c r="E70" s="8"/>
      <c r="F70" s="3"/>
    </row>
    <row r="71" spans="2:6" x14ac:dyDescent="0.25">
      <c r="B71"/>
      <c r="C71"/>
      <c r="D71" s="10"/>
      <c r="E71" s="10"/>
      <c r="F71" s="3"/>
    </row>
    <row r="72" spans="2:6" x14ac:dyDescent="0.25">
      <c r="D72" s="10"/>
      <c r="E72" s="10"/>
    </row>
    <row r="73" spans="2:6" x14ac:dyDescent="0.25"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</row>
    <row r="77" spans="2:6" x14ac:dyDescent="0.25">
      <c r="B77"/>
      <c r="C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1" manualBreakCount="1">
    <brk id="52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75" zoomScaleSheetLayoutView="75" workbookViewId="0">
      <selection activeCell="F35" sqref="F35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8.5703125" style="3" customWidth="1"/>
    <col min="5" max="5" width="18.42578125" style="3" customWidth="1"/>
    <col min="6" max="6" width="16.28515625" customWidth="1"/>
    <col min="7" max="7" width="16.85546875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8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36</v>
      </c>
      <c r="B6" s="108"/>
      <c r="C6" s="345">
        <v>3083.85</v>
      </c>
      <c r="D6" s="346">
        <v>289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3083.85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18.93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34.43</v>
      </c>
      <c r="E12" s="99" t="s">
        <v>110</v>
      </c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7"/>
      <c r="L17" s="66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327546.38370391878</v>
      </c>
      <c r="C18" s="920">
        <v>667035.82240956661</v>
      </c>
      <c r="D18" s="387">
        <v>613</v>
      </c>
      <c r="E18" s="396">
        <v>545881.26178031717</v>
      </c>
      <c r="F18" s="321">
        <v>449313.94433316821</v>
      </c>
      <c r="G18" s="141">
        <v>667648.82240956661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-531.77799514382491</v>
      </c>
      <c r="C19" s="920">
        <v>102198.63695125899</v>
      </c>
      <c r="D19" s="311"/>
      <c r="E19" s="396">
        <v>94950.648998640536</v>
      </c>
      <c r="F19" s="143">
        <v>6716.2099574746244</v>
      </c>
      <c r="G19" s="323">
        <v>24327.93</v>
      </c>
      <c r="H19" s="189">
        <v>77870.706951258995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9"/>
      <c r="D20" s="146"/>
      <c r="E20" s="390"/>
      <c r="F20" s="149">
        <v>0</v>
      </c>
      <c r="G20" s="326">
        <v>10000</v>
      </c>
      <c r="H20" s="189">
        <v>-10000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1185869.0525412827</v>
      </c>
      <c r="C22" s="153">
        <v>2494290.4642981505</v>
      </c>
      <c r="D22" s="153">
        <v>-115923.71</v>
      </c>
      <c r="E22" s="153">
        <v>1977483.4032363591</v>
      </c>
      <c r="F22" s="153">
        <v>1586752.4036030741</v>
      </c>
      <c r="G22" s="153">
        <v>2270836.7199999997</v>
      </c>
      <c r="H22" s="191">
        <v>107530.0342981506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526136.67375397368</v>
      </c>
      <c r="C23" s="920">
        <v>1115869.3628784548</v>
      </c>
      <c r="D23" s="392">
        <v>1345.98</v>
      </c>
      <c r="E23" s="392">
        <v>907020.41885705607</v>
      </c>
      <c r="F23" s="156">
        <v>736331.59777537233</v>
      </c>
      <c r="G23" s="394">
        <v>1101138.3899999999</v>
      </c>
      <c r="H23" s="189">
        <v>16076.952878454933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357507.59915362287</v>
      </c>
      <c r="C24" s="921">
        <v>763024.38548964961</v>
      </c>
      <c r="D24" s="158">
        <v>-73535.22</v>
      </c>
      <c r="E24" s="334">
        <v>592064.67448090494</v>
      </c>
      <c r="F24" s="158">
        <v>454932.09016236768</v>
      </c>
      <c r="G24" s="145">
        <v>593747.6</v>
      </c>
      <c r="H24" s="189">
        <v>95741.565489649656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125196.18499223562</v>
      </c>
      <c r="C25" s="339">
        <v>210490.26570124566</v>
      </c>
      <c r="D25" s="339">
        <v>-19524.330000000002</v>
      </c>
      <c r="E25" s="339">
        <v>166616.20825871374</v>
      </c>
      <c r="F25" s="158">
        <v>149545.9124347675</v>
      </c>
      <c r="G25" s="145">
        <v>229285.98</v>
      </c>
      <c r="H25" s="189">
        <v>-38320.044298754336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177028.59464145059</v>
      </c>
      <c r="C26" s="339">
        <v>404906.45022880036</v>
      </c>
      <c r="D26" s="339">
        <v>-24210.14</v>
      </c>
      <c r="E26" s="339">
        <v>311782.10163968429</v>
      </c>
      <c r="F26" s="158">
        <v>245942.80323056667</v>
      </c>
      <c r="G26" s="145">
        <v>346664.75</v>
      </c>
      <c r="H26" s="189">
        <v>34031.560228800343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156288.99521808457</v>
      </c>
      <c r="C27" s="339">
        <v>435958.55738904851</v>
      </c>
      <c r="D27" s="339">
        <v>-26793.24</v>
      </c>
      <c r="E27" s="339">
        <v>451464.56747698982</v>
      </c>
      <c r="F27" s="158">
        <v>113989.74513014324</v>
      </c>
      <c r="G27" s="145">
        <v>424273.97</v>
      </c>
      <c r="H27" s="189">
        <v>-15108.652610951453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13925.17653185804</v>
      </c>
      <c r="C28" s="339">
        <v>18371.109771027455</v>
      </c>
      <c r="D28" s="340">
        <v>2007.92</v>
      </c>
      <c r="E28" s="339">
        <v>15587.388507693471</v>
      </c>
      <c r="F28" s="158">
        <v>18716.817795192026</v>
      </c>
      <c r="G28" s="337">
        <v>12469.910806154778</v>
      </c>
      <c r="H28" s="189">
        <v>7909.1189648726759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6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1683097.8300000003</v>
      </c>
      <c r="C30" s="166">
        <v>3717854.590819052</v>
      </c>
      <c r="D30" s="166">
        <v>-140096.03</v>
      </c>
      <c r="E30" s="166">
        <v>3085367.27</v>
      </c>
      <c r="F30" s="166">
        <v>2175489.1208190522</v>
      </c>
      <c r="G30" s="166">
        <v>3409557.3532157214</v>
      </c>
      <c r="H30" s="193">
        <v>168201.20760333081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82</v>
      </c>
      <c r="B37" s="341"/>
      <c r="C37" s="342">
        <f>22116.3*1.1</f>
        <v>24327.93</v>
      </c>
      <c r="D37" s="122"/>
      <c r="E37" s="122"/>
      <c r="F37" s="172"/>
      <c r="G37" s="100"/>
      <c r="H37" s="100"/>
    </row>
    <row r="38" spans="1:8" ht="15.75" x14ac:dyDescent="0.25">
      <c r="A38" s="179"/>
      <c r="B38" s="341"/>
      <c r="C38" s="342"/>
      <c r="D38" s="17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24327.93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 t="s">
        <v>118</v>
      </c>
      <c r="B41" s="93">
        <v>-25885.501001359458</v>
      </c>
      <c r="C41" s="201" t="s">
        <v>274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ht="54" customHeight="1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rowBreaks count="1" manualBreakCount="1">
    <brk id="49" max="7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9"/>
  <sheetViews>
    <sheetView view="pageBreakPreview" zoomScale="60" workbookViewId="0">
      <selection activeCell="L36" sqref="L36"/>
    </sheetView>
  </sheetViews>
  <sheetFormatPr defaultRowHeight="15" x14ac:dyDescent="0.25"/>
  <cols>
    <col min="1" max="1" width="44.71093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6.42578125" customWidth="1"/>
    <col min="8" max="8" width="17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38</v>
      </c>
      <c r="B6" s="108"/>
      <c r="C6" s="383">
        <v>1311.4</v>
      </c>
      <c r="D6" s="346">
        <v>41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1311.4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 t="s">
        <v>39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3.66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69"/>
      <c r="L17" s="68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57841.685165862633</v>
      </c>
      <c r="C18" s="386">
        <v>160285.56</v>
      </c>
      <c r="D18" s="387"/>
      <c r="E18" s="388">
        <v>152705.74228609394</v>
      </c>
      <c r="F18" s="321">
        <v>65421.502879768697</v>
      </c>
      <c r="G18" s="141">
        <v>160285.56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21608.116089156065</v>
      </c>
      <c r="C19" s="386">
        <v>57597</v>
      </c>
      <c r="D19" s="311"/>
      <c r="E19" s="388">
        <v>55249.061763693207</v>
      </c>
      <c r="F19" s="143">
        <v>23956.054325462865</v>
      </c>
      <c r="G19" s="323">
        <v>213149.76</v>
      </c>
      <c r="H19" s="189">
        <v>-155552.76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12756.57</v>
      </c>
      <c r="C20" s="389"/>
      <c r="D20" s="146"/>
      <c r="E20" s="390"/>
      <c r="F20" s="149">
        <v>12756.57</v>
      </c>
      <c r="G20" s="326">
        <v>6600</v>
      </c>
      <c r="H20" s="189">
        <v>-6600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K21" s="3"/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154758.46874498134</v>
      </c>
      <c r="C22" s="153">
        <v>497521.85</v>
      </c>
      <c r="D22" s="153">
        <v>-39954.910000000003</v>
      </c>
      <c r="E22" s="153">
        <v>433784.08595021284</v>
      </c>
      <c r="F22" s="153">
        <v>178541.32279476855</v>
      </c>
      <c r="G22" s="153">
        <v>429628.4</v>
      </c>
      <c r="H22" s="191">
        <v>27938.540000000023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106748.33673492844</v>
      </c>
      <c r="C23" s="386">
        <v>339281.84</v>
      </c>
      <c r="D23" s="392"/>
      <c r="E23" s="393">
        <v>297824.4276982391</v>
      </c>
      <c r="F23" s="156">
        <v>148205.74903668935</v>
      </c>
      <c r="G23" s="394">
        <v>276299.68</v>
      </c>
      <c r="H23" s="189">
        <v>62982.160000000033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33810.737351562741</v>
      </c>
      <c r="C24" s="192">
        <v>94615.65</v>
      </c>
      <c r="D24" s="158">
        <v>-24724.84</v>
      </c>
      <c r="E24" s="334">
        <v>82428.584583563017</v>
      </c>
      <c r="F24" s="158">
        <v>21272.962767999721</v>
      </c>
      <c r="G24" s="145">
        <v>80866.02</v>
      </c>
      <c r="H24" s="189">
        <v>-10975.210000000006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3671.4709881145418</v>
      </c>
      <c r="C25" s="395">
        <v>22122.48</v>
      </c>
      <c r="D25" s="395">
        <v>-5690.64</v>
      </c>
      <c r="E25" s="395">
        <v>18442.507533692165</v>
      </c>
      <c r="F25" s="158">
        <v>1660.8034544223774</v>
      </c>
      <c r="G25" s="145">
        <v>29853.4</v>
      </c>
      <c r="H25" s="189">
        <v>-13421.560000000001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10527.923670375616</v>
      </c>
      <c r="C26" s="395">
        <v>41501.879999999997</v>
      </c>
      <c r="D26" s="395">
        <v>-9539.43</v>
      </c>
      <c r="E26" s="395">
        <v>35088.566134718545</v>
      </c>
      <c r="F26" s="158">
        <v>7401.8075356570698</v>
      </c>
      <c r="G26" s="145">
        <v>42609.3</v>
      </c>
      <c r="H26" s="189">
        <v>-10646.850000000006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39"/>
      <c r="D27" s="339"/>
      <c r="E27" s="339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39"/>
      <c r="D28" s="340"/>
      <c r="E28" s="396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246964.84000000003</v>
      </c>
      <c r="C30" s="166">
        <v>715404.40999999992</v>
      </c>
      <c r="D30" s="166">
        <v>-39954.910000000003</v>
      </c>
      <c r="E30" s="166">
        <v>641738.89</v>
      </c>
      <c r="F30" s="166">
        <v>280675.45000000013</v>
      </c>
      <c r="G30" s="166">
        <v>809663.72</v>
      </c>
      <c r="H30" s="193">
        <v>-134214.21999999997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111</v>
      </c>
      <c r="B37" s="341"/>
      <c r="C37" s="342">
        <f>150000*1.1</f>
        <v>165000</v>
      </c>
      <c r="D37" s="122"/>
      <c r="E37" s="122"/>
      <c r="F37" s="172"/>
      <c r="G37" s="100"/>
      <c r="H37" s="100"/>
    </row>
    <row r="38" spans="1:8" ht="15.75" x14ac:dyDescent="0.25">
      <c r="A38" s="179" t="s">
        <v>285</v>
      </c>
      <c r="B38" s="341"/>
      <c r="C38" s="342">
        <v>48149.760000000002</v>
      </c>
      <c r="D38" s="172"/>
      <c r="E38" s="172"/>
      <c r="F38" s="100"/>
      <c r="G38" s="100"/>
      <c r="H38" s="100"/>
    </row>
    <row r="39" spans="1:8" ht="15.75" hidden="1" x14ac:dyDescent="0.25">
      <c r="A39" s="179"/>
      <c r="B39" s="341"/>
      <c r="C39" s="397"/>
      <c r="D39" s="116"/>
      <c r="E39" s="116"/>
      <c r="F39" s="116"/>
      <c r="G39" s="169"/>
      <c r="H39" s="100"/>
    </row>
    <row r="40" spans="1:8" ht="15.75" hidden="1" x14ac:dyDescent="0.25">
      <c r="A40" s="179"/>
      <c r="B40" s="341"/>
      <c r="C40" s="397"/>
      <c r="D40" s="116"/>
      <c r="E40" s="116"/>
      <c r="F40" s="116"/>
      <c r="G40" s="169"/>
      <c r="H40" s="100"/>
    </row>
    <row r="41" spans="1:8" ht="16.5" thickBot="1" x14ac:dyDescent="0.3">
      <c r="A41" s="113" t="s">
        <v>5</v>
      </c>
      <c r="B41" s="114">
        <f>B37</f>
        <v>0</v>
      </c>
      <c r="C41" s="343">
        <f>SUM(C37:C40)</f>
        <v>213149.76</v>
      </c>
      <c r="D41" s="116"/>
      <c r="E41" s="116"/>
      <c r="F41" s="116"/>
      <c r="G41" s="169"/>
      <c r="H41" s="100"/>
    </row>
    <row r="42" spans="1:8" ht="15.75" x14ac:dyDescent="0.25">
      <c r="A42" s="398"/>
      <c r="B42" s="122"/>
      <c r="C42" s="399"/>
      <c r="D42" s="116"/>
      <c r="E42" s="116"/>
      <c r="F42" s="116"/>
      <c r="G42" s="169"/>
      <c r="H42" s="100"/>
    </row>
    <row r="43" spans="1:8" ht="15.75" x14ac:dyDescent="0.25">
      <c r="A43" s="398"/>
      <c r="B43" s="122"/>
      <c r="C43" s="399"/>
      <c r="D43" s="116"/>
      <c r="E43" s="116"/>
      <c r="F43" s="116"/>
      <c r="G43" s="169"/>
      <c r="H43" s="100"/>
    </row>
    <row r="44" spans="1:8" ht="15.75" hidden="1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hidden="1" x14ac:dyDescent="0.25">
      <c r="A45" s="92" t="s">
        <v>118</v>
      </c>
      <c r="B45" s="93">
        <f>29635.15+H19</f>
        <v>-125917.61000000002</v>
      </c>
      <c r="C45" s="94" t="s">
        <v>24</v>
      </c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31.5" x14ac:dyDescent="0.25">
      <c r="A47" s="344" t="s">
        <v>289</v>
      </c>
      <c r="B47" s="93">
        <f>56802+57597+29635.15+E19-G19</f>
        <v>-13866.548236306815</v>
      </c>
      <c r="C47" s="94" t="s">
        <v>24</v>
      </c>
      <c r="D47" s="184"/>
      <c r="E47" s="185"/>
      <c r="F47" s="186"/>
      <c r="G47" s="169"/>
      <c r="H47" s="100"/>
    </row>
    <row r="48" spans="1:8" ht="15.75" x14ac:dyDescent="0.25">
      <c r="A48" s="92"/>
      <c r="B48" s="93"/>
      <c r="C48" s="94"/>
      <c r="D48" s="184"/>
      <c r="E48" s="185"/>
      <c r="F48" s="186"/>
      <c r="G48" s="169"/>
      <c r="H48" s="100"/>
    </row>
    <row r="49" spans="1:8" ht="15.75" x14ac:dyDescent="0.25">
      <c r="A49" s="197" t="s">
        <v>69</v>
      </c>
      <c r="B49" s="40"/>
      <c r="C49" s="41"/>
      <c r="D49" s="184"/>
      <c r="E49" s="185"/>
      <c r="F49" s="186"/>
      <c r="G49" s="169"/>
      <c r="H49" s="100"/>
    </row>
    <row r="50" spans="1:8" ht="15.75" x14ac:dyDescent="0.25">
      <c r="A50" s="198"/>
      <c r="B50" s="40"/>
      <c r="C50" s="41"/>
      <c r="D50" s="184"/>
      <c r="E50" s="185"/>
      <c r="F50" s="186"/>
      <c r="G50" s="169"/>
      <c r="H50" s="100"/>
    </row>
    <row r="51" spans="1:8" ht="15.75" x14ac:dyDescent="0.25">
      <c r="A51" s="197" t="s">
        <v>53</v>
      </c>
      <c r="B51" s="40" t="s">
        <v>54</v>
      </c>
      <c r="C51" s="199"/>
      <c r="D51" s="184"/>
      <c r="E51" s="185"/>
      <c r="F51" s="186"/>
      <c r="G51" s="169"/>
      <c r="H51" s="100"/>
    </row>
    <row r="52" spans="1:8" x14ac:dyDescent="0.25">
      <c r="A52" s="31"/>
      <c r="B52" s="28"/>
      <c r="C52" s="36"/>
      <c r="D52" s="19"/>
      <c r="E52" s="17"/>
      <c r="F52" s="18"/>
      <c r="G52" s="15"/>
    </row>
    <row r="53" spans="1:8" x14ac:dyDescent="0.25">
      <c r="A53" s="37"/>
      <c r="B53" s="38"/>
      <c r="C53" s="36"/>
      <c r="D53" s="19"/>
      <c r="E53" s="17"/>
      <c r="F53" s="18"/>
      <c r="G53" s="15"/>
    </row>
    <row r="54" spans="1:8" ht="15.75" x14ac:dyDescent="0.25">
      <c r="A54" s="39" t="s">
        <v>27</v>
      </c>
      <c r="B54" s="40" t="s">
        <v>54</v>
      </c>
      <c r="C54" s="41"/>
      <c r="D54" s="42" t="s">
        <v>28</v>
      </c>
      <c r="E54" s="10"/>
    </row>
    <row r="55" spans="1:8" x14ac:dyDescent="0.25">
      <c r="A55" s="6"/>
      <c r="B55" s="7"/>
      <c r="C55" s="10"/>
      <c r="D55" s="35"/>
      <c r="E55" s="8"/>
    </row>
    <row r="56" spans="1:8" x14ac:dyDescent="0.25">
      <c r="A56" s="6"/>
      <c r="B56" s="7"/>
      <c r="C56" s="10"/>
      <c r="D56" s="34"/>
      <c r="E56" s="8"/>
    </row>
    <row r="57" spans="1:8" x14ac:dyDescent="0.25">
      <c r="A57" s="13"/>
      <c r="B57" s="14"/>
      <c r="C57" s="10"/>
      <c r="D57" s="29"/>
      <c r="E57" s="10"/>
    </row>
    <row r="58" spans="1:8" x14ac:dyDescent="0.25">
      <c r="C58" s="10"/>
      <c r="E58" s="10"/>
    </row>
    <row r="59" spans="1:8" x14ac:dyDescent="0.25">
      <c r="A59" s="6"/>
      <c r="B59" s="7"/>
      <c r="C59" s="8"/>
      <c r="D59" s="11"/>
      <c r="E59" s="10"/>
    </row>
    <row r="60" spans="1:8" x14ac:dyDescent="0.25">
      <c r="A60" s="4"/>
      <c r="B60" s="5"/>
      <c r="C60" s="10"/>
      <c r="D60" s="11"/>
      <c r="E60" s="10"/>
      <c r="F60" s="12"/>
    </row>
    <row r="61" spans="1:8" x14ac:dyDescent="0.25">
      <c r="A61" s="6"/>
      <c r="B61" s="7"/>
      <c r="C61" s="10"/>
      <c r="D61" s="11"/>
      <c r="E61" s="10"/>
    </row>
    <row r="62" spans="1:8" x14ac:dyDescent="0.25">
      <c r="A62" s="6"/>
      <c r="B62" s="7"/>
      <c r="C62" s="7"/>
      <c r="D62" s="9"/>
      <c r="E62" s="10"/>
    </row>
    <row r="63" spans="1:8" x14ac:dyDescent="0.25">
      <c r="A63" s="6"/>
      <c r="B63" s="7"/>
      <c r="C63" s="7"/>
      <c r="D63" s="9"/>
      <c r="E63" s="10"/>
    </row>
    <row r="64" spans="1:8" x14ac:dyDescent="0.25">
      <c r="A64" s="6"/>
      <c r="B64" s="7"/>
      <c r="C64" s="7"/>
      <c r="D64" s="8"/>
      <c r="E64" s="8"/>
      <c r="F64" s="3"/>
    </row>
    <row r="65" spans="1:6" x14ac:dyDescent="0.25">
      <c r="A65" s="6"/>
      <c r="B65" s="7"/>
      <c r="D65" s="8"/>
      <c r="E65" s="10"/>
    </row>
    <row r="66" spans="1:6" x14ac:dyDescent="0.25">
      <c r="D66" s="8"/>
      <c r="E66" s="8"/>
    </row>
    <row r="67" spans="1:6" x14ac:dyDescent="0.25">
      <c r="D67" s="10"/>
      <c r="E67" s="10"/>
    </row>
    <row r="68" spans="1:6" x14ac:dyDescent="0.25">
      <c r="D68" s="10"/>
      <c r="E68" s="10"/>
    </row>
    <row r="69" spans="1:6" x14ac:dyDescent="0.25">
      <c r="D69" s="10"/>
      <c r="E69" s="10"/>
    </row>
    <row r="70" spans="1:6" x14ac:dyDescent="0.25">
      <c r="B70"/>
      <c r="C70"/>
      <c r="D70" s="10"/>
      <c r="E70" s="10"/>
    </row>
    <row r="71" spans="1:6" x14ac:dyDescent="0.25">
      <c r="B71"/>
      <c r="C71"/>
      <c r="D71" s="10"/>
      <c r="E71" s="10"/>
    </row>
    <row r="72" spans="1:6" x14ac:dyDescent="0.25">
      <c r="B72"/>
      <c r="C72"/>
      <c r="D72" s="10"/>
      <c r="E72" s="10"/>
    </row>
    <row r="73" spans="1:6" x14ac:dyDescent="0.25">
      <c r="B73"/>
      <c r="C73"/>
      <c r="D73" s="8"/>
      <c r="E73" s="8"/>
      <c r="F73" s="3"/>
    </row>
    <row r="74" spans="1:6" x14ac:dyDescent="0.25">
      <c r="B74"/>
      <c r="C74"/>
      <c r="D74" s="10"/>
      <c r="E74" s="10"/>
      <c r="F74" s="3"/>
    </row>
    <row r="75" spans="1:6" x14ac:dyDescent="0.25">
      <c r="D75" s="10"/>
      <c r="E75" s="10"/>
    </row>
    <row r="76" spans="1:6" x14ac:dyDescent="0.25">
      <c r="D76" s="7"/>
      <c r="E76" s="7"/>
    </row>
    <row r="77" spans="1:6" x14ac:dyDescent="0.25">
      <c r="B77"/>
      <c r="C77"/>
      <c r="D77" s="7"/>
      <c r="E77" s="7"/>
    </row>
    <row r="78" spans="1:6" x14ac:dyDescent="0.25">
      <c r="B78"/>
      <c r="C78"/>
      <c r="D78" s="7"/>
      <c r="E78" s="7"/>
    </row>
    <row r="79" spans="1:6" x14ac:dyDescent="0.25">
      <c r="B79"/>
      <c r="C79"/>
    </row>
    <row r="80" spans="1:6" x14ac:dyDescent="0.25">
      <c r="B80"/>
      <c r="C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D95"/>
      <c r="E95"/>
    </row>
    <row r="96" spans="2:5" x14ac:dyDescent="0.25"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6"/>
  <sheetViews>
    <sheetView view="pageBreakPreview" zoomScale="60" workbookViewId="0">
      <selection activeCell="G44" sqref="G44"/>
    </sheetView>
  </sheetViews>
  <sheetFormatPr defaultRowHeight="15" x14ac:dyDescent="0.25"/>
  <cols>
    <col min="1" max="1" width="44.425781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9.140625" customWidth="1"/>
    <col min="7" max="7" width="16" customWidth="1"/>
    <col min="8" max="8" width="18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51" t="s">
        <v>1</v>
      </c>
      <c r="B5" s="909"/>
      <c r="C5" s="846" t="s">
        <v>2</v>
      </c>
      <c r="D5" s="847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7.25" customHeight="1" x14ac:dyDescent="0.25">
      <c r="A6" s="910" t="s">
        <v>37</v>
      </c>
      <c r="B6" s="911"/>
      <c r="C6" s="911">
        <v>1068.5</v>
      </c>
      <c r="D6" s="912">
        <v>65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9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1068.5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4">
        <v>16.52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2.46</v>
      </c>
      <c r="E12" s="913" t="s">
        <v>113</v>
      </c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71"/>
      <c r="L17" s="70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914">
        <v>37263.147359206305</v>
      </c>
      <c r="C18" s="915">
        <v>211819.32</v>
      </c>
      <c r="D18" s="387"/>
      <c r="E18" s="916">
        <v>190892.93457090709</v>
      </c>
      <c r="F18" s="321">
        <v>58189.532788299228</v>
      </c>
      <c r="G18" s="141">
        <v>211819.32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14498.188724951171</v>
      </c>
      <c r="C19" s="917">
        <v>118017.54</v>
      </c>
      <c r="D19" s="338">
        <v>-81206</v>
      </c>
      <c r="E19" s="916">
        <v>68476.284086306245</v>
      </c>
      <c r="F19" s="143">
        <v>-17166.555361355087</v>
      </c>
      <c r="G19" s="323">
        <v>72210.501000000004</v>
      </c>
      <c r="H19" s="189">
        <v>-35398.96100000001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9"/>
      <c r="D20" s="146"/>
      <c r="E20" s="390"/>
      <c r="F20" s="149">
        <v>0</v>
      </c>
      <c r="G20" s="326">
        <v>10000</v>
      </c>
      <c r="H20" s="189">
        <v>-10000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36791.831873819741</v>
      </c>
      <c r="C22" s="153">
        <v>630787.93000000005</v>
      </c>
      <c r="D22" s="153">
        <v>-25459.55</v>
      </c>
      <c r="E22" s="153">
        <v>559185.90594902635</v>
      </c>
      <c r="F22" s="153">
        <v>82934.305924793356</v>
      </c>
      <c r="G22" s="153">
        <v>529813.73</v>
      </c>
      <c r="H22" s="191">
        <v>75514.650000000023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1798.185104035731</v>
      </c>
      <c r="C23" s="917">
        <v>334000.28000000003</v>
      </c>
      <c r="D23" s="918">
        <v>-72.709999999999994</v>
      </c>
      <c r="E23" s="919">
        <v>293255.77287712682</v>
      </c>
      <c r="F23" s="156">
        <v>42469.982226908905</v>
      </c>
      <c r="G23" s="394">
        <v>256561.01</v>
      </c>
      <c r="H23" s="189">
        <v>77366.559999999998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21426.626694949264</v>
      </c>
      <c r="C24" s="192">
        <v>180529.21000000002</v>
      </c>
      <c r="D24" s="158">
        <v>-15576.12</v>
      </c>
      <c r="E24" s="334">
        <v>164323.30205889599</v>
      </c>
      <c r="F24" s="158">
        <v>22056.41463605329</v>
      </c>
      <c r="G24" s="145">
        <v>159787.76999999999</v>
      </c>
      <c r="H24" s="189">
        <v>5165.3200000000361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5277.1162829333052</v>
      </c>
      <c r="C25" s="338">
        <v>39062.400000000001</v>
      </c>
      <c r="D25" s="338">
        <v>-3756.17</v>
      </c>
      <c r="E25" s="338">
        <v>35617.974060927969</v>
      </c>
      <c r="F25" s="158">
        <v>4965.3722220053387</v>
      </c>
      <c r="G25" s="145">
        <v>41415.64</v>
      </c>
      <c r="H25" s="189">
        <v>-6109.4099999999962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8289.903791901439</v>
      </c>
      <c r="C26" s="338">
        <v>77196.039999999994</v>
      </c>
      <c r="D26" s="338">
        <v>-6054.55</v>
      </c>
      <c r="E26" s="338">
        <v>65988.856952075599</v>
      </c>
      <c r="F26" s="158">
        <v>13442.536839825829</v>
      </c>
      <c r="G26" s="145">
        <v>72049.31</v>
      </c>
      <c r="H26" s="189">
        <v>-907.82000000000698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4249.8220420227699</v>
      </c>
      <c r="C27" s="338">
        <v>72853.600000000006</v>
      </c>
      <c r="D27" s="338">
        <v>-14681.02</v>
      </c>
      <c r="E27" s="338">
        <v>60416.015393760288</v>
      </c>
      <c r="F27" s="158">
        <v>2006.3866482624871</v>
      </c>
      <c r="G27" s="145">
        <v>74084.23</v>
      </c>
      <c r="H27" s="189">
        <v>-15911.649999999994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-6478.7899999999991</v>
      </c>
      <c r="C28" s="339"/>
      <c r="D28" s="340"/>
      <c r="E28" s="339"/>
      <c r="F28" s="158">
        <v>-6478.7899999999991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86324.2</v>
      </c>
      <c r="C30" s="166">
        <v>1033478.39</v>
      </c>
      <c r="D30" s="166">
        <v>-121346.57</v>
      </c>
      <c r="E30" s="166">
        <v>878971.1399999999</v>
      </c>
      <c r="F30" s="166">
        <v>119484.87999999999</v>
      </c>
      <c r="G30" s="166">
        <v>897927.78099999996</v>
      </c>
      <c r="H30" s="193">
        <v>14204.039000000019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12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12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12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12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12" ht="15.75" x14ac:dyDescent="0.25">
      <c r="A37" s="314" t="s">
        <v>112</v>
      </c>
      <c r="B37" s="341"/>
      <c r="C37" s="908">
        <f>39255.8*1.1</f>
        <v>43181.380000000005</v>
      </c>
      <c r="D37" s="172"/>
      <c r="E37" s="122"/>
      <c r="F37" s="172"/>
      <c r="G37" s="100"/>
      <c r="H37" s="100"/>
    </row>
    <row r="38" spans="1:12" ht="15.75" x14ac:dyDescent="0.25">
      <c r="A38" s="179" t="s">
        <v>82</v>
      </c>
      <c r="B38" s="341"/>
      <c r="C38" s="342">
        <f>26390.11*1.1</f>
        <v>29029.121000000003</v>
      </c>
      <c r="D38" s="172"/>
      <c r="E38" s="172"/>
      <c r="F38" s="100"/>
      <c r="G38" s="100"/>
      <c r="H38" s="100"/>
      <c r="L38" s="3">
        <f>C19+D19-E19</f>
        <v>-31664.744086306251</v>
      </c>
    </row>
    <row r="39" spans="1:12" ht="16.5" thickBot="1" x14ac:dyDescent="0.3">
      <c r="A39" s="113" t="s">
        <v>5</v>
      </c>
      <c r="B39" s="114">
        <f>B37</f>
        <v>0</v>
      </c>
      <c r="C39" s="343">
        <f>SUM(C37:C38)</f>
        <v>72210.501000000004</v>
      </c>
      <c r="D39" s="116"/>
      <c r="E39" s="116"/>
      <c r="F39" s="116"/>
      <c r="G39" s="169"/>
      <c r="H39" s="100"/>
    </row>
    <row r="40" spans="1:12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12" ht="31.5" hidden="1" x14ac:dyDescent="0.25">
      <c r="A41" s="344" t="s">
        <v>118</v>
      </c>
      <c r="B41" s="93">
        <f>6226.88+H19</f>
        <v>-29172.081000000009</v>
      </c>
      <c r="C41" s="94" t="s">
        <v>24</v>
      </c>
      <c r="D41" s="184"/>
      <c r="E41" s="185"/>
      <c r="F41" s="186"/>
      <c r="G41" s="169"/>
      <c r="H41" s="100"/>
    </row>
    <row r="42" spans="1:12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12" ht="31.5" x14ac:dyDescent="0.25">
      <c r="A43" s="344" t="s">
        <v>289</v>
      </c>
      <c r="B43" s="93">
        <f>-8513+45147.72+6226.88+E19-G19</f>
        <v>39127.383086306232</v>
      </c>
      <c r="C43" s="94" t="s">
        <v>24</v>
      </c>
      <c r="D43" s="184"/>
      <c r="E43" s="185"/>
      <c r="F43" s="186"/>
      <c r="G43" s="169"/>
      <c r="H43" s="100"/>
    </row>
    <row r="44" spans="1:12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12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12" ht="15.75" x14ac:dyDescent="0.25">
      <c r="A46" s="197" t="s">
        <v>69</v>
      </c>
      <c r="B46" s="40"/>
      <c r="C46" s="41"/>
      <c r="D46" s="184"/>
      <c r="E46" s="185"/>
      <c r="F46" s="186"/>
      <c r="G46" s="169"/>
      <c r="H46" s="100"/>
    </row>
    <row r="47" spans="1:12" ht="15.75" x14ac:dyDescent="0.25">
      <c r="A47" s="198"/>
      <c r="B47" s="40"/>
      <c r="C47" s="41"/>
      <c r="D47" s="184"/>
      <c r="E47" s="185"/>
      <c r="F47" s="186"/>
      <c r="G47" s="169"/>
      <c r="H47" s="100"/>
    </row>
    <row r="48" spans="1:12" ht="15.75" x14ac:dyDescent="0.25">
      <c r="A48" s="197" t="s">
        <v>53</v>
      </c>
      <c r="B48" s="40" t="s">
        <v>54</v>
      </c>
      <c r="C48" s="199"/>
      <c r="D48" s="184"/>
      <c r="E48" s="185"/>
      <c r="F48" s="186"/>
      <c r="G48" s="169"/>
      <c r="H48" s="100"/>
    </row>
    <row r="49" spans="1:7" x14ac:dyDescent="0.25">
      <c r="A49" s="31"/>
      <c r="B49" s="28"/>
      <c r="C49" s="36"/>
      <c r="D49" s="19"/>
      <c r="E49" s="17"/>
      <c r="F49" s="18"/>
      <c r="G49" s="15"/>
    </row>
    <row r="50" spans="1:7" x14ac:dyDescent="0.25">
      <c r="A50" s="37"/>
      <c r="B50" s="38"/>
      <c r="C50" s="36"/>
      <c r="D50" s="19"/>
      <c r="E50" s="17"/>
      <c r="F50" s="18"/>
      <c r="G50" s="15"/>
    </row>
    <row r="51" spans="1:7" ht="15.75" x14ac:dyDescent="0.25">
      <c r="A51" s="39" t="s">
        <v>27</v>
      </c>
      <c r="B51" s="40" t="s">
        <v>54</v>
      </c>
      <c r="C51" s="41"/>
      <c r="D51" s="42" t="s">
        <v>28</v>
      </c>
      <c r="E51" s="10"/>
    </row>
    <row r="52" spans="1:7" x14ac:dyDescent="0.25">
      <c r="A52" s="6"/>
      <c r="B52" s="7"/>
      <c r="C52" s="10"/>
      <c r="D52" s="35"/>
      <c r="E52" s="8"/>
    </row>
    <row r="53" spans="1:7" x14ac:dyDescent="0.25">
      <c r="A53" s="6"/>
      <c r="B53" s="7"/>
      <c r="C53" s="10"/>
      <c r="D53" s="34"/>
      <c r="E53" s="8"/>
    </row>
    <row r="54" spans="1:7" x14ac:dyDescent="0.25">
      <c r="A54" s="13"/>
      <c r="B54" s="14"/>
      <c r="C54" s="10"/>
      <c r="D54" s="29"/>
      <c r="E54" s="10"/>
    </row>
    <row r="55" spans="1:7" x14ac:dyDescent="0.25">
      <c r="C55" s="10"/>
      <c r="E55" s="10"/>
    </row>
    <row r="56" spans="1:7" x14ac:dyDescent="0.25">
      <c r="A56" s="6"/>
      <c r="B56" s="7"/>
      <c r="C56" s="8"/>
      <c r="D56" s="11"/>
      <c r="E56" s="10"/>
    </row>
    <row r="57" spans="1:7" x14ac:dyDescent="0.25">
      <c r="A57" s="4"/>
      <c r="B57" s="5"/>
      <c r="C57" s="10"/>
      <c r="D57" s="11"/>
      <c r="E57" s="10"/>
      <c r="F57" s="12"/>
    </row>
    <row r="58" spans="1:7" x14ac:dyDescent="0.25">
      <c r="A58" s="6"/>
      <c r="B58" s="7"/>
      <c r="C58" s="10"/>
      <c r="D58" s="11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9"/>
      <c r="E60" s="10"/>
    </row>
    <row r="61" spans="1:7" x14ac:dyDescent="0.25">
      <c r="A61" s="6"/>
      <c r="B61" s="7"/>
      <c r="C61" s="7"/>
      <c r="D61" s="8"/>
      <c r="E61" s="8"/>
      <c r="F61" s="3"/>
    </row>
    <row r="62" spans="1:7" x14ac:dyDescent="0.25">
      <c r="A62" s="6"/>
      <c r="B62" s="7"/>
      <c r="D62" s="8"/>
      <c r="E62" s="10"/>
    </row>
    <row r="63" spans="1:7" x14ac:dyDescent="0.25">
      <c r="D63" s="8"/>
      <c r="E63" s="8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8"/>
      <c r="E70" s="8"/>
      <c r="F70" s="3"/>
    </row>
    <row r="71" spans="2:6" x14ac:dyDescent="0.25">
      <c r="B71"/>
      <c r="C71"/>
      <c r="D71" s="10"/>
      <c r="E71" s="10"/>
      <c r="F71" s="3"/>
    </row>
    <row r="72" spans="2:6" x14ac:dyDescent="0.25">
      <c r="D72" s="10"/>
      <c r="E72" s="10"/>
    </row>
    <row r="73" spans="2:6" x14ac:dyDescent="0.25"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</row>
    <row r="77" spans="2:6" x14ac:dyDescent="0.25">
      <c r="B77"/>
      <c r="C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52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8"/>
  <sheetViews>
    <sheetView view="pageBreakPreview" zoomScale="60" workbookViewId="0">
      <selection activeCell="E46" sqref="E46"/>
    </sheetView>
  </sheetViews>
  <sheetFormatPr defaultRowHeight="15" x14ac:dyDescent="0.25"/>
  <cols>
    <col min="1" max="1" width="44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16.28515625" customWidth="1"/>
    <col min="7" max="7" width="15.710937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108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40</v>
      </c>
      <c r="B6" s="108"/>
      <c r="C6" s="345">
        <v>1491.6</v>
      </c>
      <c r="D6" s="346">
        <v>75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1491.6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16.690000000000001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5.05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0.18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72"/>
      <c r="L17" s="73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55638.445773923959</v>
      </c>
      <c r="C18" s="901">
        <v>298737.96000000002</v>
      </c>
      <c r="D18" s="387"/>
      <c r="E18" s="325">
        <v>307993.08476992272</v>
      </c>
      <c r="F18" s="321">
        <v>46383.321004001249</v>
      </c>
      <c r="G18" s="141">
        <v>298737.96000000002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16771.221257797857</v>
      </c>
      <c r="C19" s="324">
        <v>90392.04</v>
      </c>
      <c r="D19" s="338"/>
      <c r="E19" s="325">
        <v>93468.17117619417</v>
      </c>
      <c r="F19" s="143">
        <v>13695.090081603688</v>
      </c>
      <c r="G19" s="323">
        <v>209632.5</v>
      </c>
      <c r="H19" s="189">
        <v>-119240.46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618.1734887289465</v>
      </c>
      <c r="C20" s="324">
        <v>3222.24</v>
      </c>
      <c r="D20" s="146"/>
      <c r="E20" s="325">
        <v>4069.6384674135006</v>
      </c>
      <c r="F20" s="149">
        <v>-229.22497868455412</v>
      </c>
      <c r="G20" s="326">
        <v>6600</v>
      </c>
      <c r="H20" s="189">
        <v>-3377.76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391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101532.86947954918</v>
      </c>
      <c r="C22" s="153">
        <v>510523.52</v>
      </c>
      <c r="D22" s="153">
        <v>-24936.7</v>
      </c>
      <c r="E22" s="153">
        <v>511210.43558646966</v>
      </c>
      <c r="F22" s="153">
        <v>75909.253893079542</v>
      </c>
      <c r="G22" s="153">
        <v>477581.18999999994</v>
      </c>
      <c r="H22" s="191">
        <v>8005.6299999999828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80330.724564397635</v>
      </c>
      <c r="C23" s="901">
        <v>348793.1</v>
      </c>
      <c r="D23" s="906">
        <v>-37.21</v>
      </c>
      <c r="E23" s="907">
        <v>357115.03398710338</v>
      </c>
      <c r="F23" s="156">
        <v>71971.580577294226</v>
      </c>
      <c r="G23" s="394">
        <v>276025.23</v>
      </c>
      <c r="H23" s="189">
        <v>72730.659999999974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7784.1998062041193</v>
      </c>
      <c r="C24" s="192">
        <v>55221.27</v>
      </c>
      <c r="D24" s="158">
        <v>-14570.09</v>
      </c>
      <c r="E24" s="334">
        <v>51076.057479184397</v>
      </c>
      <c r="F24" s="158">
        <v>-2640.6776729802805</v>
      </c>
      <c r="G24" s="145">
        <v>111037.73</v>
      </c>
      <c r="H24" s="189">
        <v>-70386.55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6217.486469065454</v>
      </c>
      <c r="C25" s="324">
        <v>41115.370000000003</v>
      </c>
      <c r="D25" s="324">
        <v>-4437.92</v>
      </c>
      <c r="E25" s="324">
        <v>41744.612461405435</v>
      </c>
      <c r="F25" s="158">
        <v>1150.3240076600268</v>
      </c>
      <c r="G25" s="145">
        <v>41243.839999999997</v>
      </c>
      <c r="H25" s="189">
        <v>-4566.3899999999921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7200.4586398819665</v>
      </c>
      <c r="C26" s="338">
        <v>65393.78</v>
      </c>
      <c r="D26" s="324">
        <v>-5891.48</v>
      </c>
      <c r="E26" s="324">
        <v>61274.731658776393</v>
      </c>
      <c r="F26" s="158">
        <v>5428.0269811055769</v>
      </c>
      <c r="G26" s="145">
        <v>49274.39</v>
      </c>
      <c r="H26" s="189">
        <v>10227.910000000003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38"/>
      <c r="D27" s="338"/>
      <c r="E27" s="338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39"/>
      <c r="D28" s="340"/>
      <c r="E28" s="339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174560.70999999996</v>
      </c>
      <c r="C30" s="166">
        <v>902875.76</v>
      </c>
      <c r="D30" s="166">
        <v>-24936.7</v>
      </c>
      <c r="E30" s="166">
        <v>916741.33000000007</v>
      </c>
      <c r="F30" s="166">
        <v>135758.43999999992</v>
      </c>
      <c r="G30" s="166">
        <v>992551.64999999991</v>
      </c>
      <c r="H30" s="193">
        <v>-114612.59000000003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14" t="s">
        <v>114</v>
      </c>
      <c r="B37" s="341"/>
      <c r="C37" s="908">
        <f>2300*1.1</f>
        <v>2530</v>
      </c>
      <c r="D37" s="122"/>
      <c r="E37" s="122"/>
      <c r="F37" s="172"/>
      <c r="G37" s="100"/>
      <c r="H37" s="100"/>
    </row>
    <row r="38" spans="1:8" ht="15.75" x14ac:dyDescent="0.25">
      <c r="A38" s="179" t="s">
        <v>115</v>
      </c>
      <c r="B38" s="341"/>
      <c r="C38" s="342">
        <f>18200*1.1</f>
        <v>20020</v>
      </c>
      <c r="D38" s="122"/>
      <c r="E38" s="172"/>
      <c r="F38" s="100"/>
      <c r="G38" s="100"/>
      <c r="H38" s="100"/>
    </row>
    <row r="39" spans="1:8" ht="15.75" x14ac:dyDescent="0.25">
      <c r="A39" s="179" t="s">
        <v>116</v>
      </c>
      <c r="B39" s="341"/>
      <c r="C39" s="342">
        <f>155000*1.1</f>
        <v>170500</v>
      </c>
      <c r="D39" s="182"/>
      <c r="E39" s="881"/>
      <c r="F39" s="524"/>
      <c r="G39" s="169"/>
      <c r="H39" s="100"/>
    </row>
    <row r="40" spans="1:8" ht="15.75" x14ac:dyDescent="0.25">
      <c r="A40" s="179" t="s">
        <v>117</v>
      </c>
      <c r="B40" s="341"/>
      <c r="C40" s="342">
        <f>15075*1.1</f>
        <v>16582.5</v>
      </c>
      <c r="D40" s="182"/>
      <c r="E40" s="881"/>
      <c r="F40" s="524"/>
      <c r="G40" s="169"/>
      <c r="H40" s="100"/>
    </row>
    <row r="41" spans="1:8" ht="16.5" thickBot="1" x14ac:dyDescent="0.3">
      <c r="A41" s="113" t="s">
        <v>5</v>
      </c>
      <c r="B41" s="114">
        <f>B37</f>
        <v>0</v>
      </c>
      <c r="C41" s="343">
        <f>SUM(C37:C40)</f>
        <v>209632.5</v>
      </c>
      <c r="D41" s="116"/>
      <c r="E41" s="116"/>
      <c r="F41" s="11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hidden="1" x14ac:dyDescent="0.25">
      <c r="A44" s="92" t="s">
        <v>118</v>
      </c>
      <c r="B44" s="93">
        <f>79633.52+H19</f>
        <v>-39606.94</v>
      </c>
      <c r="C44" s="94" t="s">
        <v>24</v>
      </c>
      <c r="D44" s="184"/>
      <c r="E44" s="185"/>
      <c r="F44" s="186"/>
      <c r="G44" s="169"/>
      <c r="H44" s="100"/>
    </row>
    <row r="45" spans="1:8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8" ht="31.5" x14ac:dyDescent="0.25">
      <c r="A46" s="344" t="s">
        <v>289</v>
      </c>
      <c r="B46" s="93">
        <f>58009.56+46416.94+79633.52+E19-G19</f>
        <v>67895.691176194174</v>
      </c>
      <c r="C46" s="94"/>
      <c r="D46" s="184"/>
      <c r="E46" s="185"/>
      <c r="F46" s="186"/>
      <c r="G46" s="169"/>
      <c r="H46" s="100"/>
    </row>
    <row r="47" spans="1:8" ht="15.75" x14ac:dyDescent="0.25">
      <c r="A47" s="92"/>
      <c r="B47" s="93"/>
      <c r="C47" s="94"/>
      <c r="D47" s="184"/>
      <c r="E47" s="185"/>
      <c r="F47" s="186"/>
      <c r="G47" s="169"/>
      <c r="H47" s="100"/>
    </row>
    <row r="48" spans="1:8" ht="15.75" x14ac:dyDescent="0.25">
      <c r="A48" s="197" t="s">
        <v>69</v>
      </c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8"/>
      <c r="B49" s="40"/>
      <c r="C49" s="41"/>
      <c r="D49" s="184"/>
      <c r="E49" s="185"/>
      <c r="F49" s="186"/>
      <c r="G49" s="169"/>
      <c r="H49" s="100"/>
    </row>
    <row r="50" spans="1:8" ht="15.75" x14ac:dyDescent="0.25">
      <c r="A50" s="197" t="s">
        <v>53</v>
      </c>
      <c r="B50" s="40" t="s">
        <v>54</v>
      </c>
      <c r="C50" s="199"/>
      <c r="D50" s="184"/>
      <c r="E50" s="185"/>
      <c r="F50" s="186"/>
      <c r="G50" s="169"/>
      <c r="H50" s="100"/>
    </row>
    <row r="51" spans="1:8" x14ac:dyDescent="0.25">
      <c r="A51" s="31"/>
      <c r="B51" s="28"/>
      <c r="C51" s="36"/>
      <c r="D51" s="19"/>
      <c r="E51" s="17"/>
      <c r="F51" s="18"/>
      <c r="G51" s="15"/>
    </row>
    <row r="52" spans="1:8" x14ac:dyDescent="0.25">
      <c r="A52" s="37"/>
      <c r="B52" s="38"/>
      <c r="C52" s="36"/>
      <c r="D52" s="19"/>
      <c r="E52" s="17"/>
      <c r="F52" s="18"/>
      <c r="G52" s="15"/>
    </row>
    <row r="53" spans="1:8" ht="15.75" x14ac:dyDescent="0.25">
      <c r="A53" s="39" t="s">
        <v>27</v>
      </c>
      <c r="B53" s="40" t="s">
        <v>54</v>
      </c>
      <c r="C53" s="41"/>
      <c r="D53" s="42" t="s">
        <v>28</v>
      </c>
      <c r="E53" s="10"/>
    </row>
    <row r="54" spans="1:8" x14ac:dyDescent="0.25">
      <c r="A54" s="6"/>
      <c r="B54" s="7"/>
      <c r="C54" s="10"/>
      <c r="D54" s="35"/>
      <c r="E54" s="8"/>
    </row>
    <row r="55" spans="1:8" x14ac:dyDescent="0.25">
      <c r="A55" s="6"/>
      <c r="B55" s="7"/>
      <c r="C55" s="10"/>
      <c r="D55" s="34"/>
      <c r="E55" s="8"/>
    </row>
    <row r="56" spans="1:8" x14ac:dyDescent="0.25">
      <c r="A56" s="13"/>
      <c r="B56" s="14"/>
      <c r="C56" s="10"/>
      <c r="D56" s="29"/>
      <c r="E56" s="10"/>
    </row>
    <row r="57" spans="1:8" x14ac:dyDescent="0.25">
      <c r="C57" s="10"/>
      <c r="E57" s="10"/>
    </row>
    <row r="58" spans="1:8" x14ac:dyDescent="0.25">
      <c r="A58" s="6"/>
      <c r="B58" s="7"/>
      <c r="C58" s="8"/>
      <c r="D58" s="11"/>
      <c r="E58" s="10"/>
    </row>
    <row r="59" spans="1:8" x14ac:dyDescent="0.25">
      <c r="A59" s="4"/>
      <c r="B59" s="5"/>
      <c r="C59" s="10"/>
      <c r="D59" s="11"/>
      <c r="E59" s="10"/>
      <c r="F59" s="12"/>
    </row>
    <row r="60" spans="1:8" x14ac:dyDescent="0.25">
      <c r="A60" s="6"/>
      <c r="B60" s="7"/>
      <c r="C60" s="10"/>
      <c r="D60" s="11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9"/>
      <c r="E62" s="10"/>
    </row>
    <row r="63" spans="1:8" x14ac:dyDescent="0.25">
      <c r="A63" s="6"/>
      <c r="B63" s="7"/>
      <c r="C63" s="7"/>
      <c r="D63" s="8"/>
      <c r="E63" s="8"/>
      <c r="F63" s="3"/>
    </row>
    <row r="64" spans="1:8" x14ac:dyDescent="0.25">
      <c r="A64" s="6"/>
      <c r="B64" s="7"/>
      <c r="D64" s="8"/>
      <c r="E64" s="10"/>
    </row>
    <row r="65" spans="2:6" x14ac:dyDescent="0.25">
      <c r="D65" s="8"/>
      <c r="E65" s="8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10"/>
      <c r="E71" s="10"/>
    </row>
    <row r="72" spans="2:6" x14ac:dyDescent="0.25">
      <c r="B72"/>
      <c r="C72"/>
      <c r="D72" s="8"/>
      <c r="E72" s="8"/>
      <c r="F72" s="3"/>
    </row>
    <row r="73" spans="2:6" x14ac:dyDescent="0.25">
      <c r="B73"/>
      <c r="C73"/>
      <c r="D73" s="10"/>
      <c r="E73" s="10"/>
      <c r="F73" s="3"/>
    </row>
    <row r="74" spans="2:6" x14ac:dyDescent="0.25">
      <c r="D74" s="10"/>
      <c r="E74" s="10"/>
    </row>
    <row r="75" spans="2:6" x14ac:dyDescent="0.25"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  <c r="D77" s="7"/>
      <c r="E77" s="7"/>
    </row>
    <row r="78" spans="2:6" x14ac:dyDescent="0.25">
      <c r="B78"/>
      <c r="C78"/>
    </row>
    <row r="79" spans="2:6" x14ac:dyDescent="0.25">
      <c r="B79"/>
      <c r="C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6"/>
  <sheetViews>
    <sheetView view="pageBreakPreview" zoomScale="60" workbookViewId="0">
      <selection activeCell="K42" sqref="K42"/>
    </sheetView>
  </sheetViews>
  <sheetFormatPr defaultRowHeight="15" x14ac:dyDescent="0.25"/>
  <cols>
    <col min="1" max="1" width="45.140625" customWidth="1"/>
    <col min="2" max="2" width="16.5703125" style="3" customWidth="1"/>
    <col min="3" max="3" width="19.5703125" style="3" customWidth="1"/>
    <col min="4" max="4" width="17.5703125" style="3" customWidth="1"/>
    <col min="5" max="5" width="18.42578125" style="3" customWidth="1"/>
    <col min="6" max="6" width="16.28515625" customWidth="1"/>
    <col min="7" max="7" width="14.5703125" customWidth="1"/>
    <col min="8" max="8" width="15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120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5.75" thickBot="1" x14ac:dyDescent="0.3">
      <c r="A4" s="202" t="s">
        <v>0</v>
      </c>
      <c r="B4" s="43"/>
      <c r="C4" s="43"/>
      <c r="D4" s="43"/>
      <c r="E4" s="25"/>
      <c r="F4" s="203"/>
      <c r="G4" s="203"/>
      <c r="H4" s="203"/>
      <c r="L4" s="20"/>
      <c r="M4" s="20"/>
      <c r="N4" s="20"/>
      <c r="O4" s="20"/>
    </row>
    <row r="5" spans="1:22" ht="55.5" customHeight="1" thickBot="1" x14ac:dyDescent="0.3">
      <c r="A5" s="274" t="s">
        <v>1</v>
      </c>
      <c r="B5" s="275"/>
      <c r="C5" s="276" t="s">
        <v>2</v>
      </c>
      <c r="D5" s="277" t="s">
        <v>3</v>
      </c>
      <c r="E5" s="25"/>
      <c r="F5" s="203"/>
      <c r="G5" s="203"/>
      <c r="H5" s="203"/>
      <c r="L5" s="20"/>
      <c r="M5" s="20"/>
      <c r="N5" s="20"/>
      <c r="O5" s="20"/>
    </row>
    <row r="6" spans="1:22" ht="15.75" thickBot="1" x14ac:dyDescent="0.3">
      <c r="A6" s="226" t="s">
        <v>45</v>
      </c>
      <c r="B6" s="278"/>
      <c r="C6" s="279">
        <v>1253.9000000000001</v>
      </c>
      <c r="D6" s="280">
        <v>45</v>
      </c>
      <c r="E6" s="25"/>
      <c r="F6" s="203"/>
      <c r="G6" s="203"/>
      <c r="H6" s="203"/>
      <c r="L6" s="20"/>
      <c r="M6" s="20"/>
      <c r="N6" s="20"/>
      <c r="O6" s="20"/>
    </row>
    <row r="7" spans="1:22" x14ac:dyDescent="0.25">
      <c r="A7" s="226" t="s">
        <v>46</v>
      </c>
      <c r="B7" s="281"/>
      <c r="C7" s="281">
        <v>267.8</v>
      </c>
      <c r="D7" s="282">
        <v>2</v>
      </c>
      <c r="E7" s="25"/>
      <c r="F7" s="203"/>
      <c r="G7" s="203"/>
      <c r="H7" s="203"/>
      <c r="L7" s="20"/>
      <c r="M7" s="20"/>
      <c r="N7" s="20"/>
      <c r="O7" s="20"/>
    </row>
    <row r="8" spans="1:22" ht="15.75" thickBot="1" x14ac:dyDescent="0.3">
      <c r="A8" s="206" t="s">
        <v>5</v>
      </c>
      <c r="B8" s="207"/>
      <c r="C8" s="207">
        <f>C6+C7</f>
        <v>1521.7</v>
      </c>
      <c r="D8" s="208"/>
      <c r="E8" s="25"/>
      <c r="F8" s="203"/>
      <c r="G8" s="203"/>
      <c r="H8" s="203"/>
      <c r="L8" s="20"/>
      <c r="M8" s="20"/>
      <c r="N8" s="20"/>
      <c r="O8" s="20"/>
    </row>
    <row r="9" spans="1:22" ht="15.75" thickBot="1" x14ac:dyDescent="0.3">
      <c r="A9" s="209"/>
      <c r="B9" s="210"/>
      <c r="C9" s="210"/>
      <c r="D9" s="211"/>
      <c r="E9" s="25"/>
      <c r="F9" s="203"/>
      <c r="G9" s="203"/>
      <c r="H9" s="203"/>
      <c r="L9" s="20"/>
      <c r="M9" s="20"/>
      <c r="N9" s="20"/>
      <c r="O9" s="20"/>
    </row>
    <row r="10" spans="1:22" ht="15.75" thickBot="1" x14ac:dyDescent="0.3">
      <c r="A10" s="212" t="s">
        <v>71</v>
      </c>
      <c r="B10" s="213"/>
      <c r="C10" s="213"/>
      <c r="D10" s="214" t="s">
        <v>6</v>
      </c>
      <c r="E10" s="25"/>
      <c r="F10" s="203"/>
      <c r="G10" s="203"/>
      <c r="H10" s="203"/>
      <c r="L10" s="20"/>
      <c r="M10" s="20"/>
      <c r="N10" s="20"/>
      <c r="O10" s="20"/>
    </row>
    <row r="11" spans="1:22" x14ac:dyDescent="0.25">
      <c r="A11" s="215" t="s">
        <v>7</v>
      </c>
      <c r="B11" s="216"/>
      <c r="C11" s="216"/>
      <c r="D11" s="218">
        <v>13.84</v>
      </c>
      <c r="E11" s="25"/>
      <c r="F11" s="203"/>
      <c r="G11" s="203"/>
      <c r="H11" s="203"/>
      <c r="L11" s="20"/>
      <c r="M11" s="20"/>
      <c r="N11" s="20"/>
      <c r="O11" s="20"/>
    </row>
    <row r="12" spans="1:22" x14ac:dyDescent="0.25">
      <c r="A12" s="215" t="s">
        <v>8</v>
      </c>
      <c r="B12" s="216"/>
      <c r="C12" s="216"/>
      <c r="D12" s="218">
        <v>6.6</v>
      </c>
      <c r="E12" s="25"/>
      <c r="F12" s="203"/>
      <c r="G12" s="203"/>
      <c r="H12" s="203"/>
      <c r="L12" s="20"/>
      <c r="M12" s="20"/>
      <c r="N12" s="20"/>
      <c r="O12" s="20"/>
    </row>
    <row r="13" spans="1:22" x14ac:dyDescent="0.25">
      <c r="A13" s="215" t="s">
        <v>9</v>
      </c>
      <c r="B13" s="216"/>
      <c r="C13" s="216"/>
      <c r="D13" s="217">
        <v>0.18</v>
      </c>
      <c r="E13" s="25"/>
      <c r="F13" s="203"/>
      <c r="G13" s="203"/>
      <c r="H13" s="203"/>
      <c r="L13" s="20"/>
      <c r="M13" s="20"/>
      <c r="N13" s="20"/>
      <c r="O13" s="20"/>
    </row>
    <row r="14" spans="1:22" ht="15.75" thickBot="1" x14ac:dyDescent="0.3">
      <c r="A14" s="219" t="s">
        <v>10</v>
      </c>
      <c r="B14" s="32"/>
      <c r="C14" s="32"/>
      <c r="D14" s="220">
        <v>0</v>
      </c>
      <c r="E14" s="26"/>
      <c r="F14" s="203"/>
      <c r="G14" s="203"/>
      <c r="H14" s="203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x14ac:dyDescent="0.25">
      <c r="A15" s="44"/>
      <c r="B15" s="30"/>
      <c r="C15" s="30"/>
      <c r="D15" s="30"/>
      <c r="E15" s="26"/>
      <c r="F15" s="203"/>
      <c r="G15" s="203"/>
      <c r="H15" s="203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5.75" thickBot="1" x14ac:dyDescent="0.3">
      <c r="A16" s="221" t="s">
        <v>72</v>
      </c>
      <c r="B16" s="45"/>
      <c r="C16" s="45"/>
      <c r="D16" s="45"/>
      <c r="E16" s="43"/>
      <c r="F16" s="43"/>
      <c r="G16" s="43"/>
      <c r="H16" s="43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222" t="s">
        <v>11</v>
      </c>
      <c r="B17" s="223" t="s">
        <v>73</v>
      </c>
      <c r="C17" s="224" t="s">
        <v>74</v>
      </c>
      <c r="D17" s="224" t="s">
        <v>84</v>
      </c>
      <c r="E17" s="224" t="s">
        <v>75</v>
      </c>
      <c r="F17" s="225" t="s">
        <v>76</v>
      </c>
      <c r="G17" s="47" t="s">
        <v>77</v>
      </c>
      <c r="H17" s="48" t="s">
        <v>78</v>
      </c>
      <c r="J17" s="72"/>
      <c r="L17" s="73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x14ac:dyDescent="0.25">
      <c r="A18" s="226" t="s">
        <v>12</v>
      </c>
      <c r="B18" s="283">
        <v>75582.836228910353</v>
      </c>
      <c r="C18" s="284">
        <v>252723.71999999997</v>
      </c>
      <c r="D18" s="227"/>
      <c r="E18" s="285">
        <v>236710.30140253383</v>
      </c>
      <c r="F18" s="228">
        <v>91596.254826376506</v>
      </c>
      <c r="G18" s="229">
        <v>252723.71999999997</v>
      </c>
      <c r="H18" s="230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x14ac:dyDescent="0.25">
      <c r="A19" s="205" t="s">
        <v>13</v>
      </c>
      <c r="B19" s="231">
        <v>36108.659424159334</v>
      </c>
      <c r="C19" s="286">
        <v>120518.64</v>
      </c>
      <c r="D19" s="232"/>
      <c r="E19" s="285">
        <v>113174.57599142443</v>
      </c>
      <c r="F19" s="233">
        <v>43452.723432734914</v>
      </c>
      <c r="G19" s="234">
        <v>173152.66200000001</v>
      </c>
      <c r="H19" s="230">
        <v>-52634.022000000012</v>
      </c>
      <c r="J19" s="3">
        <f>E19-G19</f>
        <v>-59978.086008575585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x14ac:dyDescent="0.25">
      <c r="A20" s="235" t="s">
        <v>15</v>
      </c>
      <c r="B20" s="236">
        <v>984.43412335295386</v>
      </c>
      <c r="C20" s="286">
        <v>3286.69</v>
      </c>
      <c r="D20" s="237"/>
      <c r="E20" s="285">
        <v>3225.6002707569119</v>
      </c>
      <c r="F20" s="236">
        <v>1045.5238525960417</v>
      </c>
      <c r="G20" s="238">
        <v>14900</v>
      </c>
      <c r="H20" s="230">
        <v>-11613.31</v>
      </c>
      <c r="J20" s="3"/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5.75" thickBot="1" x14ac:dyDescent="0.3">
      <c r="A21" s="206" t="s">
        <v>14</v>
      </c>
      <c r="B21" s="239">
        <v>-26478.35</v>
      </c>
      <c r="C21" s="240"/>
      <c r="D21" s="287">
        <v>-86835.47</v>
      </c>
      <c r="E21" s="241">
        <v>-65168.68</v>
      </c>
      <c r="F21" s="236">
        <v>-48145.140000000007</v>
      </c>
      <c r="G21" s="242"/>
      <c r="H21" s="230"/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5.75" thickBot="1" x14ac:dyDescent="0.3">
      <c r="A22" s="204" t="s">
        <v>16</v>
      </c>
      <c r="B22" s="243">
        <v>90440.550223577346</v>
      </c>
      <c r="C22" s="244">
        <v>589507.97000000009</v>
      </c>
      <c r="D22" s="244">
        <v>-94290.299999999988</v>
      </c>
      <c r="E22" s="244">
        <v>522594.77233528491</v>
      </c>
      <c r="F22" s="244">
        <v>63063.447888292489</v>
      </c>
      <c r="G22" s="244">
        <v>550548.5</v>
      </c>
      <c r="H22" s="245">
        <v>-55330.829999999965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x14ac:dyDescent="0.25">
      <c r="A23" s="49" t="s">
        <v>17</v>
      </c>
      <c r="B23" s="246">
        <v>51215.502269106008</v>
      </c>
      <c r="C23" s="284">
        <v>408962.14</v>
      </c>
      <c r="D23" s="288">
        <v>-4200.3500000000004</v>
      </c>
      <c r="E23" s="289">
        <v>376480.05801247642</v>
      </c>
      <c r="F23" s="247">
        <v>79497.234256629599</v>
      </c>
      <c r="G23" s="290">
        <v>355779.08</v>
      </c>
      <c r="H23" s="230">
        <v>48982.710000000021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x14ac:dyDescent="0.25">
      <c r="A24" s="33" t="s">
        <v>18</v>
      </c>
      <c r="B24" s="248">
        <v>25421.298636875636</v>
      </c>
      <c r="C24" s="249">
        <v>114606.52</v>
      </c>
      <c r="D24" s="248">
        <v>-78881.51999999999</v>
      </c>
      <c r="E24" s="250">
        <v>91490.689585238462</v>
      </c>
      <c r="F24" s="248">
        <v>-30344.390948362823</v>
      </c>
      <c r="G24" s="251">
        <v>127538.24000000001</v>
      </c>
      <c r="H24" s="230">
        <v>-91813.239999999991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x14ac:dyDescent="0.25">
      <c r="A25" s="33" t="s">
        <v>19</v>
      </c>
      <c r="B25" s="248">
        <v>3854.4619582804394</v>
      </c>
      <c r="C25" s="286">
        <v>21603.38</v>
      </c>
      <c r="D25" s="286">
        <v>-6695.8700000000008</v>
      </c>
      <c r="E25" s="286">
        <v>17240.689598734425</v>
      </c>
      <c r="F25" s="248">
        <v>1521.282359546014</v>
      </c>
      <c r="G25" s="291">
        <v>22358.86</v>
      </c>
      <c r="H25" s="230">
        <v>-7451.35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x14ac:dyDescent="0.25">
      <c r="A26" s="33" t="s">
        <v>20</v>
      </c>
      <c r="B26" s="248">
        <v>9949.2873593152672</v>
      </c>
      <c r="C26" s="287">
        <v>44335.93</v>
      </c>
      <c r="D26" s="286">
        <v>-4512.5599999999995</v>
      </c>
      <c r="E26" s="286">
        <v>37383.335138835573</v>
      </c>
      <c r="F26" s="248">
        <v>12389.322220479698</v>
      </c>
      <c r="G26" s="291">
        <v>44872.32</v>
      </c>
      <c r="H26" s="230">
        <v>-5048.9499999999971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x14ac:dyDescent="0.25">
      <c r="A27" s="205" t="s">
        <v>31</v>
      </c>
      <c r="B27" s="252"/>
      <c r="C27" s="232"/>
      <c r="D27" s="232"/>
      <c r="E27" s="232"/>
      <c r="F27" s="248">
        <v>0</v>
      </c>
      <c r="G27" s="251"/>
      <c r="H27" s="230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x14ac:dyDescent="0.25">
      <c r="A28" s="205" t="s">
        <v>21</v>
      </c>
      <c r="B28" s="233">
        <v>2787.12</v>
      </c>
      <c r="C28" s="253"/>
      <c r="D28" s="254"/>
      <c r="E28" s="253"/>
      <c r="F28" s="248">
        <v>2787.12</v>
      </c>
      <c r="G28" s="252"/>
      <c r="H28" s="230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5.75" hidden="1" thickBot="1" x14ac:dyDescent="0.3">
      <c r="A29" s="206" t="s">
        <v>22</v>
      </c>
      <c r="B29" s="255">
        <v>0</v>
      </c>
      <c r="C29" s="255"/>
      <c r="D29" s="255"/>
      <c r="E29" s="255"/>
      <c r="F29" s="256">
        <v>0</v>
      </c>
      <c r="G29" s="46"/>
      <c r="H29" s="50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5.75" thickBot="1" x14ac:dyDescent="0.3">
      <c r="A30" s="257" t="s">
        <v>23</v>
      </c>
      <c r="B30" s="258">
        <v>179425.24999999997</v>
      </c>
      <c r="C30" s="258">
        <v>966037.02</v>
      </c>
      <c r="D30" s="258">
        <v>-181125.77</v>
      </c>
      <c r="E30" s="258">
        <v>810536.57000000007</v>
      </c>
      <c r="F30" s="258">
        <v>153799.92999999991</v>
      </c>
      <c r="G30" s="258">
        <v>991324.88199999998</v>
      </c>
      <c r="H30" s="259">
        <v>-119578.16199999998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260"/>
      <c r="B31" s="261"/>
      <c r="C31" s="216"/>
      <c r="D31" s="216"/>
      <c r="E31" s="216"/>
      <c r="F31" s="25"/>
      <c r="G31" s="15"/>
      <c r="H31" s="15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x14ac:dyDescent="0.25">
      <c r="A32" s="260"/>
      <c r="B32" s="261"/>
      <c r="C32" s="216"/>
      <c r="D32" s="262"/>
      <c r="E32" s="216"/>
      <c r="F32" s="26"/>
      <c r="G32" s="27"/>
      <c r="H32" s="27"/>
      <c r="I32" s="27"/>
      <c r="J32" s="15"/>
    </row>
    <row r="33" spans="1:8" x14ac:dyDescent="0.25">
      <c r="A33" s="260"/>
      <c r="B33" s="263"/>
      <c r="C33" s="216"/>
      <c r="D33" s="216"/>
      <c r="E33" s="216"/>
      <c r="F33" s="264"/>
      <c r="G33" s="203"/>
      <c r="H33" s="203"/>
    </row>
    <row r="34" spans="1:8" ht="15.75" thickBot="1" x14ac:dyDescent="0.3">
      <c r="A34" s="260" t="s">
        <v>272</v>
      </c>
      <c r="B34" s="264"/>
      <c r="C34" s="264"/>
      <c r="D34" s="216"/>
      <c r="E34" s="216"/>
      <c r="F34" s="264"/>
      <c r="G34" s="203"/>
      <c r="H34" s="203"/>
    </row>
    <row r="35" spans="1:8" ht="75" x14ac:dyDescent="0.25">
      <c r="A35" s="265" t="s">
        <v>33</v>
      </c>
      <c r="B35" s="266" t="s">
        <v>25</v>
      </c>
      <c r="C35" s="267" t="s">
        <v>29</v>
      </c>
      <c r="D35" s="216"/>
      <c r="E35" s="216"/>
      <c r="F35" s="264"/>
      <c r="G35" s="203"/>
      <c r="H35" s="203"/>
    </row>
    <row r="36" spans="1:8" x14ac:dyDescent="0.25">
      <c r="A36" s="268" t="s">
        <v>26</v>
      </c>
      <c r="B36" s="269" t="s">
        <v>24</v>
      </c>
      <c r="C36" s="270" t="s">
        <v>24</v>
      </c>
      <c r="D36" s="216"/>
      <c r="E36" s="216"/>
      <c r="F36" s="264"/>
      <c r="G36" s="203"/>
      <c r="H36" s="203"/>
    </row>
    <row r="37" spans="1:8" x14ac:dyDescent="0.25">
      <c r="A37" s="271" t="s">
        <v>60</v>
      </c>
      <c r="B37" s="272"/>
      <c r="C37" s="90">
        <f>80308.51*1.1</f>
        <v>88339.361000000004</v>
      </c>
      <c r="D37" s="216"/>
      <c r="E37" s="216"/>
      <c r="F37" s="264"/>
      <c r="G37" s="203"/>
      <c r="H37" s="203"/>
    </row>
    <row r="38" spans="1:8" x14ac:dyDescent="0.25">
      <c r="A38" s="91" t="s">
        <v>121</v>
      </c>
      <c r="B38" s="272"/>
      <c r="C38" s="88">
        <v>5400</v>
      </c>
      <c r="D38" s="216"/>
      <c r="E38" s="264"/>
      <c r="F38" s="203"/>
      <c r="G38" s="203"/>
      <c r="H38" s="203"/>
    </row>
    <row r="39" spans="1:8" x14ac:dyDescent="0.25">
      <c r="A39" s="91" t="s">
        <v>122</v>
      </c>
      <c r="B39" s="272"/>
      <c r="C39" s="88">
        <f>2860*1.1</f>
        <v>3146.0000000000005</v>
      </c>
      <c r="D39" s="292"/>
      <c r="E39" s="293"/>
      <c r="F39" s="294"/>
      <c r="G39" s="15"/>
      <c r="H39" s="203"/>
    </row>
    <row r="40" spans="1:8" x14ac:dyDescent="0.25">
      <c r="A40" s="91" t="s">
        <v>59</v>
      </c>
      <c r="B40" s="272"/>
      <c r="C40" s="88">
        <f>(41528.05+27805.86)*1.1</f>
        <v>76267.301000000007</v>
      </c>
      <c r="D40" s="292"/>
      <c r="E40" s="293"/>
      <c r="F40" s="294"/>
      <c r="G40" s="15"/>
      <c r="H40" s="203"/>
    </row>
    <row r="41" spans="1:8" ht="15.75" thickBot="1" x14ac:dyDescent="0.3">
      <c r="A41" s="206" t="s">
        <v>5</v>
      </c>
      <c r="B41" s="207">
        <f>B37</f>
        <v>0</v>
      </c>
      <c r="C41" s="89">
        <f>SUM(C37:C40)</f>
        <v>173152.66200000001</v>
      </c>
      <c r="D41" s="210"/>
      <c r="E41" s="210"/>
      <c r="F41" s="210"/>
      <c r="G41" s="15"/>
      <c r="H41" s="203"/>
    </row>
    <row r="42" spans="1:8" x14ac:dyDescent="0.25">
      <c r="A42" s="295"/>
      <c r="B42" s="296"/>
      <c r="C42" s="297"/>
      <c r="D42" s="298"/>
      <c r="E42" s="299"/>
      <c r="F42" s="300"/>
      <c r="G42" s="15"/>
      <c r="H42" s="203"/>
    </row>
    <row r="43" spans="1:8" ht="30" x14ac:dyDescent="0.25">
      <c r="A43" s="301" t="s">
        <v>288</v>
      </c>
      <c r="B43" s="264">
        <f>57880+75424.49+E19-G19</f>
        <v>73326.40399142442</v>
      </c>
      <c r="C43" s="297"/>
      <c r="D43" s="298"/>
      <c r="E43" s="299"/>
      <c r="F43" s="300"/>
      <c r="G43" s="15"/>
      <c r="H43" s="203"/>
    </row>
    <row r="44" spans="1:8" hidden="1" x14ac:dyDescent="0.25">
      <c r="A44" s="295" t="s">
        <v>118</v>
      </c>
      <c r="B44" s="296">
        <f>57880.78+H19</f>
        <v>5246.7579999999871</v>
      </c>
      <c r="C44" s="297" t="s">
        <v>24</v>
      </c>
      <c r="D44" s="298"/>
      <c r="E44" s="299"/>
      <c r="F44" s="300"/>
      <c r="G44" s="15"/>
      <c r="H44" s="203"/>
    </row>
    <row r="45" spans="1:8" x14ac:dyDescent="0.25">
      <c r="A45" s="295"/>
      <c r="B45" s="296"/>
      <c r="C45" s="297"/>
      <c r="D45" s="298"/>
      <c r="E45" s="299"/>
      <c r="F45" s="300"/>
      <c r="G45" s="15"/>
      <c r="H45" s="203"/>
    </row>
    <row r="46" spans="1:8" x14ac:dyDescent="0.25">
      <c r="A46" s="273" t="s">
        <v>69</v>
      </c>
      <c r="B46" s="28"/>
      <c r="C46" s="302"/>
      <c r="D46" s="298"/>
      <c r="E46" s="299"/>
      <c r="F46" s="300"/>
      <c r="G46" s="15"/>
      <c r="H46" s="203"/>
    </row>
    <row r="47" spans="1:8" x14ac:dyDescent="0.25">
      <c r="A47" s="303"/>
      <c r="B47" s="28"/>
      <c r="C47" s="302"/>
      <c r="D47" s="298"/>
      <c r="E47" s="299"/>
      <c r="F47" s="300"/>
      <c r="G47" s="15"/>
      <c r="H47" s="203"/>
    </row>
    <row r="48" spans="1:8" x14ac:dyDescent="0.25">
      <c r="A48" s="273" t="s">
        <v>53</v>
      </c>
      <c r="B48" s="28" t="s">
        <v>54</v>
      </c>
      <c r="C48" s="304"/>
      <c r="D48" s="298"/>
      <c r="E48" s="299"/>
      <c r="F48" s="300"/>
      <c r="G48" s="15"/>
      <c r="H48" s="203"/>
    </row>
    <row r="49" spans="1:8" x14ac:dyDescent="0.25">
      <c r="A49" s="273"/>
      <c r="B49" s="28"/>
      <c r="C49" s="304"/>
      <c r="D49" s="305"/>
      <c r="E49" s="299"/>
      <c r="F49" s="300"/>
      <c r="G49" s="15"/>
      <c r="H49" s="203"/>
    </row>
    <row r="50" spans="1:8" x14ac:dyDescent="0.25">
      <c r="A50" s="306"/>
      <c r="B50" s="307"/>
      <c r="C50" s="304"/>
      <c r="D50" s="305"/>
      <c r="E50" s="299"/>
      <c r="F50" s="300"/>
      <c r="G50" s="15"/>
      <c r="H50" s="203"/>
    </row>
    <row r="51" spans="1:8" x14ac:dyDescent="0.25">
      <c r="A51" s="306" t="s">
        <v>27</v>
      </c>
      <c r="B51" s="28" t="s">
        <v>54</v>
      </c>
      <c r="C51" s="302"/>
      <c r="D51" s="308" t="s">
        <v>28</v>
      </c>
      <c r="E51" s="309"/>
      <c r="F51" s="203"/>
      <c r="G51" s="203"/>
      <c r="H51" s="203"/>
    </row>
    <row r="52" spans="1:8" x14ac:dyDescent="0.25">
      <c r="A52" s="6"/>
      <c r="B52" s="7"/>
      <c r="C52" s="10"/>
      <c r="D52" s="35"/>
      <c r="E52" s="8"/>
    </row>
    <row r="53" spans="1:8" x14ac:dyDescent="0.25">
      <c r="A53" s="6"/>
      <c r="B53" s="7"/>
      <c r="C53" s="10"/>
      <c r="D53" s="34"/>
      <c r="E53" s="8"/>
    </row>
    <row r="54" spans="1:8" x14ac:dyDescent="0.25">
      <c r="A54" s="13"/>
      <c r="B54" s="14"/>
      <c r="C54" s="10"/>
      <c r="D54" s="29"/>
      <c r="E54" s="10"/>
    </row>
    <row r="55" spans="1:8" x14ac:dyDescent="0.25">
      <c r="C55" s="10"/>
      <c r="E55" s="10"/>
    </row>
    <row r="56" spans="1:8" x14ac:dyDescent="0.25">
      <c r="A56" s="6"/>
      <c r="B56" s="7"/>
      <c r="C56" s="8"/>
      <c r="D56" s="11"/>
      <c r="E56" s="10"/>
    </row>
    <row r="57" spans="1:8" x14ac:dyDescent="0.25">
      <c r="A57" s="4"/>
      <c r="B57" s="5"/>
      <c r="C57" s="10"/>
      <c r="D57" s="11"/>
      <c r="E57" s="10"/>
      <c r="F57" s="12"/>
    </row>
    <row r="58" spans="1:8" x14ac:dyDescent="0.25">
      <c r="A58" s="6"/>
      <c r="B58" s="7"/>
      <c r="C58" s="10"/>
      <c r="D58" s="11"/>
      <c r="E58" s="10"/>
    </row>
    <row r="59" spans="1:8" x14ac:dyDescent="0.25">
      <c r="A59" s="6"/>
      <c r="B59" s="7"/>
      <c r="C59" s="7"/>
      <c r="D59" s="9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8"/>
      <c r="E61" s="8"/>
      <c r="F61" s="3"/>
    </row>
    <row r="62" spans="1:8" x14ac:dyDescent="0.25">
      <c r="A62" s="6"/>
      <c r="B62" s="7"/>
      <c r="D62" s="8"/>
      <c r="E62" s="10"/>
    </row>
    <row r="63" spans="1:8" x14ac:dyDescent="0.25">
      <c r="D63" s="8"/>
      <c r="E63" s="8"/>
    </row>
    <row r="64" spans="1:8" x14ac:dyDescent="0.25">
      <c r="D64" s="10"/>
      <c r="E64" s="10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8"/>
      <c r="E70" s="8"/>
      <c r="F70" s="3"/>
    </row>
    <row r="71" spans="2:6" x14ac:dyDescent="0.25">
      <c r="B71"/>
      <c r="C71"/>
      <c r="D71" s="10"/>
      <c r="E71" s="10"/>
      <c r="F71" s="3"/>
    </row>
    <row r="72" spans="2:6" x14ac:dyDescent="0.25">
      <c r="D72" s="10"/>
      <c r="E72" s="10"/>
    </row>
    <row r="73" spans="2:6" x14ac:dyDescent="0.25"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</row>
    <row r="77" spans="2:6" x14ac:dyDescent="0.25">
      <c r="B77"/>
      <c r="C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9"/>
  <sheetViews>
    <sheetView view="pageBreakPreview" zoomScale="60" workbookViewId="0">
      <selection activeCell="E47" sqref="E47"/>
    </sheetView>
  </sheetViews>
  <sheetFormatPr defaultRowHeight="15" x14ac:dyDescent="0.25"/>
  <cols>
    <col min="1" max="1" width="44" customWidth="1"/>
    <col min="2" max="2" width="16.5703125" style="3" customWidth="1"/>
    <col min="3" max="3" width="19.5703125" style="3" customWidth="1"/>
    <col min="4" max="4" width="19.28515625" style="3" customWidth="1"/>
    <col min="5" max="5" width="18.42578125" style="3" customWidth="1"/>
    <col min="6" max="6" width="20" customWidth="1"/>
    <col min="7" max="7" width="16.28515625" customWidth="1"/>
    <col min="8" max="8" width="16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123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0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50</v>
      </c>
      <c r="B6" s="108"/>
      <c r="C6" s="108">
        <v>1674.1</v>
      </c>
      <c r="D6" s="109">
        <v>34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1674.1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14.5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12.99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74"/>
      <c r="L17" s="73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41349.269238545392</v>
      </c>
      <c r="C18" s="901">
        <v>288127.2</v>
      </c>
      <c r="D18" s="387"/>
      <c r="E18" s="902">
        <v>281721.28525222302</v>
      </c>
      <c r="F18" s="321">
        <v>47755.183986322372</v>
      </c>
      <c r="G18" s="141">
        <v>288127.2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37034.506972518888</v>
      </c>
      <c r="C19" s="324">
        <v>260958.96</v>
      </c>
      <c r="D19" s="338"/>
      <c r="E19" s="902">
        <v>255241.96689847353</v>
      </c>
      <c r="F19" s="143">
        <v>42751.500074045354</v>
      </c>
      <c r="G19" s="323">
        <v>162023.24599999998</v>
      </c>
      <c r="H19" s="189">
        <v>98935.714000000007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24"/>
      <c r="D20" s="146"/>
      <c r="E20" s="325"/>
      <c r="F20" s="149">
        <v>0</v>
      </c>
      <c r="G20" s="326">
        <v>9100</v>
      </c>
      <c r="H20" s="189">
        <v>-9100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190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22756.183788935654</v>
      </c>
      <c r="C22" s="153">
        <v>335231.33</v>
      </c>
      <c r="D22" s="153">
        <v>-21880.87</v>
      </c>
      <c r="E22" s="153">
        <v>319940.03784930345</v>
      </c>
      <c r="F22" s="153">
        <v>16166.605939632203</v>
      </c>
      <c r="G22" s="153">
        <v>282167.99000000005</v>
      </c>
      <c r="H22" s="191">
        <v>31182.469999999994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5773.1054896482801</v>
      </c>
      <c r="C23" s="903">
        <v>228694.38</v>
      </c>
      <c r="D23" s="366"/>
      <c r="E23" s="903">
        <v>227829.20716426111</v>
      </c>
      <c r="F23" s="156">
        <v>6638.2783253871603</v>
      </c>
      <c r="G23" s="333">
        <v>230689.32</v>
      </c>
      <c r="H23" s="189">
        <v>-1994.9400000000023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5465.0880787468996</v>
      </c>
      <c r="C24" s="192">
        <v>43564.47</v>
      </c>
      <c r="D24" s="158">
        <v>-12002.83</v>
      </c>
      <c r="E24" s="334">
        <v>41250.041158877793</v>
      </c>
      <c r="F24" s="158">
        <v>-4223.3130801308944</v>
      </c>
      <c r="G24" s="145">
        <v>20819.189999999999</v>
      </c>
      <c r="H24" s="189">
        <v>10742.45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4946.3451838555166</v>
      </c>
      <c r="C25" s="324">
        <v>17496.28</v>
      </c>
      <c r="D25" s="324">
        <v>-3939</v>
      </c>
      <c r="E25" s="902">
        <v>13147.886297100604</v>
      </c>
      <c r="F25" s="158">
        <v>5355.7388867549107</v>
      </c>
      <c r="G25" s="145">
        <v>12889.02</v>
      </c>
      <c r="H25" s="189">
        <v>668.2599999999984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6571.6450366849549</v>
      </c>
      <c r="C26" s="190">
        <v>45476.2</v>
      </c>
      <c r="D26" s="324">
        <v>-5939.04</v>
      </c>
      <c r="E26" s="902">
        <v>37712.903229063922</v>
      </c>
      <c r="F26" s="158">
        <v>8395.9018076210268</v>
      </c>
      <c r="G26" s="145">
        <v>17770.46</v>
      </c>
      <c r="H26" s="189">
        <v>21766.699999999997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38"/>
      <c r="D27" s="338"/>
      <c r="E27" s="338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39"/>
      <c r="D28" s="340"/>
      <c r="E28" s="339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101139.95999999993</v>
      </c>
      <c r="C30" s="166">
        <v>884317.49</v>
      </c>
      <c r="D30" s="166">
        <v>-21880.87</v>
      </c>
      <c r="E30" s="166">
        <v>856903.29</v>
      </c>
      <c r="F30" s="166">
        <v>106673.28999999994</v>
      </c>
      <c r="G30" s="166">
        <v>741418.43599999999</v>
      </c>
      <c r="H30" s="193">
        <v>121018.18400000001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86</v>
      </c>
      <c r="B37" s="341"/>
      <c r="C37" s="342">
        <f>9000*1.1</f>
        <v>9900</v>
      </c>
      <c r="D37" s="182"/>
      <c r="E37" s="122"/>
      <c r="F37" s="172"/>
      <c r="G37" s="100"/>
      <c r="H37" s="100"/>
    </row>
    <row r="38" spans="1:8" ht="15.75" x14ac:dyDescent="0.25">
      <c r="A38" s="179" t="s">
        <v>55</v>
      </c>
      <c r="B38" s="341"/>
      <c r="C38" s="342">
        <f>17120*1.1</f>
        <v>18832</v>
      </c>
      <c r="D38" s="182"/>
      <c r="E38" s="122"/>
      <c r="F38" s="172"/>
      <c r="G38" s="100"/>
      <c r="H38" s="100"/>
    </row>
    <row r="39" spans="1:8" ht="15.75" x14ac:dyDescent="0.25">
      <c r="A39" s="179" t="s">
        <v>124</v>
      </c>
      <c r="B39" s="341"/>
      <c r="C39" s="342">
        <f>1510.4*1.1</f>
        <v>1661.4400000000003</v>
      </c>
      <c r="D39" s="182"/>
      <c r="E39" s="172"/>
      <c r="F39" s="100"/>
      <c r="G39" s="100"/>
      <c r="H39" s="100"/>
    </row>
    <row r="40" spans="1:8" ht="15.75" x14ac:dyDescent="0.25">
      <c r="A40" s="179" t="s">
        <v>125</v>
      </c>
      <c r="B40" s="341"/>
      <c r="C40" s="342">
        <f>1085.4*1.1</f>
        <v>1193.9400000000003</v>
      </c>
      <c r="D40" s="182"/>
      <c r="E40" s="881"/>
      <c r="F40" s="524"/>
      <c r="G40" s="169"/>
      <c r="H40" s="100"/>
    </row>
    <row r="41" spans="1:8" ht="15.75" x14ac:dyDescent="0.25">
      <c r="A41" s="179" t="s">
        <v>126</v>
      </c>
      <c r="B41" s="341"/>
      <c r="C41" s="342">
        <f>5026.8*1.1</f>
        <v>5529.4800000000005</v>
      </c>
      <c r="D41" s="182"/>
      <c r="E41" s="881"/>
      <c r="F41" s="524"/>
      <c r="G41" s="169"/>
      <c r="H41" s="100"/>
    </row>
    <row r="42" spans="1:8" ht="15.75" x14ac:dyDescent="0.25">
      <c r="A42" s="179" t="s">
        <v>127</v>
      </c>
      <c r="B42" s="341"/>
      <c r="C42" s="342">
        <f>25100*1.1</f>
        <v>27610.000000000004</v>
      </c>
      <c r="D42" s="182"/>
      <c r="E42" s="881"/>
      <c r="F42" s="524"/>
      <c r="G42" s="169"/>
      <c r="H42" s="100"/>
    </row>
    <row r="43" spans="1:8" ht="15.75" x14ac:dyDescent="0.25">
      <c r="A43" s="904" t="s">
        <v>128</v>
      </c>
      <c r="B43" s="905"/>
      <c r="C43" s="412">
        <f>88451.26*1.1</f>
        <v>97296.385999999999</v>
      </c>
      <c r="D43" s="182"/>
      <c r="E43" s="881"/>
      <c r="F43" s="524"/>
      <c r="G43" s="169"/>
      <c r="H43" s="100"/>
    </row>
    <row r="44" spans="1:8" ht="16.5" thickBot="1" x14ac:dyDescent="0.3">
      <c r="A44" s="113" t="s">
        <v>5</v>
      </c>
      <c r="B44" s="114">
        <f>B37</f>
        <v>0</v>
      </c>
      <c r="C44" s="343">
        <f>SUM(C37:C43)</f>
        <v>162023.24599999998</v>
      </c>
      <c r="D44" s="116"/>
      <c r="E44" s="116"/>
      <c r="F44" s="116"/>
      <c r="G44" s="169"/>
      <c r="H44" s="100"/>
    </row>
    <row r="45" spans="1:8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15.75" x14ac:dyDescent="0.25">
      <c r="A47" s="92" t="s">
        <v>118</v>
      </c>
      <c r="B47" s="93">
        <f>-30028.75+168623.07+E19-G19</f>
        <v>231813.04089847353</v>
      </c>
      <c r="C47" s="94" t="s">
        <v>24</v>
      </c>
      <c r="D47" s="184"/>
      <c r="E47" s="185"/>
      <c r="F47" s="186"/>
      <c r="G47" s="169"/>
      <c r="H47" s="100"/>
    </row>
    <row r="48" spans="1:8" ht="15.75" x14ac:dyDescent="0.25">
      <c r="A48" s="92"/>
      <c r="B48" s="93"/>
      <c r="C48" s="94"/>
      <c r="D48" s="184"/>
      <c r="E48" s="185"/>
      <c r="F48" s="186"/>
      <c r="G48" s="169"/>
      <c r="H48" s="100"/>
    </row>
    <row r="49" spans="1:8" ht="15.75" x14ac:dyDescent="0.25">
      <c r="A49" s="197" t="s">
        <v>69</v>
      </c>
      <c r="B49" s="40"/>
      <c r="C49" s="41"/>
      <c r="D49" s="184"/>
      <c r="E49" s="185"/>
      <c r="F49" s="186"/>
      <c r="G49" s="169"/>
      <c r="H49" s="100"/>
    </row>
    <row r="50" spans="1:8" ht="15.75" x14ac:dyDescent="0.25">
      <c r="A50" s="198"/>
      <c r="B50" s="40"/>
      <c r="C50" s="41"/>
      <c r="D50" s="184"/>
      <c r="E50" s="185"/>
      <c r="F50" s="186"/>
      <c r="G50" s="169"/>
      <c r="H50" s="100"/>
    </row>
    <row r="51" spans="1:8" ht="15.75" x14ac:dyDescent="0.25">
      <c r="A51" s="197" t="s">
        <v>53</v>
      </c>
      <c r="B51" s="40" t="s">
        <v>54</v>
      </c>
      <c r="C51" s="199"/>
      <c r="D51" s="184"/>
      <c r="E51" s="185"/>
      <c r="F51" s="186"/>
      <c r="G51" s="169"/>
      <c r="H51" s="100"/>
    </row>
    <row r="52" spans="1:8" x14ac:dyDescent="0.25">
      <c r="A52" s="31"/>
      <c r="B52" s="28"/>
      <c r="C52" s="36"/>
      <c r="D52" s="19"/>
      <c r="E52" s="17"/>
      <c r="F52" s="18"/>
      <c r="G52" s="15"/>
    </row>
    <row r="53" spans="1:8" x14ac:dyDescent="0.25">
      <c r="A53" s="37"/>
      <c r="B53" s="38"/>
      <c r="C53" s="36"/>
      <c r="D53" s="19"/>
      <c r="E53" s="17"/>
      <c r="F53" s="18"/>
      <c r="G53" s="15"/>
    </row>
    <row r="54" spans="1:8" ht="15.75" x14ac:dyDescent="0.25">
      <c r="A54" s="39" t="s">
        <v>27</v>
      </c>
      <c r="B54" s="40" t="s">
        <v>54</v>
      </c>
      <c r="C54" s="41"/>
      <c r="D54" s="42" t="s">
        <v>28</v>
      </c>
      <c r="E54" s="10"/>
    </row>
    <row r="55" spans="1:8" x14ac:dyDescent="0.25">
      <c r="A55" s="6"/>
      <c r="B55" s="7"/>
      <c r="C55" s="10"/>
      <c r="D55" s="35"/>
      <c r="E55" s="8"/>
    </row>
    <row r="56" spans="1:8" x14ac:dyDescent="0.25">
      <c r="A56" s="6"/>
      <c r="B56" s="7"/>
      <c r="C56" s="10"/>
      <c r="D56" s="34"/>
      <c r="E56" s="8"/>
    </row>
    <row r="57" spans="1:8" x14ac:dyDescent="0.25">
      <c r="A57" s="13"/>
      <c r="B57" s="14"/>
      <c r="C57" s="10"/>
      <c r="D57" s="29"/>
      <c r="E57" s="10"/>
    </row>
    <row r="58" spans="1:8" x14ac:dyDescent="0.25">
      <c r="C58" s="10"/>
      <c r="E58" s="10"/>
    </row>
    <row r="59" spans="1:8" x14ac:dyDescent="0.25">
      <c r="A59" s="6"/>
      <c r="B59" s="7"/>
      <c r="C59" s="8"/>
      <c r="D59" s="11"/>
      <c r="E59" s="10"/>
    </row>
    <row r="60" spans="1:8" x14ac:dyDescent="0.25">
      <c r="A60" s="4"/>
      <c r="B60" s="5"/>
      <c r="C60" s="10"/>
      <c r="D60" s="11"/>
      <c r="E60" s="10"/>
      <c r="F60" s="12"/>
    </row>
    <row r="61" spans="1:8" x14ac:dyDescent="0.25">
      <c r="A61" s="6"/>
      <c r="B61" s="7"/>
      <c r="C61" s="10"/>
      <c r="D61" s="11"/>
      <c r="E61" s="10"/>
    </row>
    <row r="62" spans="1:8" x14ac:dyDescent="0.25">
      <c r="A62" s="6"/>
      <c r="B62" s="7"/>
      <c r="C62" s="7"/>
      <c r="D62" s="9"/>
      <c r="E62" s="10"/>
    </row>
    <row r="63" spans="1:8" x14ac:dyDescent="0.25">
      <c r="A63" s="6"/>
      <c r="B63" s="7"/>
      <c r="C63" s="7"/>
      <c r="D63" s="9"/>
      <c r="E63" s="10"/>
    </row>
    <row r="64" spans="1:8" x14ac:dyDescent="0.25">
      <c r="A64" s="6"/>
      <c r="B64" s="7"/>
      <c r="C64" s="7"/>
      <c r="D64" s="8"/>
      <c r="E64" s="8"/>
      <c r="F64" s="3"/>
    </row>
    <row r="65" spans="1:6" x14ac:dyDescent="0.25">
      <c r="A65" s="6"/>
      <c r="B65" s="7"/>
      <c r="D65" s="8"/>
      <c r="E65" s="10"/>
    </row>
    <row r="66" spans="1:6" x14ac:dyDescent="0.25">
      <c r="D66" s="8"/>
      <c r="E66" s="8"/>
    </row>
    <row r="67" spans="1:6" x14ac:dyDescent="0.25">
      <c r="D67" s="10"/>
      <c r="E67" s="10"/>
    </row>
    <row r="68" spans="1:6" x14ac:dyDescent="0.25">
      <c r="D68" s="10"/>
      <c r="E68" s="10"/>
    </row>
    <row r="69" spans="1:6" x14ac:dyDescent="0.25">
      <c r="D69" s="10"/>
      <c r="E69" s="10"/>
    </row>
    <row r="70" spans="1:6" x14ac:dyDescent="0.25">
      <c r="B70"/>
      <c r="C70"/>
      <c r="D70" s="10"/>
      <c r="E70" s="10"/>
    </row>
    <row r="71" spans="1:6" x14ac:dyDescent="0.25">
      <c r="B71"/>
      <c r="C71"/>
      <c r="D71" s="10"/>
      <c r="E71" s="10"/>
    </row>
    <row r="72" spans="1:6" x14ac:dyDescent="0.25">
      <c r="B72"/>
      <c r="C72"/>
      <c r="D72" s="10"/>
      <c r="E72" s="10"/>
    </row>
    <row r="73" spans="1:6" x14ac:dyDescent="0.25">
      <c r="B73"/>
      <c r="C73"/>
      <c r="D73" s="8"/>
      <c r="E73" s="8"/>
      <c r="F73" s="3"/>
    </row>
    <row r="74" spans="1:6" x14ac:dyDescent="0.25">
      <c r="B74"/>
      <c r="C74"/>
      <c r="D74" s="10"/>
      <c r="E74" s="10"/>
      <c r="F74" s="3"/>
    </row>
    <row r="75" spans="1:6" x14ac:dyDescent="0.25">
      <c r="D75" s="10"/>
      <c r="E75" s="10"/>
    </row>
    <row r="76" spans="1:6" x14ac:dyDescent="0.25">
      <c r="D76" s="7"/>
      <c r="E76" s="7"/>
    </row>
    <row r="77" spans="1:6" x14ac:dyDescent="0.25">
      <c r="B77"/>
      <c r="C77"/>
      <c r="D77" s="7"/>
      <c r="E77" s="7"/>
    </row>
    <row r="78" spans="1:6" x14ac:dyDescent="0.25">
      <c r="B78"/>
      <c r="C78"/>
      <c r="D78" s="7"/>
      <c r="E78" s="7"/>
    </row>
    <row r="79" spans="1:6" x14ac:dyDescent="0.25">
      <c r="B79"/>
      <c r="C79"/>
    </row>
    <row r="80" spans="1:6" x14ac:dyDescent="0.25">
      <c r="B80"/>
      <c r="C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D95"/>
      <c r="E95"/>
    </row>
    <row r="96" spans="2:5" x14ac:dyDescent="0.25"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1"/>
  <sheetViews>
    <sheetView view="pageBreakPreview" topLeftCell="A7" zoomScale="75" zoomScaleSheetLayoutView="75" workbookViewId="0">
      <selection activeCell="F34" sqref="F34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8" style="3" customWidth="1"/>
    <col min="5" max="5" width="17.28515625" style="3" customWidth="1"/>
    <col min="6" max="6" width="16.28515625" customWidth="1"/>
    <col min="7" max="7" width="17" customWidth="1"/>
    <col min="8" max="8" width="17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83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6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5.75" x14ac:dyDescent="0.25">
      <c r="A6" s="110" t="s">
        <v>42</v>
      </c>
      <c r="B6" s="345"/>
      <c r="C6" s="383">
        <v>1415.5</v>
      </c>
      <c r="D6" s="474">
        <v>52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1415.5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475" t="s">
        <v>43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861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L17" s="20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862">
        <v>49362.76999999999</v>
      </c>
      <c r="C18" s="947">
        <v>229782.61</v>
      </c>
      <c r="D18" s="948"/>
      <c r="E18" s="947">
        <v>186811.03</v>
      </c>
      <c r="F18" s="914">
        <v>92334.35</v>
      </c>
      <c r="G18" s="492">
        <v>229782.61</v>
      </c>
      <c r="H18" s="949">
        <v>0</v>
      </c>
      <c r="L18" s="20"/>
      <c r="M18" s="20"/>
      <c r="N18" s="20"/>
      <c r="O18" s="20"/>
      <c r="P18" s="6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188">
        <v>0</v>
      </c>
      <c r="C19" s="864">
        <v>0</v>
      </c>
      <c r="D19" s="864"/>
      <c r="E19" s="864">
        <v>0</v>
      </c>
      <c r="F19" s="188">
        <v>0</v>
      </c>
      <c r="G19" s="141">
        <v>0</v>
      </c>
      <c r="H19" s="310">
        <v>0</v>
      </c>
      <c r="L19" s="20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6.5" thickBot="1" x14ac:dyDescent="0.3">
      <c r="A20" s="144" t="s">
        <v>15</v>
      </c>
      <c r="B20" s="322">
        <v>0</v>
      </c>
      <c r="C20" s="322">
        <v>0</v>
      </c>
      <c r="D20" s="322"/>
      <c r="E20" s="322">
        <v>0</v>
      </c>
      <c r="F20" s="147">
        <v>0</v>
      </c>
      <c r="G20" s="322">
        <v>6600</v>
      </c>
      <c r="H20" s="310">
        <v>-6600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51" t="s">
        <v>16</v>
      </c>
      <c r="B21" s="152">
        <v>117398.97999999995</v>
      </c>
      <c r="C21" s="153">
        <v>589387.50999999989</v>
      </c>
      <c r="D21" s="153">
        <v>-38591.35</v>
      </c>
      <c r="E21" s="153">
        <v>480958.61</v>
      </c>
      <c r="F21" s="153">
        <v>187236.52999999994</v>
      </c>
      <c r="G21" s="153">
        <v>544731.18999999994</v>
      </c>
      <c r="H21" s="191">
        <v>6064.9699999999575</v>
      </c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x14ac:dyDescent="0.25">
      <c r="A22" s="892" t="s">
        <v>17</v>
      </c>
      <c r="B22" s="893">
        <v>76756.979999999967</v>
      </c>
      <c r="C22" s="950">
        <v>410151.61</v>
      </c>
      <c r="D22" s="951">
        <v>-0.34</v>
      </c>
      <c r="E22" s="879">
        <v>331508.8</v>
      </c>
      <c r="F22" s="895">
        <v>155399.44999999995</v>
      </c>
      <c r="G22" s="952">
        <v>263910.67</v>
      </c>
      <c r="H22" s="310">
        <v>146240.59999999998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7" t="s">
        <v>18</v>
      </c>
      <c r="B23" s="158">
        <v>23845.009999999991</v>
      </c>
      <c r="C23" s="158">
        <v>104183.34</v>
      </c>
      <c r="D23" s="158">
        <v>-24103.11</v>
      </c>
      <c r="E23" s="158">
        <v>95096.44</v>
      </c>
      <c r="F23" s="158">
        <v>8828.7999999999884</v>
      </c>
      <c r="G23" s="875">
        <v>189397.04</v>
      </c>
      <c r="H23" s="310">
        <v>-109316.81000000001</v>
      </c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19</v>
      </c>
      <c r="B24" s="158">
        <v>6000.9599999999991</v>
      </c>
      <c r="C24" s="844">
        <v>26935.85</v>
      </c>
      <c r="D24" s="844">
        <v>-5521.46</v>
      </c>
      <c r="E24" s="844">
        <v>20062.21</v>
      </c>
      <c r="F24" s="158">
        <v>7353.1399999999994</v>
      </c>
      <c r="G24" s="953">
        <v>35053.08</v>
      </c>
      <c r="H24" s="310">
        <v>-13638.690000000002</v>
      </c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20</v>
      </c>
      <c r="B25" s="158">
        <v>10796.029999999995</v>
      </c>
      <c r="C25" s="844">
        <v>48116.71</v>
      </c>
      <c r="D25" s="844">
        <v>-8966.44</v>
      </c>
      <c r="E25" s="844">
        <v>34291.160000000003</v>
      </c>
      <c r="F25" s="158">
        <v>15655.139999999985</v>
      </c>
      <c r="G25" s="953">
        <v>56370.400000000001</v>
      </c>
      <c r="H25" s="310">
        <v>-17220.130000000005</v>
      </c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42" t="s">
        <v>31</v>
      </c>
      <c r="B26" s="158">
        <v>0</v>
      </c>
      <c r="C26" s="337">
        <v>0</v>
      </c>
      <c r="D26" s="337">
        <v>0</v>
      </c>
      <c r="E26" s="844">
        <v>1604.51</v>
      </c>
      <c r="F26" s="158">
        <v>-1604.51</v>
      </c>
      <c r="G26" s="337">
        <v>0</v>
      </c>
      <c r="H26" s="310">
        <v>0</v>
      </c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21</v>
      </c>
      <c r="B27" s="337">
        <v>0</v>
      </c>
      <c r="C27" s="844">
        <v>10529.52</v>
      </c>
      <c r="D27" s="337"/>
      <c r="E27" s="844">
        <v>9290.92</v>
      </c>
      <c r="F27" s="158">
        <v>1238.6000000000004</v>
      </c>
      <c r="G27" s="337">
        <v>7432.7359999999999</v>
      </c>
      <c r="H27" s="310">
        <v>3096.7840000000006</v>
      </c>
      <c r="J27" s="8"/>
      <c r="K27" s="8"/>
      <c r="L27" s="3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6.5" hidden="1" thickBot="1" x14ac:dyDescent="0.3">
      <c r="A28" s="113" t="s">
        <v>22</v>
      </c>
      <c r="B28" s="161"/>
      <c r="C28" s="161"/>
      <c r="D28" s="161"/>
      <c r="E28" s="161"/>
      <c r="F28" s="162">
        <v>0</v>
      </c>
      <c r="G28" s="163"/>
      <c r="H28" s="164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165" t="s">
        <v>23</v>
      </c>
      <c r="B29" s="166">
        <v>166761.74999999994</v>
      </c>
      <c r="C29" s="166">
        <v>829699.6399999999</v>
      </c>
      <c r="D29" s="166">
        <v>-38591.35</v>
      </c>
      <c r="E29" s="166">
        <v>678665.07000000007</v>
      </c>
      <c r="F29" s="166">
        <v>279204.96999999991</v>
      </c>
      <c r="G29" s="166">
        <v>788546.53599999996</v>
      </c>
      <c r="H29" s="193">
        <v>2561.7539999999581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x14ac:dyDescent="0.25">
      <c r="A30" s="167"/>
      <c r="B30" s="168"/>
      <c r="C30" s="122"/>
      <c r="D30" s="122"/>
      <c r="E30" s="122"/>
      <c r="F30" s="99"/>
      <c r="G30" s="169"/>
      <c r="H30" s="169"/>
      <c r="I30" s="15"/>
      <c r="J30" s="15"/>
      <c r="K30" s="3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70"/>
      <c r="E31" s="122"/>
      <c r="F31" s="128"/>
      <c r="G31" s="171"/>
      <c r="H31" s="171"/>
      <c r="I31" s="27"/>
      <c r="J31" s="15"/>
    </row>
    <row r="32" spans="1:22" ht="15.75" x14ac:dyDescent="0.25">
      <c r="A32" s="167"/>
      <c r="B32" s="98"/>
      <c r="C32" s="122"/>
      <c r="D32" s="122"/>
      <c r="E32" s="122"/>
      <c r="F32" s="172"/>
      <c r="G32" s="100"/>
      <c r="H32" s="100"/>
    </row>
    <row r="33" spans="1:8" ht="16.5" thickBot="1" x14ac:dyDescent="0.3">
      <c r="A33" s="167" t="s">
        <v>272</v>
      </c>
      <c r="B33" s="172"/>
      <c r="C33" s="172"/>
      <c r="D33" s="122"/>
      <c r="E33" s="122"/>
      <c r="F33" s="172"/>
      <c r="G33" s="100"/>
      <c r="H33" s="100"/>
    </row>
    <row r="34" spans="1:8" ht="79.5" thickBot="1" x14ac:dyDescent="0.3">
      <c r="A34" s="845" t="s">
        <v>33</v>
      </c>
      <c r="B34" s="846" t="s">
        <v>25</v>
      </c>
      <c r="C34" s="847" t="s">
        <v>29</v>
      </c>
      <c r="D34" s="122"/>
      <c r="E34" s="122"/>
      <c r="F34" s="172"/>
      <c r="G34" s="100"/>
      <c r="H34" s="100"/>
    </row>
    <row r="35" spans="1:8" ht="15.75" x14ac:dyDescent="0.25">
      <c r="A35" s="848" t="s">
        <v>26</v>
      </c>
      <c r="B35" s="849" t="s">
        <v>24</v>
      </c>
      <c r="C35" s="850" t="s">
        <v>24</v>
      </c>
      <c r="D35" s="122"/>
      <c r="E35" s="122"/>
      <c r="F35" s="172"/>
      <c r="G35" s="100"/>
      <c r="H35" s="100"/>
    </row>
    <row r="36" spans="1:8" ht="15.75" x14ac:dyDescent="0.25">
      <c r="A36" s="180"/>
      <c r="B36" s="341"/>
      <c r="C36" s="341"/>
      <c r="D36" s="122"/>
      <c r="E36" s="122"/>
      <c r="F36" s="172"/>
      <c r="G36" s="100"/>
      <c r="H36" s="100"/>
    </row>
    <row r="37" spans="1:8" ht="15.75" x14ac:dyDescent="0.25">
      <c r="A37" s="882" t="s">
        <v>5</v>
      </c>
      <c r="B37" s="111">
        <f>B36</f>
        <v>0</v>
      </c>
      <c r="C37" s="883">
        <f>SUM(C36:C36)</f>
        <v>0</v>
      </c>
      <c r="D37" s="116"/>
      <c r="E37" s="116"/>
      <c r="F37" s="116"/>
      <c r="G37" s="169"/>
      <c r="H37" s="100"/>
    </row>
    <row r="38" spans="1:8" ht="15.75" x14ac:dyDescent="0.25">
      <c r="A38" s="92"/>
      <c r="B38" s="93"/>
      <c r="C38" s="94"/>
      <c r="D38" s="184"/>
      <c r="E38" s="185"/>
      <c r="F38" s="186"/>
      <c r="G38" s="169"/>
      <c r="H38" s="100"/>
    </row>
    <row r="39" spans="1:8" ht="31.5" x14ac:dyDescent="0.25">
      <c r="A39" s="344" t="s">
        <v>290</v>
      </c>
      <c r="B39" s="93">
        <f>-9393.37</f>
        <v>-9393.3700000000008</v>
      </c>
      <c r="C39" s="94" t="s">
        <v>292</v>
      </c>
      <c r="D39" s="184"/>
      <c r="E39" s="185"/>
      <c r="F39" s="18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197" t="s">
        <v>69</v>
      </c>
      <c r="B41" s="40"/>
      <c r="C41" s="41"/>
      <c r="D41" s="184"/>
      <c r="E41" s="185"/>
      <c r="F41" s="186"/>
      <c r="G41" s="169"/>
      <c r="H41" s="100"/>
    </row>
    <row r="42" spans="1:8" ht="15.75" x14ac:dyDescent="0.25">
      <c r="A42" s="198"/>
      <c r="B42" s="40"/>
      <c r="C42" s="41"/>
      <c r="D42" s="184"/>
      <c r="E42" s="185"/>
      <c r="F42" s="186"/>
      <c r="G42" s="169"/>
      <c r="H42" s="100"/>
    </row>
    <row r="43" spans="1:8" x14ac:dyDescent="0.25">
      <c r="A43" s="31" t="s">
        <v>53</v>
      </c>
      <c r="B43" s="28" t="s">
        <v>54</v>
      </c>
      <c r="C43" s="36"/>
      <c r="D43" s="16"/>
      <c r="E43" s="17"/>
      <c r="F43" s="18"/>
      <c r="G43" s="15"/>
    </row>
    <row r="44" spans="1:8" x14ac:dyDescent="0.25">
      <c r="A44" s="31"/>
      <c r="B44" s="28"/>
      <c r="C44" s="36"/>
      <c r="D44" s="19"/>
      <c r="E44" s="17"/>
      <c r="F44" s="18"/>
      <c r="G44" s="15"/>
    </row>
    <row r="45" spans="1:8" x14ac:dyDescent="0.25">
      <c r="A45" s="37"/>
      <c r="B45" s="38"/>
      <c r="C45" s="36"/>
      <c r="D45" s="19"/>
      <c r="E45" s="17"/>
      <c r="F45" s="18"/>
      <c r="G45" s="15"/>
    </row>
    <row r="46" spans="1:8" ht="15.75" x14ac:dyDescent="0.25">
      <c r="A46" s="39" t="s">
        <v>27</v>
      </c>
      <c r="B46" s="40" t="s">
        <v>54</v>
      </c>
      <c r="C46" s="41"/>
      <c r="D46" s="42" t="s">
        <v>28</v>
      </c>
      <c r="E46" s="10"/>
    </row>
    <row r="47" spans="1:8" x14ac:dyDescent="0.25">
      <c r="A47" s="6"/>
      <c r="B47" s="7"/>
      <c r="C47" s="10"/>
      <c r="D47" s="35"/>
      <c r="E47" s="8"/>
    </row>
    <row r="48" spans="1:8" x14ac:dyDescent="0.25">
      <c r="A48" s="6"/>
      <c r="B48" s="7"/>
      <c r="C48" s="10"/>
      <c r="D48" s="34"/>
      <c r="E48" s="8"/>
    </row>
    <row r="49" spans="1:6" x14ac:dyDescent="0.25">
      <c r="A49" s="13"/>
      <c r="B49" s="14"/>
      <c r="C49" s="10"/>
      <c r="D49" s="29"/>
      <c r="E49" s="10"/>
    </row>
    <row r="50" spans="1:6" x14ac:dyDescent="0.25">
      <c r="C50" s="10"/>
      <c r="E50" s="10"/>
    </row>
    <row r="51" spans="1:6" x14ac:dyDescent="0.25">
      <c r="A51" s="6"/>
      <c r="B51" s="7"/>
      <c r="C51" s="8"/>
      <c r="D51" s="11"/>
      <c r="E51" s="10"/>
    </row>
    <row r="52" spans="1:6" x14ac:dyDescent="0.25">
      <c r="A52" s="4"/>
      <c r="B52" s="5"/>
      <c r="C52" s="10"/>
      <c r="D52" s="11"/>
      <c r="E52" s="10"/>
      <c r="F52" s="12"/>
    </row>
    <row r="53" spans="1:6" x14ac:dyDescent="0.25">
      <c r="A53" s="6"/>
      <c r="B53" s="7"/>
      <c r="C53" s="10"/>
      <c r="D53" s="11"/>
      <c r="E53" s="10"/>
    </row>
    <row r="54" spans="1:6" x14ac:dyDescent="0.25">
      <c r="A54" s="6"/>
      <c r="B54" s="7"/>
      <c r="C54" s="7"/>
      <c r="D54" s="9"/>
      <c r="E54" s="10"/>
    </row>
    <row r="55" spans="1:6" x14ac:dyDescent="0.25">
      <c r="A55" s="6"/>
      <c r="B55" s="7"/>
      <c r="C55" s="7"/>
      <c r="D55" s="9"/>
      <c r="E55" s="10"/>
    </row>
    <row r="56" spans="1:6" x14ac:dyDescent="0.25">
      <c r="A56" s="6"/>
      <c r="B56" s="7"/>
      <c r="C56" s="7"/>
      <c r="D56" s="8"/>
      <c r="E56" s="8"/>
      <c r="F56" s="3"/>
    </row>
    <row r="57" spans="1:6" x14ac:dyDescent="0.25">
      <c r="A57" s="6"/>
      <c r="B57" s="7"/>
      <c r="D57" s="8"/>
      <c r="E57" s="10"/>
    </row>
    <row r="58" spans="1:6" x14ac:dyDescent="0.25">
      <c r="D58" s="8"/>
      <c r="E58" s="8"/>
    </row>
    <row r="59" spans="1:6" x14ac:dyDescent="0.25">
      <c r="D59" s="10"/>
      <c r="E59" s="10"/>
    </row>
    <row r="60" spans="1:6" x14ac:dyDescent="0.25">
      <c r="D60" s="10"/>
      <c r="E60" s="10"/>
    </row>
    <row r="61" spans="1:6" x14ac:dyDescent="0.25">
      <c r="D61" s="10"/>
      <c r="E61" s="10"/>
    </row>
    <row r="62" spans="1:6" x14ac:dyDescent="0.25">
      <c r="B62"/>
      <c r="C62"/>
      <c r="D62" s="10"/>
      <c r="E62" s="10"/>
    </row>
    <row r="63" spans="1:6" x14ac:dyDescent="0.25">
      <c r="B63"/>
      <c r="C63"/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8"/>
      <c r="E65" s="8"/>
      <c r="F65" s="3"/>
    </row>
    <row r="66" spans="2:6" x14ac:dyDescent="0.25">
      <c r="B66"/>
      <c r="C66"/>
      <c r="D66" s="10"/>
      <c r="E66" s="10"/>
      <c r="F66" s="3"/>
    </row>
    <row r="67" spans="2:6" x14ac:dyDescent="0.25">
      <c r="D67" s="10"/>
      <c r="E67" s="10"/>
    </row>
    <row r="68" spans="2:6" x14ac:dyDescent="0.25">
      <c r="D68" s="7"/>
      <c r="E68" s="7"/>
    </row>
    <row r="69" spans="2:6" x14ac:dyDescent="0.25">
      <c r="B69"/>
      <c r="C69"/>
      <c r="D69" s="7"/>
      <c r="E69" s="7"/>
    </row>
    <row r="70" spans="2:6" x14ac:dyDescent="0.25">
      <c r="B70"/>
      <c r="C70"/>
      <c r="D70" s="7"/>
      <c r="E70" s="7"/>
    </row>
    <row r="71" spans="2:6" x14ac:dyDescent="0.25">
      <c r="B71"/>
      <c r="C71"/>
    </row>
    <row r="72" spans="2:6" x14ac:dyDescent="0.25">
      <c r="B72"/>
      <c r="C72"/>
    </row>
    <row r="73" spans="2:6" x14ac:dyDescent="0.25">
      <c r="B73"/>
      <c r="C73"/>
      <c r="D73"/>
      <c r="E73"/>
    </row>
    <row r="74" spans="2:6" x14ac:dyDescent="0.25">
      <c r="B74"/>
      <c r="C74"/>
      <c r="D74"/>
      <c r="E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D82"/>
      <c r="E82"/>
    </row>
    <row r="83" spans="2:5" x14ac:dyDescent="0.25"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7"/>
  <sheetViews>
    <sheetView view="pageBreakPreview" topLeftCell="A7" zoomScale="60" workbookViewId="0">
      <selection activeCell="F35" sqref="F35"/>
    </sheetView>
  </sheetViews>
  <sheetFormatPr defaultRowHeight="15" x14ac:dyDescent="0.25"/>
  <cols>
    <col min="1" max="1" width="42.57031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4.5703125" customWidth="1"/>
    <col min="8" max="8" width="15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129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J5">
        <f>D12*C6</f>
        <v>1944.9025000000001</v>
      </c>
      <c r="L5" s="20"/>
      <c r="M5" s="20"/>
      <c r="N5" s="20"/>
      <c r="O5" s="20"/>
    </row>
    <row r="6" spans="1:22" ht="16.5" thickBot="1" x14ac:dyDescent="0.3">
      <c r="A6" s="110" t="s">
        <v>47</v>
      </c>
      <c r="B6" s="108"/>
      <c r="C6" s="108">
        <v>532.85</v>
      </c>
      <c r="D6" s="109">
        <v>10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532.85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10.83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3.65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74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76"/>
      <c r="L17" s="7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19037.8225532299</v>
      </c>
      <c r="C18" s="319">
        <v>69249.240000000005</v>
      </c>
      <c r="D18" s="320"/>
      <c r="E18" s="320">
        <v>79299.375099340148</v>
      </c>
      <c r="F18" s="321">
        <v>8987.6874538897537</v>
      </c>
      <c r="G18" s="141">
        <v>69249.240000000005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6416.3483378393921</v>
      </c>
      <c r="C19" s="319">
        <v>23339.16</v>
      </c>
      <c r="D19" s="320"/>
      <c r="E19" s="320">
        <v>26835.008998410893</v>
      </c>
      <c r="F19" s="143">
        <v>2920.4993394284975</v>
      </c>
      <c r="G19" s="323">
        <v>120615.93000000001</v>
      </c>
      <c r="H19" s="189">
        <v>-97276.77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24"/>
      <c r="D20" s="146"/>
      <c r="E20" s="325"/>
      <c r="F20" s="149">
        <v>0</v>
      </c>
      <c r="G20" s="326">
        <v>6600</v>
      </c>
      <c r="H20" s="189">
        <v>-6600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/>
      <c r="C21" s="328"/>
      <c r="D21" s="190"/>
      <c r="E21" s="329"/>
      <c r="F21" s="149">
        <v>0</v>
      </c>
      <c r="G21" s="33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60636.509108930746</v>
      </c>
      <c r="C22" s="153">
        <v>218467.10000000003</v>
      </c>
      <c r="D22" s="153">
        <v>-950.87</v>
      </c>
      <c r="E22" s="153">
        <v>251392.47590224893</v>
      </c>
      <c r="F22" s="153">
        <v>26760.263206681841</v>
      </c>
      <c r="G22" s="153">
        <v>135169.53000000003</v>
      </c>
      <c r="H22" s="191">
        <v>82346.700000000012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51119.046416124147</v>
      </c>
      <c r="C23" s="331">
        <v>173388.39</v>
      </c>
      <c r="D23" s="332"/>
      <c r="E23" s="331">
        <v>197645.50042936322</v>
      </c>
      <c r="F23" s="155">
        <v>26861.935986760946</v>
      </c>
      <c r="G23" s="333">
        <v>60783.05</v>
      </c>
      <c r="H23" s="189">
        <v>112605.34000000001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7594.87762397804</v>
      </c>
      <c r="C24" s="192">
        <v>30742.309999999998</v>
      </c>
      <c r="D24" s="158">
        <v>-602.38</v>
      </c>
      <c r="E24" s="334">
        <v>36815.586918952402</v>
      </c>
      <c r="F24" s="158">
        <v>919.2207050256402</v>
      </c>
      <c r="G24" s="145">
        <v>56676.37</v>
      </c>
      <c r="H24" s="189">
        <v>-26536.440000000006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497.679518101111</v>
      </c>
      <c r="C25" s="335">
        <v>3824.79</v>
      </c>
      <c r="D25" s="336">
        <v>-126.84</v>
      </c>
      <c r="E25" s="335">
        <v>4689.0804648167286</v>
      </c>
      <c r="F25" s="158">
        <v>-493.45094671561765</v>
      </c>
      <c r="G25" s="145">
        <v>3429.72</v>
      </c>
      <c r="H25" s="189">
        <v>268.23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1424.9055507274436</v>
      </c>
      <c r="C26" s="335">
        <v>10511.61</v>
      </c>
      <c r="D26" s="336">
        <v>-221.65</v>
      </c>
      <c r="E26" s="335">
        <v>12242.308089116572</v>
      </c>
      <c r="F26" s="158">
        <v>-527.44253838912664</v>
      </c>
      <c r="G26" s="145">
        <v>14280.39</v>
      </c>
      <c r="H26" s="189">
        <v>-3990.4299999999985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38"/>
      <c r="D27" s="338"/>
      <c r="E27" s="336">
        <v>326.54000000000002</v>
      </c>
      <c r="F27" s="158">
        <v>-326.54000000000002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39"/>
      <c r="D28" s="340"/>
      <c r="E28" s="339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86090.680000000037</v>
      </c>
      <c r="C30" s="166">
        <v>311055.50000000006</v>
      </c>
      <c r="D30" s="166">
        <v>-950.87</v>
      </c>
      <c r="E30" s="166">
        <v>357853.39999999997</v>
      </c>
      <c r="F30" s="166">
        <v>38341.910000000091</v>
      </c>
      <c r="G30" s="166">
        <v>331634.70000000007</v>
      </c>
      <c r="H30" s="193">
        <v>-21530.069999999992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88.5" customHeight="1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97</v>
      </c>
      <c r="B37" s="341"/>
      <c r="C37" s="342">
        <v>55584.44</v>
      </c>
      <c r="D37" s="182"/>
      <c r="E37" s="122"/>
      <c r="F37" s="172"/>
      <c r="G37" s="100"/>
      <c r="H37" s="100"/>
    </row>
    <row r="38" spans="1:8" ht="21.75" customHeight="1" x14ac:dyDescent="0.25">
      <c r="A38" s="179" t="s">
        <v>116</v>
      </c>
      <c r="B38" s="180"/>
      <c r="C38" s="342">
        <v>62700</v>
      </c>
      <c r="D38" s="182"/>
      <c r="E38" s="122"/>
      <c r="F38" s="172"/>
      <c r="G38" s="100"/>
      <c r="H38" s="100"/>
    </row>
    <row r="39" spans="1:8" ht="15.75" x14ac:dyDescent="0.25">
      <c r="A39" s="179" t="s">
        <v>130</v>
      </c>
      <c r="B39" s="180"/>
      <c r="C39" s="342">
        <v>2331.4899999999998</v>
      </c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120615.93000000001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hidden="1" x14ac:dyDescent="0.25">
      <c r="A43" s="92" t="s">
        <v>118</v>
      </c>
      <c r="B43" s="93">
        <f>6337.16+H19</f>
        <v>-90939.61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31.5" x14ac:dyDescent="0.25">
      <c r="A45" s="344" t="s">
        <v>288</v>
      </c>
      <c r="B45" s="93">
        <f>11669.58+6337.16+E19-G19</f>
        <v>-75774.18100158911</v>
      </c>
      <c r="C45" s="94" t="s">
        <v>24</v>
      </c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15.75" x14ac:dyDescent="0.25">
      <c r="A47" s="197" t="s">
        <v>69</v>
      </c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198"/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7" t="s">
        <v>53</v>
      </c>
      <c r="B49" s="40" t="s">
        <v>54</v>
      </c>
      <c r="C49" s="199"/>
      <c r="D49" s="184"/>
      <c r="E49" s="185"/>
      <c r="F49" s="186"/>
      <c r="G49" s="169"/>
      <c r="H49" s="100"/>
    </row>
    <row r="50" spans="1:8" x14ac:dyDescent="0.25">
      <c r="A50" s="31"/>
      <c r="B50" s="28"/>
      <c r="C50" s="36"/>
      <c r="D50" s="19"/>
      <c r="E50" s="17"/>
      <c r="F50" s="18"/>
      <c r="G50" s="15"/>
    </row>
    <row r="51" spans="1:8" x14ac:dyDescent="0.25">
      <c r="A51" s="37"/>
      <c r="B51" s="38"/>
      <c r="C51" s="36"/>
      <c r="D51" s="19"/>
      <c r="E51" s="17"/>
      <c r="F51" s="18"/>
      <c r="G51" s="15"/>
    </row>
    <row r="52" spans="1:8" ht="15.75" x14ac:dyDescent="0.25">
      <c r="A52" s="39" t="s">
        <v>27</v>
      </c>
      <c r="B52" s="40" t="s">
        <v>54</v>
      </c>
      <c r="C52" s="41"/>
      <c r="D52" s="42" t="s">
        <v>28</v>
      </c>
      <c r="E52" s="10"/>
    </row>
    <row r="53" spans="1:8" x14ac:dyDescent="0.25">
      <c r="A53" s="6"/>
      <c r="B53" s="7"/>
      <c r="C53" s="10"/>
      <c r="D53" s="35"/>
      <c r="E53" s="8"/>
    </row>
    <row r="54" spans="1:8" x14ac:dyDescent="0.25">
      <c r="A54" s="6"/>
      <c r="B54" s="7"/>
      <c r="C54" s="10"/>
      <c r="D54" s="34"/>
      <c r="E54" s="8"/>
    </row>
    <row r="55" spans="1:8" x14ac:dyDescent="0.25">
      <c r="A55" s="13"/>
      <c r="B55" s="14"/>
      <c r="C55" s="10"/>
      <c r="D55" s="29"/>
      <c r="E55" s="10"/>
    </row>
    <row r="56" spans="1:8" x14ac:dyDescent="0.25">
      <c r="C56" s="10"/>
      <c r="E56" s="10"/>
    </row>
    <row r="57" spans="1:8" x14ac:dyDescent="0.25">
      <c r="A57" s="6"/>
      <c r="B57" s="7"/>
      <c r="C57" s="8"/>
      <c r="D57" s="11"/>
      <c r="E57" s="10"/>
    </row>
    <row r="58" spans="1:8" x14ac:dyDescent="0.25">
      <c r="A58" s="4"/>
      <c r="B58" s="5"/>
      <c r="C58" s="10"/>
      <c r="D58" s="11"/>
      <c r="E58" s="10"/>
      <c r="F58" s="12"/>
    </row>
    <row r="59" spans="1:8" x14ac:dyDescent="0.25">
      <c r="A59" s="6"/>
      <c r="B59" s="7"/>
      <c r="C59" s="10"/>
      <c r="D59" s="11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8"/>
      <c r="E62" s="8"/>
      <c r="F62" s="3"/>
    </row>
    <row r="63" spans="1:8" x14ac:dyDescent="0.25">
      <c r="A63" s="6"/>
      <c r="B63" s="7"/>
      <c r="D63" s="8"/>
      <c r="E63" s="10"/>
    </row>
    <row r="64" spans="1:8" x14ac:dyDescent="0.25">
      <c r="D64" s="8"/>
      <c r="E64" s="8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8"/>
      <c r="E71" s="8"/>
      <c r="F71" s="3"/>
    </row>
    <row r="72" spans="2:6" x14ac:dyDescent="0.25">
      <c r="B72"/>
      <c r="C72"/>
      <c r="D72" s="10"/>
      <c r="E72" s="10"/>
      <c r="F72" s="3"/>
    </row>
    <row r="73" spans="2:6" x14ac:dyDescent="0.25">
      <c r="D73" s="10"/>
      <c r="E73" s="10"/>
    </row>
    <row r="74" spans="2:6" x14ac:dyDescent="0.25"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</row>
    <row r="78" spans="2:6" x14ac:dyDescent="0.25">
      <c r="B78"/>
      <c r="C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53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7"/>
  <sheetViews>
    <sheetView view="pageBreakPreview" zoomScale="60" workbookViewId="0">
      <selection activeCell="J44" sqref="J44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17" max="17" width="13.7109375" bestFit="1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131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48</v>
      </c>
      <c r="B6" s="108"/>
      <c r="C6" s="345">
        <v>2560.94</v>
      </c>
      <c r="D6" s="346">
        <v>81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2560.94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.75" customHeight="1" x14ac:dyDescent="0.25">
      <c r="A11" s="966" t="s">
        <v>7</v>
      </c>
      <c r="B11" s="967"/>
      <c r="C11" s="967"/>
      <c r="D11" s="123">
        <v>12.28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4.96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400" t="s">
        <v>264</v>
      </c>
      <c r="E14" s="99"/>
      <c r="F14" s="172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78"/>
      <c r="L17" s="77"/>
      <c r="M17" s="23"/>
      <c r="N17" s="23"/>
      <c r="O17" s="65"/>
      <c r="P17" s="77"/>
      <c r="Q17" s="23"/>
      <c r="R17" s="23"/>
      <c r="S17" s="6"/>
      <c r="T17" s="6"/>
      <c r="U17" s="6"/>
      <c r="V17" s="6"/>
    </row>
    <row r="18" spans="1:22" ht="15.75" x14ac:dyDescent="0.25">
      <c r="A18" s="110" t="s">
        <v>12</v>
      </c>
      <c r="B18" s="318">
        <v>131788.1319476557</v>
      </c>
      <c r="C18" s="401">
        <v>377380.21</v>
      </c>
      <c r="D18" s="320"/>
      <c r="E18" s="401">
        <v>319593.50292380055</v>
      </c>
      <c r="F18" s="321">
        <v>189574.83902385517</v>
      </c>
      <c r="G18" s="141">
        <v>377380.21</v>
      </c>
      <c r="H18" s="189">
        <v>0</v>
      </c>
      <c r="L18" s="20"/>
      <c r="M18" s="20"/>
      <c r="N18" s="20"/>
      <c r="O18" s="23"/>
      <c r="P18" s="20"/>
      <c r="Q18" s="20"/>
      <c r="R18" s="20"/>
      <c r="S18" s="6"/>
      <c r="T18" s="6"/>
      <c r="U18" s="6"/>
      <c r="V18" s="6"/>
    </row>
    <row r="19" spans="1:22" ht="15.75" x14ac:dyDescent="0.25">
      <c r="A19" s="142" t="s">
        <v>13</v>
      </c>
      <c r="B19" s="323">
        <v>53230.226639342443</v>
      </c>
      <c r="C19" s="402">
        <v>152426.4</v>
      </c>
      <c r="D19" s="335"/>
      <c r="E19" s="402">
        <v>130467.78807811117</v>
      </c>
      <c r="F19" s="143">
        <v>75188.838561231256</v>
      </c>
      <c r="G19" s="323">
        <v>10835.42</v>
      </c>
      <c r="H19" s="189">
        <v>141590.97999999998</v>
      </c>
      <c r="L19" s="23"/>
      <c r="M19" s="20"/>
      <c r="N19" s="23"/>
      <c r="O19" s="20"/>
      <c r="P19" s="23"/>
      <c r="Q19" s="20"/>
      <c r="R19" s="20"/>
      <c r="S19" s="6"/>
      <c r="T19" s="6"/>
      <c r="U19" s="6"/>
      <c r="V19" s="6"/>
    </row>
    <row r="20" spans="1:22" ht="15.75" x14ac:dyDescent="0.25">
      <c r="A20" s="144" t="s">
        <v>15</v>
      </c>
      <c r="B20" s="143"/>
      <c r="C20" s="324"/>
      <c r="D20" s="146"/>
      <c r="E20" s="324"/>
      <c r="F20" s="143">
        <v>0</v>
      </c>
      <c r="G20" s="145">
        <v>10000</v>
      </c>
      <c r="H20" s="189">
        <v>-10000</v>
      </c>
      <c r="L20" s="20"/>
      <c r="M20" s="20"/>
      <c r="N20" s="20"/>
      <c r="O20" s="20"/>
      <c r="P20" s="20"/>
      <c r="Q20" s="20"/>
      <c r="R20" s="20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03">
        <v>629325.61</v>
      </c>
      <c r="D21" s="403">
        <v>-3288.55</v>
      </c>
      <c r="E21" s="349">
        <v>380768.1837634251</v>
      </c>
      <c r="F21" s="149">
        <v>245268.87623657484</v>
      </c>
      <c r="G21" s="326">
        <v>629325.61</v>
      </c>
      <c r="H21" s="189">
        <v>-3288.5500000000466</v>
      </c>
      <c r="L21" s="20"/>
      <c r="M21" s="20"/>
      <c r="N21" s="20"/>
      <c r="O21" s="20"/>
      <c r="P21" s="20"/>
      <c r="Q21" s="20"/>
      <c r="R21" s="20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397659.20678985317</v>
      </c>
      <c r="C22" s="153">
        <v>1082105.29</v>
      </c>
      <c r="D22" s="153">
        <v>-49735.33</v>
      </c>
      <c r="E22" s="153">
        <v>897693.4406868543</v>
      </c>
      <c r="F22" s="153">
        <v>532335.72610299906</v>
      </c>
      <c r="G22" s="153">
        <v>947543.90999999992</v>
      </c>
      <c r="H22" s="191">
        <v>84826.050000000047</v>
      </c>
      <c r="M22" s="20"/>
      <c r="N22" s="6"/>
      <c r="O22" s="6"/>
      <c r="Q22" s="20"/>
      <c r="R22" s="20"/>
      <c r="S22" s="6"/>
      <c r="T22" s="6"/>
      <c r="U22" s="6"/>
      <c r="V22" s="6"/>
    </row>
    <row r="23" spans="1:22" ht="15.75" x14ac:dyDescent="0.25">
      <c r="A23" s="154" t="s">
        <v>17</v>
      </c>
      <c r="B23" s="155">
        <v>210510.42282487918</v>
      </c>
      <c r="C23" s="404">
        <v>688275.91</v>
      </c>
      <c r="D23" s="332"/>
      <c r="E23" s="404">
        <v>577849.76966418815</v>
      </c>
      <c r="F23" s="155">
        <v>320936.56316069106</v>
      </c>
      <c r="G23" s="405">
        <v>535652.87</v>
      </c>
      <c r="H23" s="189">
        <v>152623.04000000004</v>
      </c>
      <c r="M23" s="20"/>
      <c r="N23" s="6"/>
      <c r="O23" s="6"/>
      <c r="Q23" s="20"/>
      <c r="R23" s="20"/>
      <c r="S23" s="6"/>
      <c r="T23" s="6"/>
      <c r="U23" s="6"/>
      <c r="V23" s="6"/>
    </row>
    <row r="24" spans="1:22" ht="15.75" x14ac:dyDescent="0.25">
      <c r="A24" s="157" t="s">
        <v>18</v>
      </c>
      <c r="B24" s="158">
        <v>122895.83826968564</v>
      </c>
      <c r="C24" s="406">
        <v>246449.98</v>
      </c>
      <c r="D24" s="158">
        <v>-31257.370000000003</v>
      </c>
      <c r="E24" s="407">
        <v>200931.6608492501</v>
      </c>
      <c r="F24" s="158">
        <v>137156.78742043558</v>
      </c>
      <c r="G24" s="364">
        <v>217100.99</v>
      </c>
      <c r="H24" s="189">
        <v>-1908.3799999999756</v>
      </c>
      <c r="M24" s="20"/>
      <c r="N24" s="6"/>
      <c r="O24" s="6"/>
      <c r="Q24" s="20"/>
      <c r="R24" s="20"/>
      <c r="S24" s="6"/>
      <c r="T24" s="6"/>
      <c r="U24" s="6"/>
      <c r="V24" s="6"/>
    </row>
    <row r="25" spans="1:22" ht="15.75" x14ac:dyDescent="0.25">
      <c r="A25" s="157" t="s">
        <v>19</v>
      </c>
      <c r="B25" s="158">
        <v>23467.053789427511</v>
      </c>
      <c r="C25" s="408">
        <v>55177.18</v>
      </c>
      <c r="D25" s="402">
        <v>-6908.94</v>
      </c>
      <c r="E25" s="408">
        <v>45416.359051117084</v>
      </c>
      <c r="F25" s="158">
        <v>26318.934738310425</v>
      </c>
      <c r="G25" s="364">
        <v>76394.600000000006</v>
      </c>
      <c r="H25" s="189">
        <v>-28126.360000000008</v>
      </c>
      <c r="M25" s="20"/>
      <c r="N25" s="6"/>
      <c r="O25" s="6"/>
      <c r="Q25" s="20"/>
      <c r="R25" s="20"/>
      <c r="S25" s="6"/>
      <c r="T25" s="6"/>
      <c r="U25" s="6"/>
      <c r="V25" s="6"/>
    </row>
    <row r="26" spans="1:22" ht="15.75" x14ac:dyDescent="0.25">
      <c r="A26" s="157" t="s">
        <v>20</v>
      </c>
      <c r="B26" s="158">
        <v>40785.891905860881</v>
      </c>
      <c r="C26" s="409">
        <v>92202.22</v>
      </c>
      <c r="D26" s="402">
        <v>-11569.02</v>
      </c>
      <c r="E26" s="408">
        <v>73495.651122298907</v>
      </c>
      <c r="F26" s="158">
        <v>47923.440783561979</v>
      </c>
      <c r="G26" s="364">
        <v>118395.45</v>
      </c>
      <c r="H26" s="189">
        <v>-37762.25</v>
      </c>
      <c r="K26" s="52"/>
      <c r="M26" s="20"/>
      <c r="N26" s="6"/>
      <c r="O26" s="6"/>
      <c r="Q26" s="20"/>
      <c r="R26" s="20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0"/>
      <c r="D27" s="338"/>
      <c r="E27" s="408">
        <v>2789.04</v>
      </c>
      <c r="F27" s="158">
        <v>-2789.04</v>
      </c>
      <c r="G27" s="364"/>
      <c r="H27" s="189">
        <v>0</v>
      </c>
      <c r="M27" s="20"/>
      <c r="N27" s="6"/>
      <c r="O27" s="6"/>
      <c r="Q27" s="20"/>
      <c r="R27" s="20"/>
      <c r="S27" s="6"/>
      <c r="T27" s="6"/>
      <c r="U27" s="6"/>
      <c r="V27" s="6"/>
    </row>
    <row r="28" spans="1:22" ht="15.75" x14ac:dyDescent="0.25">
      <c r="A28" s="142" t="s">
        <v>21</v>
      </c>
      <c r="B28" s="143">
        <v>-871.66537685138792</v>
      </c>
      <c r="C28" s="408">
        <v>3374.31</v>
      </c>
      <c r="D28" s="402">
        <v>3436.29</v>
      </c>
      <c r="E28" s="411">
        <v>444.13454780898371</v>
      </c>
      <c r="F28" s="158">
        <v>5494.8000753396291</v>
      </c>
      <c r="G28" s="337">
        <v>355.30763824718696</v>
      </c>
      <c r="H28" s="189">
        <v>6455.2923617528131</v>
      </c>
      <c r="K28" s="8"/>
      <c r="L28" s="3"/>
      <c r="M28" s="20"/>
      <c r="N28" s="6"/>
      <c r="O28" s="6"/>
      <c r="P28" s="3"/>
      <c r="Q28" s="20"/>
      <c r="R28" s="20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20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581805.89999999991</v>
      </c>
      <c r="C30" s="166">
        <v>2244611.8199999998</v>
      </c>
      <c r="D30" s="166">
        <v>-49587.590000000004</v>
      </c>
      <c r="E30" s="166">
        <v>1731756.09</v>
      </c>
      <c r="F30" s="166">
        <v>1045074.0399999999</v>
      </c>
      <c r="G30" s="166">
        <v>1975440.4576382474</v>
      </c>
      <c r="H30" s="193">
        <v>219583.77236175278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132</v>
      </c>
      <c r="B37" s="341"/>
      <c r="C37" s="195">
        <v>3750</v>
      </c>
      <c r="D37" s="182"/>
      <c r="E37" s="122"/>
      <c r="F37" s="172"/>
      <c r="G37" s="100"/>
      <c r="H37" s="100"/>
    </row>
    <row r="38" spans="1:8" ht="15.75" x14ac:dyDescent="0.25">
      <c r="A38" s="179" t="s">
        <v>280</v>
      </c>
      <c r="B38" s="180"/>
      <c r="C38" s="342">
        <f>2000*1.1</f>
        <v>2200</v>
      </c>
      <c r="D38" s="182"/>
      <c r="E38" s="122"/>
      <c r="F38" s="172"/>
      <c r="G38" s="100"/>
      <c r="H38" s="100"/>
    </row>
    <row r="39" spans="1:8" ht="31.5" x14ac:dyDescent="0.25">
      <c r="A39" s="196" t="s">
        <v>286</v>
      </c>
      <c r="B39" s="194"/>
      <c r="C39" s="412">
        <v>4885.42</v>
      </c>
      <c r="D39" s="182"/>
      <c r="E39" s="122"/>
      <c r="F39" s="172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10835.42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hidden="1" x14ac:dyDescent="0.25">
      <c r="A43" s="92" t="s">
        <v>118</v>
      </c>
      <c r="B43" s="93">
        <f>87964.54+H19</f>
        <v>229555.51999999996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31.5" x14ac:dyDescent="0.25">
      <c r="A45" s="344" t="s">
        <v>288</v>
      </c>
      <c r="B45" s="93">
        <f>-2227.65+87964.54+E19-G19</f>
        <v>205369.25807811116</v>
      </c>
      <c r="C45" s="94" t="s">
        <v>24</v>
      </c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15.75" x14ac:dyDescent="0.25">
      <c r="A47" s="197" t="s">
        <v>69</v>
      </c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198"/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7" t="s">
        <v>53</v>
      </c>
      <c r="B49" s="40" t="s">
        <v>54</v>
      </c>
      <c r="C49" s="199"/>
      <c r="D49" s="184"/>
      <c r="E49" s="185"/>
      <c r="F49" s="186"/>
      <c r="G49" s="169"/>
      <c r="H49" s="100"/>
    </row>
    <row r="50" spans="1:8" x14ac:dyDescent="0.25">
      <c r="A50" s="31"/>
      <c r="B50" s="28"/>
      <c r="C50" s="36"/>
      <c r="D50" s="19"/>
      <c r="E50" s="17"/>
      <c r="F50" s="18"/>
      <c r="G50" s="15"/>
    </row>
    <row r="51" spans="1:8" x14ac:dyDescent="0.25">
      <c r="A51" s="37"/>
      <c r="B51" s="38"/>
      <c r="C51" s="36"/>
      <c r="D51" s="19"/>
      <c r="E51" s="17"/>
      <c r="F51" s="18"/>
      <c r="G51" s="15"/>
    </row>
    <row r="52" spans="1:8" ht="15.75" x14ac:dyDescent="0.25">
      <c r="A52" s="39" t="s">
        <v>27</v>
      </c>
      <c r="B52" s="40" t="s">
        <v>54</v>
      </c>
      <c r="C52" s="41"/>
      <c r="D52" s="42" t="s">
        <v>28</v>
      </c>
      <c r="E52" s="10"/>
    </row>
    <row r="53" spans="1:8" x14ac:dyDescent="0.25">
      <c r="A53" s="6"/>
      <c r="B53" s="7"/>
      <c r="C53" s="10"/>
      <c r="D53" s="35"/>
      <c r="E53" s="8"/>
    </row>
    <row r="54" spans="1:8" x14ac:dyDescent="0.25">
      <c r="A54" s="6"/>
      <c r="B54" s="7"/>
      <c r="C54" s="10"/>
      <c r="D54" s="34"/>
      <c r="E54" s="8"/>
    </row>
    <row r="55" spans="1:8" x14ac:dyDescent="0.25">
      <c r="A55" s="13"/>
      <c r="B55" s="14"/>
      <c r="C55" s="10"/>
      <c r="D55" s="29"/>
      <c r="E55" s="10"/>
    </row>
    <row r="56" spans="1:8" x14ac:dyDescent="0.25">
      <c r="C56" s="10"/>
      <c r="E56" s="10"/>
    </row>
    <row r="57" spans="1:8" x14ac:dyDescent="0.25">
      <c r="A57" s="6"/>
      <c r="B57" s="7"/>
      <c r="C57" s="8"/>
      <c r="D57" s="11"/>
      <c r="E57" s="10"/>
    </row>
    <row r="58" spans="1:8" x14ac:dyDescent="0.25">
      <c r="A58" s="4"/>
      <c r="B58" s="5"/>
      <c r="C58" s="10"/>
      <c r="D58" s="11"/>
      <c r="E58" s="10"/>
      <c r="F58" s="12"/>
    </row>
    <row r="59" spans="1:8" x14ac:dyDescent="0.25">
      <c r="A59" s="6"/>
      <c r="B59" s="7"/>
      <c r="C59" s="10"/>
      <c r="D59" s="11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8"/>
      <c r="E62" s="8"/>
      <c r="F62" s="3"/>
    </row>
    <row r="63" spans="1:8" x14ac:dyDescent="0.25">
      <c r="A63" s="6"/>
      <c r="B63" s="7"/>
      <c r="D63" s="8"/>
      <c r="E63" s="10"/>
    </row>
    <row r="64" spans="1:8" x14ac:dyDescent="0.25">
      <c r="D64" s="8"/>
      <c r="E64" s="8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8"/>
      <c r="E71" s="8"/>
      <c r="F71" s="3"/>
    </row>
    <row r="72" spans="2:6" x14ac:dyDescent="0.25">
      <c r="B72"/>
      <c r="C72"/>
      <c r="D72" s="10"/>
      <c r="E72" s="10"/>
      <c r="F72" s="3"/>
    </row>
    <row r="73" spans="2:6" x14ac:dyDescent="0.25">
      <c r="D73" s="10"/>
      <c r="E73" s="10"/>
    </row>
    <row r="74" spans="2:6" x14ac:dyDescent="0.25"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</row>
    <row r="78" spans="2:6" x14ac:dyDescent="0.25">
      <c r="B78"/>
      <c r="C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1" manualBreakCount="1">
    <brk id="53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6"/>
  <sheetViews>
    <sheetView view="pageBreakPreview" topLeftCell="A4" zoomScale="60" workbookViewId="0">
      <selection activeCell="K35" sqref="K35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.85546875" customWidth="1"/>
    <col min="8" max="8" width="15.855468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133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62</v>
      </c>
      <c r="B6" s="108"/>
      <c r="C6" s="108">
        <v>1015.7</v>
      </c>
      <c r="D6" s="109">
        <v>25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1015.7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11.73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0.23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0"/>
      <c r="L17" s="79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23320.009027152581</v>
      </c>
      <c r="C18" s="453">
        <v>142970.16</v>
      </c>
      <c r="D18" s="320"/>
      <c r="E18" s="453">
        <v>136874.38618911832</v>
      </c>
      <c r="F18" s="321">
        <v>29415.782838034269</v>
      </c>
      <c r="G18" s="141">
        <v>142970.16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-5221.97</v>
      </c>
      <c r="C19" s="335"/>
      <c r="D19" s="320"/>
      <c r="E19" s="320"/>
      <c r="F19" s="143">
        <v>-5221.97</v>
      </c>
      <c r="G19" s="323">
        <v>34643.800000000003</v>
      </c>
      <c r="H19" s="189">
        <v>-34643.800000000003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1013.4665068694326</v>
      </c>
      <c r="C20" s="443">
        <v>2803.56</v>
      </c>
      <c r="D20" s="146"/>
      <c r="E20" s="453">
        <v>4091.2196374038094</v>
      </c>
      <c r="F20" s="149">
        <v>-274.19313053437691</v>
      </c>
      <c r="G20" s="326">
        <v>6600</v>
      </c>
      <c r="H20" s="189">
        <v>-3796.44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351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454">
        <v>63274.024465977891</v>
      </c>
      <c r="C22" s="455">
        <v>433186.03</v>
      </c>
      <c r="D22" s="455">
        <v>-12913.48</v>
      </c>
      <c r="E22" s="455">
        <v>411904.55417347781</v>
      </c>
      <c r="F22" s="455">
        <v>71642.020292500092</v>
      </c>
      <c r="G22" s="455">
        <v>336578.81</v>
      </c>
      <c r="H22" s="456">
        <v>83693.740000000049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47396.098131763814</v>
      </c>
      <c r="C23" s="457">
        <v>329553.13</v>
      </c>
      <c r="D23" s="332"/>
      <c r="E23" s="457">
        <v>312628.66627127305</v>
      </c>
      <c r="F23" s="155">
        <v>64320.561860490765</v>
      </c>
      <c r="G23" s="333">
        <v>237523.11</v>
      </c>
      <c r="H23" s="189">
        <v>92030.020000000019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11325.363682787103</v>
      </c>
      <c r="C24" s="192">
        <v>63746.11</v>
      </c>
      <c r="D24" s="158">
        <v>-8044.01</v>
      </c>
      <c r="E24" s="334">
        <v>60797.472794055888</v>
      </c>
      <c r="F24" s="158">
        <v>6229.9908887312267</v>
      </c>
      <c r="G24" s="145">
        <v>59729.77</v>
      </c>
      <c r="H24" s="189">
        <v>-4027.6699999999983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1523.7425105544903</v>
      </c>
      <c r="C25" s="443">
        <v>14865.15</v>
      </c>
      <c r="D25" s="443">
        <v>-1818.24</v>
      </c>
      <c r="E25" s="443">
        <v>15182.327056368771</v>
      </c>
      <c r="F25" s="158">
        <v>-611.67454581427955</v>
      </c>
      <c r="G25" s="145">
        <v>14607.91</v>
      </c>
      <c r="H25" s="189">
        <v>-1561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3028.8201408724872</v>
      </c>
      <c r="C26" s="443">
        <v>25021.64</v>
      </c>
      <c r="D26" s="443">
        <v>-3051.23</v>
      </c>
      <c r="E26" s="443">
        <v>23296.088051780109</v>
      </c>
      <c r="F26" s="158">
        <v>1703.1420890923764</v>
      </c>
      <c r="G26" s="145">
        <v>24718.02</v>
      </c>
      <c r="H26" s="189">
        <v>-2747.6100000000006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38"/>
      <c r="D27" s="338"/>
      <c r="E27" s="33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39"/>
      <c r="D28" s="340"/>
      <c r="E28" s="339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82385.529999999912</v>
      </c>
      <c r="C30" s="166">
        <v>578959.75</v>
      </c>
      <c r="D30" s="166">
        <v>-12913.48</v>
      </c>
      <c r="E30" s="166">
        <v>552870.15999999992</v>
      </c>
      <c r="F30" s="166">
        <v>95561.639999999985</v>
      </c>
      <c r="G30" s="166">
        <v>520792.77</v>
      </c>
      <c r="H30" s="193">
        <v>45253.500000000044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82</v>
      </c>
      <c r="B37" s="359"/>
      <c r="C37" s="181">
        <v>21150.3</v>
      </c>
      <c r="D37" s="360"/>
      <c r="E37" s="122"/>
      <c r="F37" s="172"/>
      <c r="G37" s="100"/>
      <c r="H37" s="100"/>
    </row>
    <row r="38" spans="1:8" ht="15.75" x14ac:dyDescent="0.25">
      <c r="A38" s="358" t="s">
        <v>121</v>
      </c>
      <c r="B38" s="359"/>
      <c r="C38" s="181">
        <v>6745</v>
      </c>
      <c r="D38" s="360"/>
      <c r="E38" s="122"/>
      <c r="F38" s="172"/>
      <c r="G38" s="100"/>
      <c r="H38" s="100"/>
    </row>
    <row r="39" spans="1:8" ht="31.5" x14ac:dyDescent="0.25">
      <c r="A39" s="423" t="s">
        <v>134</v>
      </c>
      <c r="B39" s="359"/>
      <c r="C39" s="181">
        <v>6748.5</v>
      </c>
      <c r="D39" s="360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34643.800000000003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11495.8+E19-G19</f>
        <v>-23148.000000000004</v>
      </c>
      <c r="C43" s="201" t="s">
        <v>119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201"/>
      <c r="D44" s="184"/>
      <c r="E44" s="185"/>
      <c r="F44" s="186"/>
      <c r="G44" s="169"/>
      <c r="H44" s="100"/>
    </row>
    <row r="45" spans="1:8" ht="15.75" x14ac:dyDescent="0.25">
      <c r="A45" s="92"/>
      <c r="B45" s="93"/>
      <c r="C45" s="201"/>
      <c r="D45" s="184"/>
      <c r="E45" s="185"/>
      <c r="F45" s="186"/>
      <c r="G45" s="169"/>
      <c r="H45" s="100"/>
    </row>
    <row r="46" spans="1:8" ht="15.75" x14ac:dyDescent="0.25">
      <c r="A46" s="197" t="s">
        <v>69</v>
      </c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8"/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197" t="s">
        <v>53</v>
      </c>
      <c r="B48" s="40" t="s">
        <v>54</v>
      </c>
      <c r="C48" s="199"/>
      <c r="D48" s="184"/>
      <c r="E48" s="185"/>
      <c r="F48" s="186"/>
      <c r="G48" s="169"/>
      <c r="H48" s="100"/>
    </row>
    <row r="49" spans="1:7" x14ac:dyDescent="0.25">
      <c r="A49" s="31"/>
      <c r="B49" s="28"/>
      <c r="C49" s="36"/>
      <c r="D49" s="19"/>
      <c r="E49" s="17"/>
      <c r="F49" s="18"/>
      <c r="G49" s="15"/>
    </row>
    <row r="50" spans="1:7" x14ac:dyDescent="0.25">
      <c r="A50" s="37"/>
      <c r="B50" s="38"/>
      <c r="C50" s="36"/>
      <c r="D50" s="19"/>
      <c r="E50" s="17"/>
      <c r="F50" s="18"/>
      <c r="G50" s="15"/>
    </row>
    <row r="51" spans="1:7" ht="15.75" x14ac:dyDescent="0.25">
      <c r="A51" s="39" t="s">
        <v>27</v>
      </c>
      <c r="B51" s="40" t="s">
        <v>54</v>
      </c>
      <c r="C51" s="41"/>
      <c r="D51" s="42" t="s">
        <v>28</v>
      </c>
      <c r="E51" s="10"/>
    </row>
    <row r="52" spans="1:7" x14ac:dyDescent="0.25">
      <c r="A52" s="6"/>
      <c r="B52" s="7"/>
      <c r="C52" s="10"/>
      <c r="D52" s="35"/>
      <c r="E52" s="8"/>
    </row>
    <row r="53" spans="1:7" x14ac:dyDescent="0.25">
      <c r="A53" s="6"/>
      <c r="B53" s="7"/>
      <c r="C53" s="10"/>
      <c r="D53" s="34"/>
      <c r="E53" s="8"/>
    </row>
    <row r="54" spans="1:7" x14ac:dyDescent="0.25">
      <c r="A54" s="13"/>
      <c r="B54" s="14"/>
      <c r="C54" s="10"/>
      <c r="D54" s="29"/>
      <c r="E54" s="10"/>
    </row>
    <row r="55" spans="1:7" x14ac:dyDescent="0.25">
      <c r="E55" s="10"/>
    </row>
    <row r="56" spans="1:7" x14ac:dyDescent="0.25">
      <c r="A56" s="6"/>
      <c r="B56" s="7"/>
      <c r="C56" s="8"/>
      <c r="D56" s="11"/>
      <c r="E56" s="10"/>
    </row>
    <row r="57" spans="1:7" x14ac:dyDescent="0.25">
      <c r="A57" s="4"/>
      <c r="B57" s="5"/>
      <c r="C57" s="10"/>
      <c r="D57" s="11"/>
      <c r="E57" s="10"/>
      <c r="F57" s="12"/>
    </row>
    <row r="58" spans="1:7" x14ac:dyDescent="0.25">
      <c r="A58" s="6"/>
      <c r="B58" s="7"/>
      <c r="C58" s="10"/>
      <c r="D58" s="11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9"/>
      <c r="E60" s="10"/>
    </row>
    <row r="61" spans="1:7" x14ac:dyDescent="0.25">
      <c r="A61" s="6"/>
      <c r="B61" s="7"/>
      <c r="C61" s="7"/>
      <c r="D61" s="8"/>
      <c r="E61" s="8"/>
      <c r="F61" s="3"/>
    </row>
    <row r="62" spans="1:7" x14ac:dyDescent="0.25">
      <c r="A62" s="6"/>
      <c r="B62" s="7"/>
      <c r="D62" s="8"/>
      <c r="E62" s="10"/>
    </row>
    <row r="63" spans="1:7" x14ac:dyDescent="0.25">
      <c r="D63" s="8"/>
      <c r="E63" s="8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8"/>
      <c r="E70" s="8"/>
      <c r="F70" s="3"/>
    </row>
    <row r="71" spans="2:6" x14ac:dyDescent="0.25">
      <c r="B71"/>
      <c r="C71"/>
      <c r="D71" s="10"/>
      <c r="E71" s="10"/>
      <c r="F71" s="3"/>
    </row>
    <row r="72" spans="2:6" x14ac:dyDescent="0.25">
      <c r="D72" s="10"/>
      <c r="E72" s="10"/>
    </row>
    <row r="73" spans="2:6" x14ac:dyDescent="0.25"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</row>
    <row r="77" spans="2:6" x14ac:dyDescent="0.25">
      <c r="B77"/>
      <c r="C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52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6"/>
  <sheetViews>
    <sheetView view="pageBreakPreview" zoomScale="60" workbookViewId="0">
      <selection activeCell="E43" sqref="E43"/>
    </sheetView>
  </sheetViews>
  <sheetFormatPr defaultRowHeight="15" x14ac:dyDescent="0.25"/>
  <cols>
    <col min="1" max="1" width="45.1406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6.28515625" customWidth="1"/>
    <col min="7" max="7" width="14.5703125" customWidth="1"/>
    <col min="8" max="8" width="18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136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57</v>
      </c>
      <c r="B6" s="108"/>
      <c r="C6" s="345">
        <v>1302.5</v>
      </c>
      <c r="D6" s="346">
        <v>43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1302.5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0.11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72.7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21010.785348558853</v>
      </c>
      <c r="C18" s="347">
        <v>171930</v>
      </c>
      <c r="D18" s="320"/>
      <c r="E18" s="347">
        <v>157601.87188774484</v>
      </c>
      <c r="F18" s="321">
        <v>35338.913460814016</v>
      </c>
      <c r="G18" s="141">
        <v>171930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9550.4206129812974</v>
      </c>
      <c r="C19" s="347">
        <v>78150</v>
      </c>
      <c r="D19" s="320"/>
      <c r="E19" s="347">
        <v>71985.844494429475</v>
      </c>
      <c r="F19" s="143">
        <v>15714.57611855182</v>
      </c>
      <c r="G19" s="323">
        <v>87536.42</v>
      </c>
      <c r="H19" s="189">
        <v>-9386.4199999999983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210.15828782003226</v>
      </c>
      <c r="C20" s="347">
        <v>1719.36</v>
      </c>
      <c r="D20" s="146"/>
      <c r="E20" s="347">
        <v>2166.1629037638168</v>
      </c>
      <c r="F20" s="149">
        <v>-236.64461594378463</v>
      </c>
      <c r="G20" s="326">
        <v>4200</v>
      </c>
      <c r="H20" s="189">
        <v>-2480.6400000000003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351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68641.963458107493</v>
      </c>
      <c r="C22" s="153">
        <v>540280.82999999996</v>
      </c>
      <c r="D22" s="153">
        <v>-37837.93</v>
      </c>
      <c r="E22" s="153">
        <v>476316.38957340235</v>
      </c>
      <c r="F22" s="153">
        <v>94768.473884705192</v>
      </c>
      <c r="G22" s="153">
        <v>612869</v>
      </c>
      <c r="H22" s="191">
        <v>-110426.10000000003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51095.215951230755</v>
      </c>
      <c r="C23" s="352">
        <v>365072.91</v>
      </c>
      <c r="D23" s="353">
        <v>-28.52</v>
      </c>
      <c r="E23" s="352">
        <v>334543.78137359628</v>
      </c>
      <c r="F23" s="155">
        <v>81595.824577634456</v>
      </c>
      <c r="G23" s="333">
        <v>555712.86</v>
      </c>
      <c r="H23" s="189">
        <v>-190668.47000000003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11931.706454740666</v>
      </c>
      <c r="C24" s="192">
        <v>104517.86</v>
      </c>
      <c r="D24" s="158">
        <v>-23778.230000000003</v>
      </c>
      <c r="E24" s="334">
        <v>84021.778592255287</v>
      </c>
      <c r="F24" s="158">
        <v>8649.5578624853806</v>
      </c>
      <c r="G24" s="145">
        <v>19847.21</v>
      </c>
      <c r="H24" s="189">
        <v>60892.420000000006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1225.2019103400305</v>
      </c>
      <c r="C25" s="354">
        <v>26945.38</v>
      </c>
      <c r="D25" s="355">
        <v>-5118.33</v>
      </c>
      <c r="E25" s="354">
        <v>23295.220624080743</v>
      </c>
      <c r="F25" s="158">
        <v>-242.96871374070906</v>
      </c>
      <c r="G25" s="145">
        <v>13587.43</v>
      </c>
      <c r="H25" s="189">
        <v>8239.6200000000026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4389.8391417960374</v>
      </c>
      <c r="C26" s="354">
        <v>43744.68</v>
      </c>
      <c r="D26" s="355">
        <v>-8912.85</v>
      </c>
      <c r="E26" s="354">
        <v>34455.608983469981</v>
      </c>
      <c r="F26" s="158">
        <v>4766.0601583260577</v>
      </c>
      <c r="G26" s="145">
        <v>23721.5</v>
      </c>
      <c r="H26" s="189">
        <v>11110.330000000002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-3.027707467683999</v>
      </c>
      <c r="C28" s="347">
        <v>2766.48</v>
      </c>
      <c r="D28" s="340"/>
      <c r="E28" s="347">
        <v>2773.0011406596195</v>
      </c>
      <c r="F28" s="158">
        <v>-9.5488481273036996</v>
      </c>
      <c r="G28" s="337">
        <v>2218.4009125276957</v>
      </c>
      <c r="H28" s="189">
        <v>548.07908747230431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99410.299999999988</v>
      </c>
      <c r="C30" s="166">
        <v>794846.66999999993</v>
      </c>
      <c r="D30" s="166">
        <v>-37837.93</v>
      </c>
      <c r="E30" s="166">
        <v>710843.27000000014</v>
      </c>
      <c r="F30" s="166">
        <v>145575.76999999993</v>
      </c>
      <c r="G30" s="166">
        <v>878753.82091252762</v>
      </c>
      <c r="H30" s="193">
        <v>-121745.08091252773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137</v>
      </c>
      <c r="B37" s="180"/>
      <c r="C37" s="342">
        <v>2880.35</v>
      </c>
      <c r="D37" s="357"/>
      <c r="E37" s="122"/>
      <c r="F37" s="172"/>
      <c r="G37" s="100"/>
      <c r="H37" s="100"/>
    </row>
    <row r="38" spans="1:8" ht="15.75" x14ac:dyDescent="0.25">
      <c r="A38" s="358" t="s">
        <v>138</v>
      </c>
      <c r="B38" s="359"/>
      <c r="C38" s="181">
        <v>3790.62</v>
      </c>
      <c r="D38" s="360"/>
      <c r="E38" s="122"/>
      <c r="F38" s="172"/>
      <c r="G38" s="100"/>
      <c r="H38" s="100"/>
    </row>
    <row r="39" spans="1:8" ht="15.75" x14ac:dyDescent="0.25">
      <c r="A39" s="358" t="s">
        <v>138</v>
      </c>
      <c r="B39" s="359"/>
      <c r="C39" s="181">
        <v>8280.42</v>
      </c>
      <c r="D39" s="360"/>
      <c r="E39" s="172"/>
      <c r="F39" s="100"/>
      <c r="G39" s="100"/>
      <c r="H39" s="100"/>
    </row>
    <row r="40" spans="1:8" ht="15.75" x14ac:dyDescent="0.25">
      <c r="A40" s="361" t="s">
        <v>82</v>
      </c>
      <c r="B40" s="362"/>
      <c r="C40" s="183">
        <v>42820.800000000003</v>
      </c>
      <c r="D40" s="360"/>
      <c r="E40" s="172"/>
      <c r="F40" s="100"/>
      <c r="G40" s="100"/>
      <c r="H40" s="100"/>
    </row>
    <row r="41" spans="1:8" ht="15.75" x14ac:dyDescent="0.25">
      <c r="A41" s="361" t="s">
        <v>278</v>
      </c>
      <c r="B41" s="362"/>
      <c r="C41" s="183">
        <v>29764.23</v>
      </c>
      <c r="D41" s="360"/>
      <c r="E41" s="172"/>
      <c r="F41" s="100"/>
      <c r="G41" s="100"/>
      <c r="H41" s="100"/>
    </row>
    <row r="42" spans="1:8" ht="16.5" thickBot="1" x14ac:dyDescent="0.3">
      <c r="A42" s="113" t="s">
        <v>5</v>
      </c>
      <c r="B42" s="114">
        <f>B37</f>
        <v>0</v>
      </c>
      <c r="C42" s="343">
        <f>SUM(C37:C41)</f>
        <v>87536.42</v>
      </c>
      <c r="D42" s="116"/>
      <c r="E42" s="116"/>
      <c r="F42" s="11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344" t="s">
        <v>118</v>
      </c>
      <c r="B44" s="93">
        <f>-47122.55+E19-G19</f>
        <v>-62673.125505570526</v>
      </c>
      <c r="C44" s="94" t="s">
        <v>24</v>
      </c>
      <c r="D44" s="184"/>
      <c r="E44" s="185"/>
      <c r="F44" s="186"/>
      <c r="G44" s="169"/>
      <c r="H44" s="100"/>
    </row>
    <row r="45" spans="1:8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8" ht="15.75" x14ac:dyDescent="0.25">
      <c r="A46" s="197" t="s">
        <v>69</v>
      </c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8"/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363" t="s">
        <v>53</v>
      </c>
      <c r="B48" s="40" t="s">
        <v>54</v>
      </c>
      <c r="C48" s="199"/>
      <c r="D48" s="184"/>
      <c r="E48" s="185"/>
      <c r="F48" s="186"/>
      <c r="G48" s="169"/>
      <c r="H48" s="100"/>
    </row>
    <row r="49" spans="1:7" x14ac:dyDescent="0.25">
      <c r="A49" s="31"/>
      <c r="B49" s="28"/>
      <c r="C49" s="36"/>
      <c r="D49" s="19"/>
      <c r="E49" s="17"/>
      <c r="F49" s="18"/>
      <c r="G49" s="15"/>
    </row>
    <row r="50" spans="1:7" x14ac:dyDescent="0.25">
      <c r="A50" s="37"/>
      <c r="B50" s="38"/>
      <c r="C50" s="36"/>
      <c r="D50" s="19"/>
      <c r="E50" s="17"/>
      <c r="F50" s="18"/>
      <c r="G50" s="15"/>
    </row>
    <row r="51" spans="1:7" ht="15.75" x14ac:dyDescent="0.25">
      <c r="A51" s="39" t="s">
        <v>27</v>
      </c>
      <c r="B51" s="40" t="s">
        <v>54</v>
      </c>
      <c r="C51" s="41"/>
      <c r="D51" s="42" t="s">
        <v>28</v>
      </c>
      <c r="E51" s="10"/>
    </row>
    <row r="52" spans="1:7" x14ac:dyDescent="0.25">
      <c r="A52" s="6"/>
      <c r="B52" s="7"/>
      <c r="C52" s="10"/>
      <c r="D52" s="35"/>
      <c r="E52" s="8"/>
    </row>
    <row r="53" spans="1:7" x14ac:dyDescent="0.25">
      <c r="A53" s="6"/>
      <c r="B53" s="7"/>
      <c r="C53" s="10"/>
      <c r="D53" s="34"/>
      <c r="E53" s="8"/>
    </row>
    <row r="54" spans="1:7" x14ac:dyDescent="0.25">
      <c r="A54" s="13"/>
      <c r="B54" s="14"/>
      <c r="C54" s="10"/>
      <c r="D54" s="29"/>
      <c r="E54" s="10"/>
    </row>
    <row r="55" spans="1:7" x14ac:dyDescent="0.25">
      <c r="C55" s="10"/>
      <c r="E55" s="10"/>
    </row>
    <row r="56" spans="1:7" x14ac:dyDescent="0.25">
      <c r="A56" s="6"/>
      <c r="B56" s="7"/>
      <c r="C56" s="8"/>
      <c r="D56" s="11"/>
      <c r="E56" s="10"/>
    </row>
    <row r="57" spans="1:7" x14ac:dyDescent="0.25">
      <c r="A57" s="4"/>
      <c r="B57" s="5"/>
      <c r="C57" s="10"/>
      <c r="D57" s="11"/>
      <c r="E57" s="10"/>
      <c r="F57" s="12"/>
    </row>
    <row r="58" spans="1:7" x14ac:dyDescent="0.25">
      <c r="A58" s="6"/>
      <c r="B58" s="7"/>
      <c r="C58" s="10"/>
      <c r="D58" s="11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9"/>
      <c r="E60" s="10"/>
    </row>
    <row r="61" spans="1:7" x14ac:dyDescent="0.25">
      <c r="A61" s="6"/>
      <c r="B61" s="7"/>
      <c r="C61" s="7"/>
      <c r="D61" s="8"/>
      <c r="E61" s="8"/>
      <c r="F61" s="3"/>
    </row>
    <row r="62" spans="1:7" x14ac:dyDescent="0.25">
      <c r="A62" s="6"/>
      <c r="B62" s="7"/>
      <c r="D62" s="8"/>
      <c r="E62" s="10"/>
    </row>
    <row r="63" spans="1:7" x14ac:dyDescent="0.25">
      <c r="D63" s="8"/>
      <c r="E63" s="8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8"/>
      <c r="E70" s="8"/>
      <c r="F70" s="3"/>
    </row>
    <row r="71" spans="2:6" x14ac:dyDescent="0.25">
      <c r="B71"/>
      <c r="C71"/>
      <c r="D71" s="10"/>
      <c r="E71" s="10"/>
      <c r="F71" s="3"/>
    </row>
    <row r="72" spans="2:6" x14ac:dyDescent="0.25">
      <c r="D72" s="10"/>
      <c r="E72" s="10"/>
    </row>
    <row r="73" spans="2:6" x14ac:dyDescent="0.25"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</row>
    <row r="77" spans="2:6" x14ac:dyDescent="0.25">
      <c r="B77"/>
      <c r="C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52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workbookViewId="0">
      <selection activeCell="J41" sqref="J41"/>
    </sheetView>
  </sheetViews>
  <sheetFormatPr defaultRowHeight="15" x14ac:dyDescent="0.25"/>
  <cols>
    <col min="1" max="1" width="42.5703125" customWidth="1"/>
    <col min="2" max="2" width="16.5703125" style="3" customWidth="1"/>
    <col min="3" max="3" width="19.5703125" style="3" customWidth="1"/>
    <col min="4" max="4" width="17.42578125" style="3" customWidth="1"/>
    <col min="5" max="5" width="18.42578125" style="3" customWidth="1"/>
    <col min="6" max="6" width="16.28515625" customWidth="1"/>
    <col min="7" max="7" width="16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139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58</v>
      </c>
      <c r="B6" s="108"/>
      <c r="C6" s="383">
        <v>687.1</v>
      </c>
      <c r="D6" s="474">
        <v>22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687.1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475">
        <v>10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475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140</v>
      </c>
      <c r="C17" s="135" t="s">
        <v>74</v>
      </c>
      <c r="D17" s="135" t="s">
        <v>84</v>
      </c>
      <c r="E17" s="135" t="s">
        <v>75</v>
      </c>
      <c r="F17" s="317" t="s">
        <v>141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6444.5599999999995</v>
      </c>
      <c r="C18" s="490">
        <v>75636</v>
      </c>
      <c r="D18" s="491"/>
      <c r="E18" s="490">
        <v>71978.33</v>
      </c>
      <c r="F18" s="321">
        <v>10102.229999999996</v>
      </c>
      <c r="G18" s="492">
        <v>75636</v>
      </c>
      <c r="H18" s="493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3">
        <v>2018.8999999999996</v>
      </c>
      <c r="C19" s="484">
        <v>23053.4</v>
      </c>
      <c r="D19" s="485">
        <v>-388.2</v>
      </c>
      <c r="E19" s="484">
        <v>21952.720000000001</v>
      </c>
      <c r="F19" s="143">
        <v>2731.380000000001</v>
      </c>
      <c r="G19" s="323">
        <v>1903.4840000000002</v>
      </c>
      <c r="H19" s="189">
        <v>20761.716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3">
        <v>-842.07</v>
      </c>
      <c r="C20" s="354">
        <v>412.26</v>
      </c>
      <c r="D20" s="485">
        <v>-412.26</v>
      </c>
      <c r="E20" s="354">
        <v>-820.64</v>
      </c>
      <c r="F20" s="143">
        <v>-21.430000000000064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0"/>
      <c r="C21" s="486"/>
      <c r="D21" s="190"/>
      <c r="E21" s="487"/>
      <c r="F21" s="140">
        <v>0</v>
      </c>
      <c r="G21" s="150"/>
      <c r="H21" s="351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30579.410000000003</v>
      </c>
      <c r="C22" s="153">
        <v>333017.40000000008</v>
      </c>
      <c r="D22" s="153">
        <v>-4790.6299999999992</v>
      </c>
      <c r="E22" s="153">
        <v>319386.39</v>
      </c>
      <c r="F22" s="153">
        <v>39419.790000000008</v>
      </c>
      <c r="G22" s="153">
        <v>285656.09000000003</v>
      </c>
      <c r="H22" s="456">
        <v>42570.680000000051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22744.980000000003</v>
      </c>
      <c r="C23" s="488">
        <v>223775.15</v>
      </c>
      <c r="D23" s="366"/>
      <c r="E23" s="488">
        <v>216125.42</v>
      </c>
      <c r="F23" s="156">
        <v>30394.709999999992</v>
      </c>
      <c r="G23" s="489">
        <v>116379.85</v>
      </c>
      <c r="H23" s="189">
        <v>107395.29999999999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5456.25</v>
      </c>
      <c r="C24" s="192">
        <v>68140.760000000009</v>
      </c>
      <c r="D24" s="158">
        <v>-3043.45</v>
      </c>
      <c r="E24" s="334">
        <v>65493.67</v>
      </c>
      <c r="F24" s="158">
        <v>5059.890000000014</v>
      </c>
      <c r="G24" s="145">
        <v>144710.53</v>
      </c>
      <c r="H24" s="189">
        <v>-79613.219999999987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683.09</v>
      </c>
      <c r="C25" s="484">
        <v>15376.59</v>
      </c>
      <c r="D25" s="485">
        <v>-657.66</v>
      </c>
      <c r="E25" s="484">
        <v>14022.6</v>
      </c>
      <c r="F25" s="158">
        <v>1379.42</v>
      </c>
      <c r="G25" s="145">
        <v>8948.4500000000007</v>
      </c>
      <c r="H25" s="189">
        <v>5770.48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1695.0899999999992</v>
      </c>
      <c r="C26" s="484">
        <v>25724.9</v>
      </c>
      <c r="D26" s="484">
        <v>-1089.52</v>
      </c>
      <c r="E26" s="484">
        <v>23744.7</v>
      </c>
      <c r="F26" s="158">
        <v>2585.7700000000004</v>
      </c>
      <c r="G26" s="145">
        <v>15617.26</v>
      </c>
      <c r="H26" s="189">
        <v>9018.1200000000008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47"/>
      <c r="D28" s="340"/>
      <c r="E28" s="347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38200.800000000003</v>
      </c>
      <c r="C30" s="166">
        <v>432119.06000000006</v>
      </c>
      <c r="D30" s="166">
        <v>-5591.0899999999992</v>
      </c>
      <c r="E30" s="166">
        <v>412496.80000000005</v>
      </c>
      <c r="F30" s="166">
        <v>52231.97</v>
      </c>
      <c r="G30" s="166">
        <v>363195.57400000002</v>
      </c>
      <c r="H30" s="193">
        <v>63332.396000000052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142</v>
      </c>
      <c r="B37" s="180"/>
      <c r="C37" s="342">
        <f>1730.44*1.1</f>
        <v>1903.4840000000002</v>
      </c>
      <c r="D37" s="357"/>
      <c r="E37" s="122"/>
      <c r="F37" s="172"/>
      <c r="G37" s="100"/>
      <c r="H37" s="100"/>
    </row>
    <row r="38" spans="1:8" ht="16.5" thickBot="1" x14ac:dyDescent="0.3">
      <c r="A38" s="113" t="s">
        <v>5</v>
      </c>
      <c r="B38" s="114">
        <f>B37</f>
        <v>0</v>
      </c>
      <c r="C38" s="343">
        <f>SUM(C37:C37)</f>
        <v>1903.4840000000002</v>
      </c>
      <c r="D38" s="116"/>
      <c r="E38" s="116"/>
      <c r="F38" s="116"/>
      <c r="G38" s="169"/>
      <c r="H38" s="100"/>
    </row>
    <row r="39" spans="1:8" ht="15.75" x14ac:dyDescent="0.25">
      <c r="A39" s="92"/>
      <c r="B39" s="93"/>
      <c r="C39" s="94"/>
      <c r="D39" s="184"/>
      <c r="E39" s="185"/>
      <c r="F39" s="186"/>
      <c r="G39" s="169"/>
      <c r="H39" s="100"/>
    </row>
    <row r="40" spans="1:8" ht="15.75" x14ac:dyDescent="0.25">
      <c r="A40" s="92" t="s">
        <v>118</v>
      </c>
      <c r="B40" s="93">
        <f>6189.9+E19-G19</f>
        <v>26239.136000000002</v>
      </c>
      <c r="C40" s="94" t="s">
        <v>24</v>
      </c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C52" s="10"/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hidden="1" x14ac:dyDescent="0.25">
      <c r="D61" s="10"/>
      <c r="E61" s="10"/>
    </row>
    <row r="62" spans="1:6" hidden="1" x14ac:dyDescent="0.25">
      <c r="D62" s="10"/>
      <c r="E62" s="10"/>
    </row>
    <row r="63" spans="1:6" hidden="1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rowBreaks count="1" manualBreakCount="1">
    <brk id="4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5"/>
  <sheetViews>
    <sheetView view="pageBreakPreview" zoomScale="60" workbookViewId="0">
      <selection activeCell="G45" sqref="G45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6" width="16.28515625" customWidth="1"/>
    <col min="7" max="7" width="17.1406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17" max="17" width="13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143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473" t="s">
        <v>56</v>
      </c>
      <c r="B6" s="108"/>
      <c r="C6" s="383">
        <v>1384.6</v>
      </c>
      <c r="D6" s="474">
        <v>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1384.6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475">
        <v>10.34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475">
        <v>4.03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476">
        <v>0.9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400" t="s">
        <v>265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3"/>
      <c r="M17" s="23"/>
      <c r="N17" s="23"/>
      <c r="O17" s="65"/>
      <c r="P17" s="83"/>
      <c r="Q17" s="23"/>
      <c r="R17" s="23"/>
      <c r="S17" s="6"/>
      <c r="T17" s="6"/>
      <c r="U17" s="6"/>
      <c r="V17" s="6"/>
    </row>
    <row r="18" spans="1:22" ht="15.75" x14ac:dyDescent="0.25">
      <c r="A18" s="110" t="s">
        <v>12</v>
      </c>
      <c r="B18" s="477">
        <v>65567.685762095512</v>
      </c>
      <c r="C18" s="478">
        <v>190708.91</v>
      </c>
      <c r="D18" s="479">
        <v>-56008.45</v>
      </c>
      <c r="E18" s="479">
        <v>92925.54</v>
      </c>
      <c r="F18" s="321">
        <v>107342.60576209553</v>
      </c>
      <c r="G18" s="378">
        <v>134700.46000000002</v>
      </c>
      <c r="H18" s="189">
        <v>0</v>
      </c>
      <c r="L18" s="20"/>
      <c r="M18" s="20"/>
      <c r="N18" s="20"/>
      <c r="O18" s="23"/>
      <c r="P18" s="20"/>
      <c r="Q18" s="20"/>
      <c r="R18" s="20"/>
      <c r="S18" s="6"/>
      <c r="T18" s="6"/>
      <c r="U18" s="6"/>
      <c r="V18" s="6"/>
    </row>
    <row r="19" spans="1:22" ht="15.75" x14ac:dyDescent="0.25">
      <c r="A19" s="142" t="s">
        <v>13</v>
      </c>
      <c r="B19" s="323">
        <v>25548.419024202121</v>
      </c>
      <c r="C19" s="480">
        <v>74925.53</v>
      </c>
      <c r="D19" s="480">
        <v>-20516.37</v>
      </c>
      <c r="E19" s="480">
        <v>37113.25</v>
      </c>
      <c r="F19" s="143">
        <v>42844.329024202132</v>
      </c>
      <c r="G19" s="323">
        <v>57067.804000000004</v>
      </c>
      <c r="H19" s="189">
        <v>-2658.6440000000002</v>
      </c>
      <c r="L19" s="23"/>
      <c r="M19" s="20"/>
      <c r="N19" s="23"/>
      <c r="O19" s="20"/>
      <c r="P19" s="23"/>
      <c r="Q19" s="20"/>
      <c r="R19" s="20"/>
      <c r="S19" s="6"/>
      <c r="T19" s="6"/>
      <c r="U19" s="6"/>
      <c r="V19" s="6"/>
    </row>
    <row r="20" spans="1:22" ht="15.75" x14ac:dyDescent="0.25">
      <c r="A20" s="144" t="s">
        <v>15</v>
      </c>
      <c r="B20" s="143">
        <v>5705.5275485447219</v>
      </c>
      <c r="C20" s="480">
        <v>16732.71</v>
      </c>
      <c r="D20" s="480">
        <v>-4581.8100000000004</v>
      </c>
      <c r="E20" s="480">
        <v>8376.35</v>
      </c>
      <c r="F20" s="143">
        <v>9480.0775485447175</v>
      </c>
      <c r="G20" s="145">
        <v>16732.71</v>
      </c>
      <c r="H20" s="189">
        <v>-4581.8100000000013</v>
      </c>
      <c r="L20" s="20"/>
      <c r="M20" s="20"/>
      <c r="N20" s="20"/>
      <c r="O20" s="20"/>
      <c r="P20" s="20"/>
      <c r="Q20" s="20"/>
      <c r="R20" s="20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78">
        <v>269252.62</v>
      </c>
      <c r="D21" s="481">
        <v>1947.45</v>
      </c>
      <c r="E21" s="478">
        <v>72788.08</v>
      </c>
      <c r="F21" s="149">
        <v>198411.99</v>
      </c>
      <c r="G21" s="482">
        <v>269252.62</v>
      </c>
      <c r="H21" s="189">
        <v>1947.4500000000116</v>
      </c>
      <c r="L21" s="20"/>
      <c r="M21" s="20"/>
      <c r="N21" s="20"/>
      <c r="O21" s="20"/>
      <c r="P21" s="20"/>
      <c r="Q21" s="20"/>
      <c r="R21" s="20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232638.37766515763</v>
      </c>
      <c r="C22" s="153">
        <v>657654.44000000006</v>
      </c>
      <c r="D22" s="153">
        <v>-298105.78999999998</v>
      </c>
      <c r="E22" s="153">
        <v>276600.64</v>
      </c>
      <c r="F22" s="153">
        <v>315586.38766515767</v>
      </c>
      <c r="G22" s="153">
        <v>418940.24</v>
      </c>
      <c r="H22" s="191">
        <v>-59391.590000000004</v>
      </c>
      <c r="M22" s="20"/>
      <c r="N22" s="6"/>
      <c r="O22" s="6"/>
      <c r="Q22" s="20"/>
      <c r="R22" s="20"/>
      <c r="S22" s="6"/>
      <c r="T22" s="6"/>
      <c r="U22" s="6"/>
      <c r="V22" s="6"/>
    </row>
    <row r="23" spans="1:22" ht="15.75" x14ac:dyDescent="0.25">
      <c r="A23" s="154" t="s">
        <v>17</v>
      </c>
      <c r="B23" s="155">
        <v>199666.76297742012</v>
      </c>
      <c r="C23" s="478">
        <v>456712.56</v>
      </c>
      <c r="D23" s="479">
        <v>-253061.5</v>
      </c>
      <c r="E23" s="483">
        <v>191390.79</v>
      </c>
      <c r="F23" s="156">
        <v>211927.03297742017</v>
      </c>
      <c r="G23" s="326">
        <v>193697.32</v>
      </c>
      <c r="H23" s="189">
        <v>9953.7399999999907</v>
      </c>
      <c r="M23" s="20"/>
      <c r="N23" s="6"/>
      <c r="O23" s="6"/>
      <c r="Q23" s="20"/>
      <c r="R23" s="20"/>
      <c r="S23" s="6"/>
      <c r="T23" s="6"/>
      <c r="U23" s="6"/>
      <c r="V23" s="6"/>
    </row>
    <row r="24" spans="1:22" ht="15.75" x14ac:dyDescent="0.25">
      <c r="A24" s="157" t="s">
        <v>18</v>
      </c>
      <c r="B24" s="158">
        <v>20480.980289208539</v>
      </c>
      <c r="C24" s="192">
        <v>143478.20000000001</v>
      </c>
      <c r="D24" s="158">
        <v>-33346.370000000003</v>
      </c>
      <c r="E24" s="334">
        <v>58051.78</v>
      </c>
      <c r="F24" s="158">
        <v>72561.030289208546</v>
      </c>
      <c r="G24" s="145">
        <v>127242.8</v>
      </c>
      <c r="H24" s="189">
        <v>-17110.969999999987</v>
      </c>
      <c r="M24" s="20"/>
      <c r="N24" s="6"/>
      <c r="O24" s="6"/>
      <c r="Q24" s="20"/>
      <c r="R24" s="20"/>
      <c r="S24" s="6"/>
      <c r="T24" s="6"/>
      <c r="U24" s="6"/>
      <c r="V24" s="6"/>
    </row>
    <row r="25" spans="1:22" ht="15.75" x14ac:dyDescent="0.25">
      <c r="A25" s="157" t="s">
        <v>19</v>
      </c>
      <c r="B25" s="158">
        <v>4801.1269070810667</v>
      </c>
      <c r="C25" s="480">
        <v>23217.55</v>
      </c>
      <c r="D25" s="480">
        <v>-4293.22</v>
      </c>
      <c r="E25" s="480">
        <v>11119.97</v>
      </c>
      <c r="F25" s="158">
        <v>12605.486907081066</v>
      </c>
      <c r="G25" s="145">
        <v>38826.01</v>
      </c>
      <c r="H25" s="189">
        <v>-19901.680000000004</v>
      </c>
      <c r="M25" s="20"/>
      <c r="N25" s="6"/>
      <c r="O25" s="6"/>
      <c r="Q25" s="20"/>
      <c r="R25" s="20"/>
      <c r="S25" s="6"/>
      <c r="T25" s="6"/>
      <c r="U25" s="6"/>
      <c r="V25" s="6"/>
    </row>
    <row r="26" spans="1:22" ht="15.75" x14ac:dyDescent="0.25">
      <c r="A26" s="157" t="s">
        <v>20</v>
      </c>
      <c r="B26" s="158">
        <v>7689.5074914479383</v>
      </c>
      <c r="C26" s="480">
        <v>34246.129999999997</v>
      </c>
      <c r="D26" s="480">
        <v>-7404.7</v>
      </c>
      <c r="E26" s="480">
        <v>16038.1</v>
      </c>
      <c r="F26" s="158">
        <v>18492.837491447943</v>
      </c>
      <c r="G26" s="145">
        <v>59174.11</v>
      </c>
      <c r="H26" s="189">
        <v>-32332.680000000004</v>
      </c>
      <c r="K26" s="52"/>
      <c r="M26" s="20"/>
      <c r="N26" s="6"/>
      <c r="O26" s="6"/>
      <c r="Q26" s="20"/>
      <c r="R26" s="20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Q27" s="20"/>
      <c r="R27" s="20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47"/>
      <c r="D28" s="340"/>
      <c r="E28" s="347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3"/>
      <c r="Q28" s="20"/>
      <c r="R28" s="20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329460.01</v>
      </c>
      <c r="C30" s="166">
        <v>1209274.21</v>
      </c>
      <c r="D30" s="166">
        <v>-377264.97</v>
      </c>
      <c r="E30" s="166">
        <v>487803.86000000004</v>
      </c>
      <c r="F30" s="166">
        <v>673665.39</v>
      </c>
      <c r="G30" s="166">
        <v>627441.21400000004</v>
      </c>
      <c r="H30" s="193">
        <v>-66632.044000000009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144</v>
      </c>
      <c r="B37" s="180"/>
      <c r="C37" s="342">
        <f>500*1.1</f>
        <v>550</v>
      </c>
      <c r="D37" s="357"/>
      <c r="E37" s="122"/>
      <c r="F37" s="172"/>
      <c r="G37" s="100"/>
      <c r="H37" s="100"/>
    </row>
    <row r="38" spans="1:8" ht="15.75" x14ac:dyDescent="0.25">
      <c r="A38" s="180" t="s">
        <v>145</v>
      </c>
      <c r="B38" s="341"/>
      <c r="C38" s="342">
        <v>45824</v>
      </c>
      <c r="D38" s="357"/>
      <c r="E38" s="122"/>
      <c r="F38" s="172"/>
      <c r="G38" s="100"/>
      <c r="H38" s="100"/>
    </row>
    <row r="39" spans="1:8" ht="15.75" x14ac:dyDescent="0.25">
      <c r="A39" s="179" t="s">
        <v>146</v>
      </c>
      <c r="B39" s="180"/>
      <c r="C39" s="342">
        <f>9721.64*1.1</f>
        <v>10693.804</v>
      </c>
      <c r="D39" s="357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57067.804000000004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-35084+E19-G19</f>
        <v>-55038.554000000004</v>
      </c>
      <c r="C43" s="94"/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" right="0.7" top="0.75" bottom="0.75" header="0.3" footer="0.3"/>
  <pageSetup paperSize="9" scale="52" fitToHeight="0" orientation="portrait" r:id="rId1"/>
  <rowBreaks count="1" manualBreakCount="1">
    <brk id="51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workbookViewId="0">
      <selection activeCell="M37" sqref="M37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7" width="16.285156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147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1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64</v>
      </c>
      <c r="B6" s="108"/>
      <c r="C6" s="108">
        <v>412.9</v>
      </c>
      <c r="D6" s="109">
        <v>26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412.9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6794.21</v>
      </c>
      <c r="C18" s="468">
        <v>44593.2</v>
      </c>
      <c r="D18" s="320"/>
      <c r="E18" s="468">
        <v>36593.49</v>
      </c>
      <c r="F18" s="321">
        <v>14793.919999999998</v>
      </c>
      <c r="G18" s="141">
        <v>44593.2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5282.9700000000012</v>
      </c>
      <c r="C19" s="468">
        <v>34683.599999999999</v>
      </c>
      <c r="D19" s="320"/>
      <c r="E19" s="468">
        <v>28591.95</v>
      </c>
      <c r="F19" s="143">
        <v>11374.619999999999</v>
      </c>
      <c r="G19" s="323">
        <v>55073.48</v>
      </c>
      <c r="H19" s="189">
        <v>-20389.880000000005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7"/>
      <c r="D20" s="146"/>
      <c r="E20" s="347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13655.26</v>
      </c>
      <c r="C22" s="153">
        <v>164360.46</v>
      </c>
      <c r="D22" s="153">
        <v>-867.89</v>
      </c>
      <c r="E22" s="153">
        <v>120357.64</v>
      </c>
      <c r="F22" s="153">
        <v>56790.190000000017</v>
      </c>
      <c r="G22" s="153">
        <v>212008.39</v>
      </c>
      <c r="H22" s="191">
        <v>-48515.820000000014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20187.259999999998</v>
      </c>
      <c r="C23" s="468">
        <v>134472.53</v>
      </c>
      <c r="D23" s="366"/>
      <c r="E23" s="468">
        <v>109631.9</v>
      </c>
      <c r="F23" s="156">
        <v>45027.890000000014</v>
      </c>
      <c r="G23" s="326">
        <v>105644.82</v>
      </c>
      <c r="H23" s="189">
        <v>28827.709999999992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-8895.7999999999993</v>
      </c>
      <c r="C24" s="192"/>
      <c r="D24" s="158"/>
      <c r="E24" s="334">
        <v>-8895.7999999999993</v>
      </c>
      <c r="F24" s="158">
        <v>0</v>
      </c>
      <c r="G24" s="145">
        <v>87591.32</v>
      </c>
      <c r="H24" s="189">
        <v>-87591.32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1586.8599999999997</v>
      </c>
      <c r="C25" s="469">
        <v>14787.08</v>
      </c>
      <c r="D25" s="470">
        <v>-428.51</v>
      </c>
      <c r="E25" s="469">
        <v>10157.299999999999</v>
      </c>
      <c r="F25" s="158">
        <v>5788.1299999999992</v>
      </c>
      <c r="G25" s="145">
        <v>13196.85</v>
      </c>
      <c r="H25" s="189">
        <v>1161.7199999999993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776.94</v>
      </c>
      <c r="C26" s="469">
        <v>15100.85</v>
      </c>
      <c r="D26" s="470">
        <v>-439.38</v>
      </c>
      <c r="E26" s="469">
        <v>9464.24</v>
      </c>
      <c r="F26" s="158">
        <v>5974.1700000000019</v>
      </c>
      <c r="G26" s="145">
        <v>5575.4</v>
      </c>
      <c r="H26" s="189">
        <v>9086.0700000000015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68">
        <v>2233.6799999999998</v>
      </c>
      <c r="D28" s="340"/>
      <c r="E28" s="471">
        <v>361.97</v>
      </c>
      <c r="F28" s="158">
        <v>1871.7099999999998</v>
      </c>
      <c r="G28" s="337">
        <v>289.57600000000002</v>
      </c>
      <c r="H28" s="189">
        <v>1944.1039999999998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25732.440000000002</v>
      </c>
      <c r="C30" s="166">
        <v>245870.93999999997</v>
      </c>
      <c r="D30" s="166">
        <v>-867.89</v>
      </c>
      <c r="E30" s="166">
        <v>185905.05000000002</v>
      </c>
      <c r="F30" s="166">
        <v>84830.440000000017</v>
      </c>
      <c r="G30" s="166">
        <v>311964.64600000001</v>
      </c>
      <c r="H30" s="193">
        <v>-66961.596000000005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472" t="s">
        <v>97</v>
      </c>
      <c r="B37" s="359"/>
      <c r="C37" s="195">
        <v>55073.48</v>
      </c>
      <c r="D37" s="360"/>
      <c r="E37" s="122"/>
      <c r="F37" s="172"/>
      <c r="G37" s="100"/>
      <c r="H37" s="100"/>
    </row>
    <row r="38" spans="1:8" ht="16.5" thickBot="1" x14ac:dyDescent="0.3">
      <c r="A38" s="113" t="s">
        <v>5</v>
      </c>
      <c r="B38" s="114">
        <f>B37</f>
        <v>0</v>
      </c>
      <c r="C38" s="343">
        <f>SUM(C37:C37)</f>
        <v>55073.48</v>
      </c>
      <c r="D38" s="116"/>
      <c r="E38" s="116"/>
      <c r="F38" s="116"/>
      <c r="G38" s="169"/>
      <c r="H38" s="100"/>
    </row>
    <row r="39" spans="1:8" ht="15.75" x14ac:dyDescent="0.25">
      <c r="A39" s="92"/>
      <c r="B39" s="93"/>
      <c r="C39" s="94"/>
      <c r="D39" s="184"/>
      <c r="E39" s="185"/>
      <c r="F39" s="186"/>
      <c r="G39" s="169"/>
      <c r="H39" s="100"/>
    </row>
    <row r="40" spans="1:8" ht="15.75" x14ac:dyDescent="0.25">
      <c r="A40" s="344" t="s">
        <v>118</v>
      </c>
      <c r="B40" s="93">
        <f>11561.2+E19-G19</f>
        <v>-14920.330000000002</v>
      </c>
      <c r="C40" s="94" t="s">
        <v>24</v>
      </c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C52" s="10"/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49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workbookViewId="0">
      <selection activeCell="L36" sqref="L36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6.7109375" customWidth="1"/>
    <col min="8" max="8" width="16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148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65</v>
      </c>
      <c r="B6" s="108"/>
      <c r="C6" s="108">
        <v>413.2</v>
      </c>
      <c r="D6" s="109">
        <v>10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413.2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9088.5600000000013</v>
      </c>
      <c r="C18" s="462">
        <v>44625.599999999999</v>
      </c>
      <c r="D18" s="320"/>
      <c r="E18" s="462">
        <v>43209.75</v>
      </c>
      <c r="F18" s="321">
        <v>10504.410000000003</v>
      </c>
      <c r="G18" s="141">
        <v>44625.599999999999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6821.6900000000005</v>
      </c>
      <c r="C19" s="462">
        <v>34708.800000000003</v>
      </c>
      <c r="D19" s="320"/>
      <c r="E19" s="462">
        <v>33668.94</v>
      </c>
      <c r="F19" s="143">
        <v>7861.5500000000029</v>
      </c>
      <c r="G19" s="323">
        <v>59724.270000000004</v>
      </c>
      <c r="H19" s="189">
        <v>-25015.47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7"/>
      <c r="D20" s="146"/>
      <c r="E20" s="347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48981.24</v>
      </c>
      <c r="C22" s="153">
        <v>195193.03999999998</v>
      </c>
      <c r="D22" s="153">
        <v>-23287.29</v>
      </c>
      <c r="E22" s="153">
        <v>181451.6</v>
      </c>
      <c r="F22" s="153">
        <v>39435.390000000014</v>
      </c>
      <c r="G22" s="153">
        <v>195052.72999999998</v>
      </c>
      <c r="H22" s="191">
        <v>-23146.979999999989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28229.25</v>
      </c>
      <c r="C23" s="463">
        <v>134581.09</v>
      </c>
      <c r="D23" s="464">
        <v>-193.02</v>
      </c>
      <c r="E23" s="462">
        <v>128702.17</v>
      </c>
      <c r="F23" s="156">
        <v>33915.150000000009</v>
      </c>
      <c r="G23" s="326">
        <v>103050.51</v>
      </c>
      <c r="H23" s="189">
        <v>31337.560000000012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13143.519999999999</v>
      </c>
      <c r="C24" s="192">
        <v>28819.690000000002</v>
      </c>
      <c r="D24" s="158">
        <v>-13532.539999999999</v>
      </c>
      <c r="E24" s="334">
        <v>25968.170000000002</v>
      </c>
      <c r="F24" s="158">
        <v>2462.4999999999964</v>
      </c>
      <c r="G24" s="145">
        <v>75563.02</v>
      </c>
      <c r="H24" s="189">
        <v>-60275.87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2777.7999999999997</v>
      </c>
      <c r="C25" s="465">
        <v>13662.52</v>
      </c>
      <c r="D25" s="466">
        <v>-4069.83</v>
      </c>
      <c r="E25" s="465">
        <v>11486.42</v>
      </c>
      <c r="F25" s="158">
        <v>884.06999999999971</v>
      </c>
      <c r="G25" s="145">
        <v>5877.09</v>
      </c>
      <c r="H25" s="189">
        <v>3715.6000000000004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4830.67</v>
      </c>
      <c r="C26" s="465">
        <v>18129.740000000002</v>
      </c>
      <c r="D26" s="466">
        <v>-5491.9</v>
      </c>
      <c r="E26" s="465">
        <v>15294.84</v>
      </c>
      <c r="F26" s="158">
        <v>2173.6700000000019</v>
      </c>
      <c r="G26" s="145">
        <v>10562.11</v>
      </c>
      <c r="H26" s="189">
        <v>2075.7300000000014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62">
        <v>2826.6</v>
      </c>
      <c r="D28" s="340"/>
      <c r="E28" s="462">
        <v>2490.44</v>
      </c>
      <c r="F28" s="158">
        <v>336.15999999999985</v>
      </c>
      <c r="G28" s="337">
        <v>1992.3520000000001</v>
      </c>
      <c r="H28" s="189">
        <v>834.24799999999982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64891.49</v>
      </c>
      <c r="C30" s="166">
        <v>277354.03999999992</v>
      </c>
      <c r="D30" s="166">
        <v>-23287.29</v>
      </c>
      <c r="E30" s="166">
        <v>260820.73</v>
      </c>
      <c r="F30" s="166">
        <v>58137.510000000024</v>
      </c>
      <c r="G30" s="166">
        <v>301394.95199999999</v>
      </c>
      <c r="H30" s="467">
        <v>-47328.202000000078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149</v>
      </c>
      <c r="B37" s="359"/>
      <c r="C37" s="181">
        <v>4937.55</v>
      </c>
      <c r="D37" s="360"/>
      <c r="E37" s="122"/>
      <c r="F37" s="172"/>
      <c r="G37" s="100"/>
      <c r="H37" s="100"/>
    </row>
    <row r="38" spans="1:8" ht="15.75" x14ac:dyDescent="0.25">
      <c r="A38" s="358" t="s">
        <v>97</v>
      </c>
      <c r="B38" s="359"/>
      <c r="C38" s="181">
        <v>54786.720000000001</v>
      </c>
      <c r="D38" s="360"/>
      <c r="E38" s="12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59724.270000000004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11569.6+E19-G19</f>
        <v>-14485.730000000003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50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workbookViewId="0">
      <selection activeCell="K35" sqref="K35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6.42578125" customWidth="1"/>
    <col min="8" max="8" width="15.855468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150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66</v>
      </c>
      <c r="B6" s="108"/>
      <c r="C6" s="108">
        <v>411</v>
      </c>
      <c r="D6" s="109">
        <v>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411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458" t="s">
        <v>151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6992.71</v>
      </c>
      <c r="C18" s="459">
        <v>45801</v>
      </c>
      <c r="D18" s="320"/>
      <c r="E18" s="459">
        <v>38690.67</v>
      </c>
      <c r="F18" s="321">
        <v>14103.04</v>
      </c>
      <c r="G18" s="141">
        <v>45801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5420.27</v>
      </c>
      <c r="C19" s="459">
        <v>33705</v>
      </c>
      <c r="D19" s="320"/>
      <c r="E19" s="459">
        <v>29707.35</v>
      </c>
      <c r="F19" s="143">
        <v>9417.9200000000055</v>
      </c>
      <c r="G19" s="323">
        <v>61745.42</v>
      </c>
      <c r="H19" s="189">
        <v>-28040.42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7"/>
      <c r="D20" s="146"/>
      <c r="E20" s="347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27801.01</v>
      </c>
      <c r="C22" s="153">
        <v>190417.12</v>
      </c>
      <c r="D22" s="153">
        <v>-2184.41</v>
      </c>
      <c r="E22" s="153">
        <v>162723.32999999999</v>
      </c>
      <c r="F22" s="153">
        <v>53310.38999999997</v>
      </c>
      <c r="G22" s="153">
        <v>169099.37</v>
      </c>
      <c r="H22" s="191">
        <v>19133.339999999989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20927.719999999998</v>
      </c>
      <c r="C23" s="459">
        <v>130720.29</v>
      </c>
      <c r="D23" s="366"/>
      <c r="E23" s="459">
        <v>114531.35</v>
      </c>
      <c r="F23" s="156">
        <v>37116.659999999974</v>
      </c>
      <c r="G23" s="326">
        <v>95858.83</v>
      </c>
      <c r="H23" s="189">
        <v>34861.459999999992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3594.9599999999991</v>
      </c>
      <c r="C24" s="192">
        <v>30762.02</v>
      </c>
      <c r="D24" s="158">
        <v>-1182.01</v>
      </c>
      <c r="E24" s="334">
        <v>25061.089999999997</v>
      </c>
      <c r="F24" s="158">
        <v>8113.8799999999974</v>
      </c>
      <c r="G24" s="145">
        <v>66147.66</v>
      </c>
      <c r="H24" s="189">
        <v>-36567.65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1239.06</v>
      </c>
      <c r="C25" s="460">
        <v>12057.15</v>
      </c>
      <c r="D25" s="461">
        <v>-421.74</v>
      </c>
      <c r="E25" s="460">
        <v>9572.33</v>
      </c>
      <c r="F25" s="158">
        <v>3302.1399999999994</v>
      </c>
      <c r="G25" s="145">
        <v>2536.6</v>
      </c>
      <c r="H25" s="189">
        <v>9098.81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2039.2700000000004</v>
      </c>
      <c r="C26" s="460">
        <v>16877.66</v>
      </c>
      <c r="D26" s="461">
        <v>-580.66</v>
      </c>
      <c r="E26" s="460">
        <v>13558.56</v>
      </c>
      <c r="F26" s="158">
        <v>4777.7100000000009</v>
      </c>
      <c r="G26" s="145">
        <v>4556.28</v>
      </c>
      <c r="H26" s="189">
        <v>11740.720000000001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59">
        <v>1675.26</v>
      </c>
      <c r="D28" s="340"/>
      <c r="E28" s="460">
        <v>1675.26</v>
      </c>
      <c r="F28" s="158">
        <v>0</v>
      </c>
      <c r="G28" s="337">
        <v>1340.2080000000001</v>
      </c>
      <c r="H28" s="189">
        <v>335.05199999999991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40213.99</v>
      </c>
      <c r="C30" s="166">
        <v>271598.38</v>
      </c>
      <c r="D30" s="166">
        <v>-2184.41</v>
      </c>
      <c r="E30" s="166">
        <v>232796.61</v>
      </c>
      <c r="F30" s="166">
        <v>76831.349999999977</v>
      </c>
      <c r="G30" s="166">
        <v>277985.99799999996</v>
      </c>
      <c r="H30" s="193">
        <v>-8572.0280000000093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9" t="s">
        <v>149</v>
      </c>
      <c r="B37" s="359"/>
      <c r="C37" s="181">
        <v>6958.7</v>
      </c>
      <c r="D37" s="360"/>
      <c r="E37" s="122"/>
      <c r="F37" s="172"/>
      <c r="G37" s="100"/>
      <c r="H37" s="100"/>
    </row>
    <row r="38" spans="1:8" ht="15.75" x14ac:dyDescent="0.25">
      <c r="A38" s="359" t="s">
        <v>97</v>
      </c>
      <c r="B38" s="359"/>
      <c r="C38" s="181">
        <v>54786.720000000001</v>
      </c>
      <c r="D38" s="360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357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61745.42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11144+E19-G19</f>
        <v>-20894.07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51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workbookViewId="0">
      <selection activeCell="D43" sqref="D43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16.28515625" customWidth="1"/>
    <col min="7" max="7" width="15.7109375" customWidth="1"/>
    <col min="8" max="8" width="16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152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67</v>
      </c>
      <c r="B6" s="108"/>
      <c r="C6" s="108">
        <v>955.1</v>
      </c>
      <c r="D6" s="109">
        <v>41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955.1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16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72.7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30161.360000000001</v>
      </c>
      <c r="C18" s="446">
        <v>183379.20000000001</v>
      </c>
      <c r="D18" s="447">
        <v>-105.6</v>
      </c>
      <c r="E18" s="448">
        <v>154515.47</v>
      </c>
      <c r="F18" s="321">
        <v>58919.489999999991</v>
      </c>
      <c r="G18" s="141">
        <v>183273.60000000001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9075.0400000000009</v>
      </c>
      <c r="C19" s="449">
        <v>57306</v>
      </c>
      <c r="D19" s="450">
        <v>-33</v>
      </c>
      <c r="E19" s="449">
        <v>48344.3</v>
      </c>
      <c r="F19" s="143">
        <v>18003.740000000005</v>
      </c>
      <c r="G19" s="323">
        <v>50789.3</v>
      </c>
      <c r="H19" s="189">
        <v>6483.6999999999971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54"/>
      <c r="D20" s="146"/>
      <c r="E20" s="354"/>
      <c r="F20" s="143">
        <v>0</v>
      </c>
      <c r="G20" s="326">
        <v>1750</v>
      </c>
      <c r="H20" s="189">
        <v>-1750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74769.86</v>
      </c>
      <c r="C22" s="153">
        <v>437961.07999999996</v>
      </c>
      <c r="D22" s="153">
        <v>-14375.850000000002</v>
      </c>
      <c r="E22" s="153">
        <v>370255.62000000005</v>
      </c>
      <c r="F22" s="153">
        <v>128099.47000000003</v>
      </c>
      <c r="G22" s="153">
        <v>281242.44</v>
      </c>
      <c r="H22" s="191">
        <v>142342.78999999998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50348.350000000006</v>
      </c>
      <c r="C23" s="446">
        <v>311039.40999999997</v>
      </c>
      <c r="D23" s="447">
        <v>-286.67</v>
      </c>
      <c r="E23" s="451">
        <v>259320.16</v>
      </c>
      <c r="F23" s="156">
        <v>101780.93000000002</v>
      </c>
      <c r="G23" s="326">
        <v>92217.22</v>
      </c>
      <c r="H23" s="189">
        <v>218535.52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15326.31</v>
      </c>
      <c r="C24" s="192">
        <v>62754.91</v>
      </c>
      <c r="D24" s="158">
        <v>-7704.02</v>
      </c>
      <c r="E24" s="334">
        <v>58134</v>
      </c>
      <c r="F24" s="158">
        <v>12243.199999999997</v>
      </c>
      <c r="G24" s="145">
        <v>111734.74</v>
      </c>
      <c r="H24" s="189">
        <v>-56683.850000000006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3405.19</v>
      </c>
      <c r="C25" s="449">
        <v>26434.61</v>
      </c>
      <c r="D25" s="449">
        <v>-2565.96</v>
      </c>
      <c r="E25" s="449">
        <v>21707.4</v>
      </c>
      <c r="F25" s="158">
        <v>5566.4399999999987</v>
      </c>
      <c r="G25" s="145">
        <v>32261.46</v>
      </c>
      <c r="H25" s="189">
        <v>-8392.8099999999977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5690.01</v>
      </c>
      <c r="C26" s="449">
        <v>37732.15</v>
      </c>
      <c r="D26" s="449">
        <v>-3819.2</v>
      </c>
      <c r="E26" s="449">
        <v>31094.06</v>
      </c>
      <c r="F26" s="158">
        <v>8508.9000000000051</v>
      </c>
      <c r="G26" s="145">
        <v>45029.02</v>
      </c>
      <c r="H26" s="189">
        <v>-11116.069999999992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49">
        <v>2534.4</v>
      </c>
      <c r="D28" s="340"/>
      <c r="E28" s="449">
        <v>2542.94</v>
      </c>
      <c r="F28" s="158">
        <v>-8.5399999999999636</v>
      </c>
      <c r="G28" s="337">
        <v>2034.3520000000001</v>
      </c>
      <c r="H28" s="189">
        <v>500.048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114006.26000000001</v>
      </c>
      <c r="C30" s="166">
        <v>681180.68</v>
      </c>
      <c r="D30" s="166">
        <v>-14514.450000000003</v>
      </c>
      <c r="E30" s="166">
        <v>575658.33000000007</v>
      </c>
      <c r="F30" s="166">
        <v>205014.16</v>
      </c>
      <c r="G30" s="166">
        <v>519089.69200000004</v>
      </c>
      <c r="H30" s="193">
        <v>147576.538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452" t="s">
        <v>82</v>
      </c>
      <c r="B37" s="359"/>
      <c r="C37" s="181">
        <v>32150</v>
      </c>
      <c r="D37" s="357"/>
      <c r="E37" s="122"/>
      <c r="F37" s="172"/>
      <c r="G37" s="100"/>
      <c r="H37" s="100"/>
    </row>
    <row r="38" spans="1:8" ht="15.75" x14ac:dyDescent="0.25">
      <c r="A38" s="180" t="s">
        <v>153</v>
      </c>
      <c r="B38" s="180"/>
      <c r="C38" s="342">
        <v>2799.3</v>
      </c>
      <c r="D38" s="357"/>
      <c r="E38" s="122"/>
      <c r="F38" s="172"/>
      <c r="G38" s="100"/>
      <c r="H38" s="100"/>
    </row>
    <row r="39" spans="1:8" ht="15.75" x14ac:dyDescent="0.25">
      <c r="A39" s="179" t="s">
        <v>279</v>
      </c>
      <c r="B39" s="180"/>
      <c r="C39" s="342">
        <f>14400*1.1</f>
        <v>15840.000000000002</v>
      </c>
      <c r="D39" s="357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50789.3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-15621.18+E19-G19</f>
        <v>-18066.18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5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topLeftCell="A13" zoomScale="75" zoomScaleSheetLayoutView="75" workbookViewId="0">
      <selection activeCell="F34" sqref="F34"/>
    </sheetView>
  </sheetViews>
  <sheetFormatPr defaultRowHeight="15" x14ac:dyDescent="0.25"/>
  <cols>
    <col min="1" max="1" width="42.28515625" customWidth="1"/>
    <col min="2" max="2" width="16.5703125" style="3" customWidth="1"/>
    <col min="3" max="3" width="19.5703125" style="3" customWidth="1"/>
    <col min="4" max="4" width="18.85546875" style="3" customWidth="1"/>
    <col min="5" max="5" width="17.28515625" style="3" customWidth="1"/>
    <col min="6" max="6" width="20" customWidth="1"/>
    <col min="7" max="7" width="14.5703125" customWidth="1"/>
    <col min="8" max="8" width="14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85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5.75" x14ac:dyDescent="0.25">
      <c r="A6" s="110" t="s">
        <v>41</v>
      </c>
      <c r="B6" s="345"/>
      <c r="C6" s="383">
        <v>840.8</v>
      </c>
      <c r="D6" s="474">
        <v>25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840.8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.75" customHeight="1" x14ac:dyDescent="0.25">
      <c r="A11" s="966" t="s">
        <v>7</v>
      </c>
      <c r="B11" s="967"/>
      <c r="C11" s="967"/>
      <c r="D11" s="475">
        <v>12.73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7.14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0.18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861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L17" s="20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862">
        <v>23137.919999999998</v>
      </c>
      <c r="C18" s="863">
        <v>131712</v>
      </c>
      <c r="D18" s="864"/>
      <c r="E18" s="865">
        <v>128821.91</v>
      </c>
      <c r="F18" s="321">
        <v>26028.00999999998</v>
      </c>
      <c r="G18" s="141">
        <v>131712</v>
      </c>
      <c r="H18" s="189">
        <v>0</v>
      </c>
      <c r="L18" s="20"/>
      <c r="M18" s="20"/>
      <c r="N18" s="20"/>
      <c r="O18" s="20"/>
      <c r="P18" s="6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8711.4299999999894</v>
      </c>
      <c r="C19" s="863">
        <v>72039.839999999997</v>
      </c>
      <c r="D19" s="866"/>
      <c r="E19" s="842">
        <v>66914.009999999995</v>
      </c>
      <c r="F19" s="143">
        <v>13837.259999999995</v>
      </c>
      <c r="G19" s="323">
        <v>11742.500000000002</v>
      </c>
      <c r="H19" s="189">
        <v>60297.34</v>
      </c>
      <c r="L19" s="20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6.5" thickBot="1" x14ac:dyDescent="0.3">
      <c r="A20" s="144" t="s">
        <v>15</v>
      </c>
      <c r="B20" s="867">
        <v>322.36</v>
      </c>
      <c r="C20" s="863">
        <v>1816.08</v>
      </c>
      <c r="D20" s="322"/>
      <c r="E20" s="868">
        <v>4367.95</v>
      </c>
      <c r="F20" s="327">
        <v>-2229.5099999999998</v>
      </c>
      <c r="G20" s="869">
        <v>6600</v>
      </c>
      <c r="H20" s="189">
        <v>-4783.92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51" t="s">
        <v>16</v>
      </c>
      <c r="B21" s="152">
        <v>35023.919999999984</v>
      </c>
      <c r="C21" s="153">
        <v>290167.87</v>
      </c>
      <c r="D21" s="153">
        <v>-8836.7599999999984</v>
      </c>
      <c r="E21" s="153">
        <v>272067.42</v>
      </c>
      <c r="F21" s="153">
        <v>44287.61</v>
      </c>
      <c r="G21" s="153">
        <v>215382.34</v>
      </c>
      <c r="H21" s="191">
        <v>65948.76999999999</v>
      </c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x14ac:dyDescent="0.25">
      <c r="A22" s="154" t="s">
        <v>17</v>
      </c>
      <c r="B22" s="155">
        <v>27257.269999999982</v>
      </c>
      <c r="C22" s="870">
        <v>192124.02</v>
      </c>
      <c r="D22" s="871">
        <v>-42.44</v>
      </c>
      <c r="E22" s="868">
        <v>178600.97999999998</v>
      </c>
      <c r="F22" s="872">
        <v>40737.869999999995</v>
      </c>
      <c r="G22" s="873">
        <v>147950.97</v>
      </c>
      <c r="H22" s="189">
        <v>44130.609999999986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7" t="s">
        <v>18</v>
      </c>
      <c r="B23" s="158">
        <v>4122.1799999999967</v>
      </c>
      <c r="C23" s="158">
        <v>52084.76</v>
      </c>
      <c r="D23" s="158">
        <v>-5094.91</v>
      </c>
      <c r="E23" s="158">
        <v>49264.479999999996</v>
      </c>
      <c r="F23" s="874">
        <v>1847.5500000000029</v>
      </c>
      <c r="G23" s="875">
        <v>34146.18</v>
      </c>
      <c r="H23" s="189">
        <v>12843.670000000006</v>
      </c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19</v>
      </c>
      <c r="B24" s="158">
        <v>1307.0300000000007</v>
      </c>
      <c r="C24" s="865">
        <v>12893.38</v>
      </c>
      <c r="D24" s="842">
        <v>-1327.53</v>
      </c>
      <c r="E24" s="863">
        <v>14542.570000000002</v>
      </c>
      <c r="F24" s="874">
        <v>-1669.6900000000023</v>
      </c>
      <c r="G24" s="876">
        <v>13633.37</v>
      </c>
      <c r="H24" s="189">
        <v>-2067.5200000000023</v>
      </c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20</v>
      </c>
      <c r="B25" s="158">
        <v>2337.4400000000023</v>
      </c>
      <c r="C25" s="865">
        <v>33065.71</v>
      </c>
      <c r="D25" s="842">
        <v>-2371.88</v>
      </c>
      <c r="E25" s="863">
        <v>29659.390000000003</v>
      </c>
      <c r="F25" s="874">
        <v>3371.880000000001</v>
      </c>
      <c r="G25" s="876">
        <v>19651.82</v>
      </c>
      <c r="H25" s="189">
        <v>11042.009999999998</v>
      </c>
      <c r="K25" s="52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42" t="s">
        <v>31</v>
      </c>
      <c r="B26" s="877">
        <v>10906.129999999997</v>
      </c>
      <c r="C26" s="842">
        <v>30936.33</v>
      </c>
      <c r="D26" s="842">
        <v>-1826.84</v>
      </c>
      <c r="E26" s="863">
        <v>34989.289999999994</v>
      </c>
      <c r="F26" s="874">
        <v>5026.330000000009</v>
      </c>
      <c r="G26" s="876">
        <v>30937.38</v>
      </c>
      <c r="H26" s="189">
        <v>-1827.8899999999994</v>
      </c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21</v>
      </c>
      <c r="B27" s="878">
        <v>-2722.0400000000004</v>
      </c>
      <c r="C27" s="844">
        <v>0</v>
      </c>
      <c r="D27" s="337"/>
      <c r="E27" s="879">
        <v>0</v>
      </c>
      <c r="F27" s="880">
        <v>-2722.0400000000004</v>
      </c>
      <c r="G27" s="337"/>
      <c r="H27" s="189">
        <v>0</v>
      </c>
      <c r="J27" s="8"/>
      <c r="K27" s="8"/>
      <c r="L27" s="3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6.5" hidden="1" thickBot="1" x14ac:dyDescent="0.3">
      <c r="A28" s="113" t="s">
        <v>22</v>
      </c>
      <c r="B28" s="161">
        <v>0</v>
      </c>
      <c r="C28" s="161"/>
      <c r="D28" s="161"/>
      <c r="E28" s="161"/>
      <c r="F28" s="162">
        <v>0</v>
      </c>
      <c r="G28" s="163"/>
      <c r="H28" s="164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165" t="s">
        <v>23</v>
      </c>
      <c r="B29" s="166">
        <v>75379.719999999987</v>
      </c>
      <c r="C29" s="166">
        <v>526672.12</v>
      </c>
      <c r="D29" s="166">
        <v>-10663.599999999999</v>
      </c>
      <c r="E29" s="166">
        <v>507160.57999999996</v>
      </c>
      <c r="F29" s="166">
        <v>84227.659999999989</v>
      </c>
      <c r="G29" s="166">
        <v>396374.22</v>
      </c>
      <c r="H29" s="193">
        <v>119634.29999999999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x14ac:dyDescent="0.25">
      <c r="A30" s="167"/>
      <c r="B30" s="168"/>
      <c r="C30" s="122"/>
      <c r="D30" s="122"/>
      <c r="E30" s="122"/>
      <c r="F30" s="99"/>
      <c r="G30" s="169"/>
      <c r="H30" s="169"/>
      <c r="I30" s="15"/>
      <c r="J30" s="15"/>
      <c r="K30" s="3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70"/>
      <c r="E31" s="122"/>
      <c r="F31" s="128"/>
      <c r="G31" s="171"/>
      <c r="H31" s="171"/>
      <c r="I31" s="27"/>
      <c r="J31" s="15"/>
    </row>
    <row r="32" spans="1:22" ht="15.75" x14ac:dyDescent="0.25">
      <c r="A32" s="167"/>
      <c r="B32" s="98"/>
      <c r="C32" s="122"/>
      <c r="D32" s="122"/>
      <c r="E32" s="122"/>
      <c r="F32" s="172"/>
      <c r="G32" s="100"/>
      <c r="H32" s="100"/>
    </row>
    <row r="33" spans="1:8" ht="16.5" thickBot="1" x14ac:dyDescent="0.3">
      <c r="A33" s="167" t="s">
        <v>272</v>
      </c>
      <c r="B33" s="172"/>
      <c r="C33" s="172"/>
      <c r="D33" s="122"/>
      <c r="E33" s="122"/>
      <c r="F33" s="172"/>
      <c r="G33" s="100"/>
      <c r="H33" s="100"/>
    </row>
    <row r="34" spans="1:8" ht="79.5" thickBot="1" x14ac:dyDescent="0.3">
      <c r="A34" s="845" t="s">
        <v>33</v>
      </c>
      <c r="B34" s="846" t="s">
        <v>25</v>
      </c>
      <c r="C34" s="847" t="s">
        <v>29</v>
      </c>
      <c r="D34" s="122"/>
      <c r="E34" s="122"/>
      <c r="F34" s="172"/>
      <c r="G34" s="100"/>
      <c r="H34" s="100"/>
    </row>
    <row r="35" spans="1:8" ht="15.75" x14ac:dyDescent="0.25">
      <c r="A35" s="848" t="s">
        <v>26</v>
      </c>
      <c r="B35" s="849" t="s">
        <v>24</v>
      </c>
      <c r="C35" s="850" t="s">
        <v>24</v>
      </c>
      <c r="D35" s="122"/>
      <c r="E35" s="122"/>
      <c r="F35" s="172"/>
      <c r="G35" s="100"/>
      <c r="H35" s="100"/>
    </row>
    <row r="36" spans="1:8" ht="15.75" x14ac:dyDescent="0.25">
      <c r="A36" s="180" t="s">
        <v>86</v>
      </c>
      <c r="B36" s="341"/>
      <c r="C36" s="341">
        <f>10675*1.1</f>
        <v>11742.500000000002</v>
      </c>
      <c r="D36" s="122"/>
      <c r="E36" s="122"/>
      <c r="F36" s="172"/>
      <c r="G36" s="100"/>
      <c r="H36" s="100"/>
    </row>
    <row r="37" spans="1:8" ht="15.75" hidden="1" x14ac:dyDescent="0.25">
      <c r="A37" s="180"/>
      <c r="B37" s="341"/>
      <c r="C37" s="341"/>
      <c r="D37" s="172"/>
      <c r="E37" s="172"/>
      <c r="F37" s="100"/>
      <c r="G37" s="100"/>
      <c r="H37" s="100"/>
    </row>
    <row r="38" spans="1:8" ht="15.75" hidden="1" x14ac:dyDescent="0.25">
      <c r="A38" s="180"/>
      <c r="B38" s="341"/>
      <c r="C38" s="341"/>
      <c r="D38" s="182"/>
      <c r="E38" s="881"/>
      <c r="F38" s="524"/>
      <c r="G38" s="169"/>
      <c r="H38" s="100"/>
    </row>
    <row r="39" spans="1:8" ht="15.75" x14ac:dyDescent="0.25">
      <c r="A39" s="882" t="s">
        <v>5</v>
      </c>
      <c r="B39" s="111">
        <f>B36</f>
        <v>0</v>
      </c>
      <c r="C39" s="883">
        <f>SUM(C36:C38)</f>
        <v>11742.500000000002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hidden="1" x14ac:dyDescent="0.25">
      <c r="A41" s="92" t="s">
        <v>118</v>
      </c>
      <c r="B41" s="93">
        <f>103902.64+H19</f>
        <v>164199.97999999998</v>
      </c>
      <c r="C41" s="94" t="s">
        <v>24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344" t="s">
        <v>118</v>
      </c>
      <c r="B43" s="93">
        <f>103902.64+E19-G19</f>
        <v>159074.15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rowBreaks count="1" manualBreakCount="1">
    <brk id="51" max="7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workbookViewId="0">
      <selection activeCell="K43" sqref="K43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20" customWidth="1"/>
    <col min="7" max="7" width="17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154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1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68</v>
      </c>
      <c r="B6" s="108"/>
      <c r="C6" s="108">
        <v>956</v>
      </c>
      <c r="D6" s="109">
        <v>53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956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5.25" customHeight="1" x14ac:dyDescent="0.25">
      <c r="A11" s="966" t="s">
        <v>7</v>
      </c>
      <c r="B11" s="967"/>
      <c r="C11" s="967"/>
      <c r="D11" s="123">
        <v>16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2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28679.86</v>
      </c>
      <c r="C18" s="556">
        <v>183552</v>
      </c>
      <c r="D18" s="320"/>
      <c r="E18" s="556">
        <v>161400.01999999999</v>
      </c>
      <c r="F18" s="321">
        <v>50831.839999999997</v>
      </c>
      <c r="G18" s="141">
        <v>183552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8584.630000000001</v>
      </c>
      <c r="C19" s="556">
        <v>57360</v>
      </c>
      <c r="D19" s="320"/>
      <c r="E19" s="556">
        <v>50493.77</v>
      </c>
      <c r="F19" s="143">
        <v>15450.860000000008</v>
      </c>
      <c r="G19" s="323">
        <v>25061.410000000003</v>
      </c>
      <c r="H19" s="189">
        <v>32298.589999999997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47"/>
      <c r="D20" s="146"/>
      <c r="E20" s="347"/>
      <c r="F20" s="149">
        <v>0</v>
      </c>
      <c r="G20" s="326">
        <v>1750</v>
      </c>
      <c r="H20" s="189">
        <v>-1750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69376.2</v>
      </c>
      <c r="C22" s="153">
        <v>450802.56999999995</v>
      </c>
      <c r="D22" s="153">
        <v>-25004.58</v>
      </c>
      <c r="E22" s="153">
        <v>382047.61</v>
      </c>
      <c r="F22" s="153">
        <v>113126.58000000002</v>
      </c>
      <c r="G22" s="153">
        <v>398532.48</v>
      </c>
      <c r="H22" s="191">
        <v>27265.50999999998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47211.590000000004</v>
      </c>
      <c r="C23" s="556">
        <v>311328.98</v>
      </c>
      <c r="D23" s="366"/>
      <c r="E23" s="556">
        <v>269521.56</v>
      </c>
      <c r="F23" s="156">
        <v>89019.010000000009</v>
      </c>
      <c r="G23" s="326">
        <v>147039.01999999999</v>
      </c>
      <c r="H23" s="189">
        <v>164289.96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13814.260000000004</v>
      </c>
      <c r="C24" s="192">
        <v>67809.11</v>
      </c>
      <c r="D24" s="158">
        <v>-15863.5</v>
      </c>
      <c r="E24" s="334">
        <v>56436.180000000008</v>
      </c>
      <c r="F24" s="158">
        <v>9323.6900000000023</v>
      </c>
      <c r="G24" s="145">
        <v>104515.77</v>
      </c>
      <c r="H24" s="189">
        <v>-52570.16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3131.4900000000002</v>
      </c>
      <c r="C25" s="557">
        <v>29111.88</v>
      </c>
      <c r="D25" s="557">
        <v>-3695.26</v>
      </c>
      <c r="E25" s="557">
        <v>23032.05</v>
      </c>
      <c r="F25" s="158">
        <v>5516.0600000000013</v>
      </c>
      <c r="G25" s="145">
        <v>66858.94</v>
      </c>
      <c r="H25" s="189">
        <v>-41442.32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5218.8599999999997</v>
      </c>
      <c r="C26" s="557">
        <v>42552.6</v>
      </c>
      <c r="D26" s="557">
        <v>-5445.82</v>
      </c>
      <c r="E26" s="557">
        <v>33057.82</v>
      </c>
      <c r="F26" s="158">
        <v>9267.82</v>
      </c>
      <c r="G26" s="145">
        <v>80118.75</v>
      </c>
      <c r="H26" s="189">
        <v>-43011.97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556">
        <v>6693.12</v>
      </c>
      <c r="D28" s="340"/>
      <c r="E28" s="556">
        <v>2276.41</v>
      </c>
      <c r="F28" s="158">
        <v>4416.71</v>
      </c>
      <c r="G28" s="337">
        <v>1821.1279999999999</v>
      </c>
      <c r="H28" s="189">
        <v>4871.9920000000002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106640.69</v>
      </c>
      <c r="C30" s="166">
        <v>698407.69</v>
      </c>
      <c r="D30" s="166">
        <v>-25004.58</v>
      </c>
      <c r="E30" s="166">
        <v>596217.80999999994</v>
      </c>
      <c r="F30" s="166">
        <v>183825.99000000002</v>
      </c>
      <c r="G30" s="166">
        <v>610717.01800000004</v>
      </c>
      <c r="H30" s="193">
        <v>62686.091999999975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558" t="s">
        <v>153</v>
      </c>
      <c r="B37" s="359"/>
      <c r="C37" s="181">
        <v>2880.35</v>
      </c>
      <c r="D37" s="360"/>
      <c r="E37" s="122"/>
      <c r="F37" s="172"/>
      <c r="G37" s="100"/>
      <c r="H37" s="100"/>
    </row>
    <row r="38" spans="1:8" ht="15.75" x14ac:dyDescent="0.25">
      <c r="A38" s="180" t="s">
        <v>86</v>
      </c>
      <c r="B38" s="180"/>
      <c r="C38" s="342">
        <f>2500*1.1</f>
        <v>2750</v>
      </c>
      <c r="D38" s="357"/>
      <c r="E38" s="122"/>
      <c r="F38" s="172"/>
      <c r="G38" s="100"/>
      <c r="H38" s="100"/>
    </row>
    <row r="39" spans="1:8" ht="15.75" x14ac:dyDescent="0.25">
      <c r="A39" s="179" t="s">
        <v>155</v>
      </c>
      <c r="B39" s="180"/>
      <c r="C39" s="342">
        <f>17664.6*1.1</f>
        <v>19431.060000000001</v>
      </c>
      <c r="D39" s="357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25061.410000000003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-15443.68+E19-G19</f>
        <v>9988.679999999993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51" max="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E39" sqref="E39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20.5703125" customWidth="1"/>
    <col min="7" max="7" width="16.7109375" customWidth="1"/>
    <col min="8" max="8" width="18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156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1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157</v>
      </c>
      <c r="B6" s="108"/>
      <c r="C6" s="108">
        <v>1287.7</v>
      </c>
      <c r="D6" s="109">
        <v>51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1287.7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12.89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0.11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28781.06188720405</v>
      </c>
      <c r="C18" s="552">
        <v>195106.26</v>
      </c>
      <c r="D18" s="553">
        <v>9766.5499999999993</v>
      </c>
      <c r="E18" s="553">
        <v>179369.92</v>
      </c>
      <c r="F18" s="321">
        <v>54283.95188720405</v>
      </c>
      <c r="G18" s="378">
        <v>204872.81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6148.1641271417629</v>
      </c>
      <c r="C19" s="373">
        <v>44184.6</v>
      </c>
      <c r="D19" s="554">
        <v>-420</v>
      </c>
      <c r="E19" s="373">
        <v>38477.519999999997</v>
      </c>
      <c r="F19" s="143">
        <v>11435.244127141763</v>
      </c>
      <c r="G19" s="323">
        <v>19883.5</v>
      </c>
      <c r="H19" s="189">
        <v>23881.1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225.43942782593112</v>
      </c>
      <c r="C20" s="373">
        <v>1620.18</v>
      </c>
      <c r="D20" s="554">
        <v>-15.43</v>
      </c>
      <c r="E20" s="373">
        <v>2138.3200000000002</v>
      </c>
      <c r="F20" s="143">
        <v>-308.13057217406913</v>
      </c>
      <c r="G20" s="145">
        <v>4200</v>
      </c>
      <c r="H20" s="189">
        <v>-2595.25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86"/>
      <c r="D21" s="190"/>
      <c r="E21" s="487"/>
      <c r="F21" s="140">
        <v>0</v>
      </c>
      <c r="G21" s="1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84459.478565170226</v>
      </c>
      <c r="C22" s="153">
        <v>612354.05999999994</v>
      </c>
      <c r="D22" s="153">
        <v>-11144.46</v>
      </c>
      <c r="E22" s="153">
        <v>517452.07000000007</v>
      </c>
      <c r="F22" s="153">
        <v>168217.00856517025</v>
      </c>
      <c r="G22" s="153">
        <v>593685.42000000004</v>
      </c>
      <c r="H22" s="191">
        <v>7524.1800000000476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53798.144380720601</v>
      </c>
      <c r="C23" s="555">
        <v>394624.76</v>
      </c>
      <c r="D23" s="555">
        <v>-11672.35</v>
      </c>
      <c r="E23" s="555">
        <v>344804.75</v>
      </c>
      <c r="F23" s="155">
        <v>91945.804380720656</v>
      </c>
      <c r="G23" s="333">
        <v>332397.40999999997</v>
      </c>
      <c r="H23" s="189">
        <v>50555.000000000058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19876.970820579409</v>
      </c>
      <c r="C24" s="192">
        <v>141013.26999999999</v>
      </c>
      <c r="D24" s="158">
        <v>477.37</v>
      </c>
      <c r="E24" s="158">
        <v>111595.66</v>
      </c>
      <c r="F24" s="158">
        <v>49771.950820579397</v>
      </c>
      <c r="G24" s="145">
        <v>163824.75</v>
      </c>
      <c r="H24" s="189">
        <v>-22334.110000000015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3312.4402698874642</v>
      </c>
      <c r="C25" s="373">
        <v>23609.07</v>
      </c>
      <c r="D25" s="554">
        <v>-30.06</v>
      </c>
      <c r="E25" s="373">
        <v>20595.5</v>
      </c>
      <c r="F25" s="158">
        <v>6295.9502698874639</v>
      </c>
      <c r="G25" s="145">
        <v>33994.49</v>
      </c>
      <c r="H25" s="189">
        <v>-10415.48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7471.9230939827548</v>
      </c>
      <c r="C26" s="373">
        <v>53106.96</v>
      </c>
      <c r="D26" s="554">
        <v>80.58</v>
      </c>
      <c r="E26" s="373">
        <v>40456.160000000003</v>
      </c>
      <c r="F26" s="158">
        <v>20203.303093982751</v>
      </c>
      <c r="G26" s="145">
        <v>63468.77</v>
      </c>
      <c r="H26" s="189">
        <v>-10281.229999999996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385.8859926580073</v>
      </c>
      <c r="C28" s="373">
        <v>4381.8599999999997</v>
      </c>
      <c r="D28" s="373">
        <v>-1635</v>
      </c>
      <c r="E28" s="373">
        <v>2859.45</v>
      </c>
      <c r="F28" s="158">
        <v>273.29599265800698</v>
      </c>
      <c r="G28" s="337">
        <v>2287.56</v>
      </c>
      <c r="H28" s="189">
        <v>459.29999999999973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120000.02999999997</v>
      </c>
      <c r="C30" s="166">
        <v>857646.96</v>
      </c>
      <c r="D30" s="166">
        <v>-3448.34</v>
      </c>
      <c r="E30" s="166">
        <v>740297.28</v>
      </c>
      <c r="F30" s="166">
        <v>233901.37</v>
      </c>
      <c r="G30" s="166">
        <v>824929.29</v>
      </c>
      <c r="H30" s="193">
        <v>29269.330000000045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158</v>
      </c>
      <c r="B37" s="359"/>
      <c r="C37" s="181">
        <v>6600</v>
      </c>
      <c r="D37" s="360"/>
      <c r="E37" s="122"/>
      <c r="F37" s="172"/>
      <c r="G37" s="100"/>
      <c r="H37" s="100"/>
    </row>
    <row r="38" spans="1:8" ht="15.75" x14ac:dyDescent="0.25">
      <c r="A38" s="358" t="s">
        <v>159</v>
      </c>
      <c r="B38" s="359"/>
      <c r="C38" s="181">
        <v>8333.5</v>
      </c>
      <c r="D38" s="360"/>
      <c r="E38" s="122"/>
      <c r="F38" s="172"/>
      <c r="G38" s="100"/>
      <c r="H38" s="100"/>
    </row>
    <row r="39" spans="1:8" ht="15.75" x14ac:dyDescent="0.25">
      <c r="A39" s="179" t="s">
        <v>160</v>
      </c>
      <c r="B39" s="180"/>
      <c r="C39" s="342">
        <f>4500*1.1</f>
        <v>4950</v>
      </c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19883.5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9548.05+E19-G19</f>
        <v>28142.069999999992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E39" sqref="E39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16.28515625" customWidth="1"/>
    <col min="7" max="7" width="16.425781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161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9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162</v>
      </c>
      <c r="B6" s="108"/>
      <c r="C6" s="108">
        <v>995.4</v>
      </c>
      <c r="D6" s="109">
        <v>30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995.4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16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47">
        <v>192400</v>
      </c>
      <c r="D18" s="548">
        <v>-598.4</v>
      </c>
      <c r="E18" s="549">
        <v>121059.11</v>
      </c>
      <c r="F18" s="321">
        <v>70742.490000000005</v>
      </c>
      <c r="G18" s="378">
        <v>191801.60000000001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50">
        <v>60125</v>
      </c>
      <c r="D19" s="551">
        <v>-187</v>
      </c>
      <c r="E19" s="550">
        <v>38862.57</v>
      </c>
      <c r="F19" s="143">
        <v>21075.43</v>
      </c>
      <c r="G19" s="323">
        <v>4120.3500000000004</v>
      </c>
      <c r="H19" s="189">
        <v>55817.65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73"/>
      <c r="D20" s="146"/>
      <c r="E20" s="373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451011.51</v>
      </c>
      <c r="D22" s="153">
        <v>-3012.1099999999997</v>
      </c>
      <c r="E22" s="153">
        <v>295290.79000000004</v>
      </c>
      <c r="F22" s="153">
        <v>152708.61000000004</v>
      </c>
      <c r="G22" s="153">
        <v>387244.69999999995</v>
      </c>
      <c r="H22" s="191">
        <v>60754.700000000041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47">
        <v>327862.94</v>
      </c>
      <c r="D23" s="549">
        <v>-1808.79</v>
      </c>
      <c r="E23" s="543">
        <v>206065.83</v>
      </c>
      <c r="F23" s="156">
        <v>119988.32000000004</v>
      </c>
      <c r="G23" s="326">
        <v>209046.18</v>
      </c>
      <c r="H23" s="189">
        <v>117007.97000000003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65621.490000000005</v>
      </c>
      <c r="D24" s="158">
        <v>-821.41</v>
      </c>
      <c r="E24" s="158">
        <v>47287.42</v>
      </c>
      <c r="F24" s="158">
        <v>17512.660000000003</v>
      </c>
      <c r="G24" s="145">
        <v>178198.52</v>
      </c>
      <c r="H24" s="189">
        <v>-113398.43999999999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50">
        <v>23535.75</v>
      </c>
      <c r="D25" s="551">
        <v>-8.8800000000000008</v>
      </c>
      <c r="E25" s="550">
        <v>18164.080000000002</v>
      </c>
      <c r="F25" s="158">
        <v>5362.7899999999972</v>
      </c>
      <c r="G25" s="145"/>
      <c r="H25" s="189">
        <v>23526.87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50">
        <v>33991.33</v>
      </c>
      <c r="D26" s="551">
        <v>-373.03</v>
      </c>
      <c r="E26" s="550">
        <v>23773.46</v>
      </c>
      <c r="F26" s="158">
        <v>9844.8400000000038</v>
      </c>
      <c r="G26" s="145"/>
      <c r="H26" s="189">
        <v>33618.300000000003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3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703536.51</v>
      </c>
      <c r="D30" s="166">
        <v>-3797.5099999999998</v>
      </c>
      <c r="E30" s="166">
        <v>455212.47000000003</v>
      </c>
      <c r="F30" s="166">
        <v>244526.53000000006</v>
      </c>
      <c r="G30" s="166">
        <v>583166.64999999991</v>
      </c>
      <c r="H30" s="193">
        <v>116572.35000000003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153</v>
      </c>
      <c r="B37" s="180"/>
      <c r="C37" s="342">
        <v>2800.35</v>
      </c>
      <c r="D37" s="182"/>
      <c r="E37" s="122"/>
      <c r="F37" s="172"/>
      <c r="G37" s="100"/>
      <c r="H37" s="100"/>
    </row>
    <row r="38" spans="1:8" ht="15.75" x14ac:dyDescent="0.25">
      <c r="A38" s="179" t="s">
        <v>86</v>
      </c>
      <c r="B38" s="180"/>
      <c r="C38" s="342">
        <f>1200*1.1</f>
        <v>1320</v>
      </c>
      <c r="D38" s="182"/>
      <c r="E38" s="12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4120.3500000000004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34742.22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K35" sqref="K35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8.5703125" style="3" customWidth="1"/>
    <col min="5" max="5" width="18.42578125" style="3" customWidth="1"/>
    <col min="6" max="6" width="16.28515625" customWidth="1"/>
    <col min="7" max="7" width="16.7109375" customWidth="1"/>
    <col min="8" max="8" width="17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163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164</v>
      </c>
      <c r="B6" s="108"/>
      <c r="C6" s="108">
        <v>654.29999999999995</v>
      </c>
      <c r="D6" s="109">
        <v>18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654.29999999999995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10.44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42">
        <v>53813.52</v>
      </c>
      <c r="D18" s="320"/>
      <c r="E18" s="542">
        <v>38857.58</v>
      </c>
      <c r="F18" s="321">
        <v>14955.939999999995</v>
      </c>
      <c r="G18" s="141">
        <v>53813.52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42">
        <v>15463.68</v>
      </c>
      <c r="D19" s="320"/>
      <c r="E19" s="542">
        <v>11452.51</v>
      </c>
      <c r="F19" s="143">
        <v>4011.17</v>
      </c>
      <c r="G19" s="323">
        <v>2100</v>
      </c>
      <c r="H19" s="189">
        <v>13363.68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165571.96000000002</v>
      </c>
      <c r="D22" s="153">
        <v>-1941.81</v>
      </c>
      <c r="E22" s="153">
        <v>120442.74000000002</v>
      </c>
      <c r="F22" s="153">
        <v>43187.409999999989</v>
      </c>
      <c r="G22" s="153">
        <v>141286.01999999999</v>
      </c>
      <c r="H22" s="191">
        <v>22344.129999999997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42">
        <v>143092.34</v>
      </c>
      <c r="D23" s="366"/>
      <c r="E23" s="543">
        <v>104947.59000000001</v>
      </c>
      <c r="F23" s="156">
        <v>38144.749999999985</v>
      </c>
      <c r="G23" s="326">
        <v>136171.62</v>
      </c>
      <c r="H23" s="189">
        <v>6920.7200000000012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0</v>
      </c>
      <c r="D24" s="158"/>
      <c r="E24" s="158">
        <v>0</v>
      </c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44">
        <v>11031.98</v>
      </c>
      <c r="D25" s="545">
        <v>-952.33</v>
      </c>
      <c r="E25" s="546">
        <v>7635.85</v>
      </c>
      <c r="F25" s="158">
        <v>2443.7999999999993</v>
      </c>
      <c r="G25" s="145">
        <v>2686.8</v>
      </c>
      <c r="H25" s="189">
        <v>7392.8499999999995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44">
        <v>11447.64</v>
      </c>
      <c r="D26" s="545">
        <v>-989.48</v>
      </c>
      <c r="E26" s="546">
        <v>7859.3</v>
      </c>
      <c r="F26" s="158">
        <v>2598.8599999999997</v>
      </c>
      <c r="G26" s="145">
        <v>2427.6</v>
      </c>
      <c r="H26" s="189">
        <v>8030.5599999999995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234849.16000000003</v>
      </c>
      <c r="D30" s="166">
        <v>-1941.81</v>
      </c>
      <c r="E30" s="166">
        <v>170752.83000000002</v>
      </c>
      <c r="F30" s="166">
        <v>62154.519999999982</v>
      </c>
      <c r="G30" s="166">
        <v>197199.53999999998</v>
      </c>
      <c r="H30" s="193">
        <v>35707.81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153</v>
      </c>
      <c r="B37" s="180"/>
      <c r="C37" s="342">
        <v>2100</v>
      </c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2100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9352.51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F40" sqref="F40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9.28515625" style="3" customWidth="1"/>
    <col min="5" max="5" width="18.42578125" style="3" customWidth="1"/>
    <col min="6" max="6" width="21" customWidth="1"/>
    <col min="7" max="7" width="16.42578125" customWidth="1"/>
    <col min="8" max="8" width="18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165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2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166</v>
      </c>
      <c r="B6" s="108"/>
      <c r="C6" s="108">
        <v>375</v>
      </c>
      <c r="D6" s="109">
        <v>13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375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1.5" customHeight="1" x14ac:dyDescent="0.25">
      <c r="A11" s="966" t="s">
        <v>7</v>
      </c>
      <c r="B11" s="967"/>
      <c r="C11" s="967"/>
      <c r="D11" s="123">
        <v>10.44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37">
        <v>27550.12</v>
      </c>
      <c r="D18" s="538">
        <v>-290.24</v>
      </c>
      <c r="E18" s="539">
        <v>21611.3</v>
      </c>
      <c r="F18" s="321">
        <v>5648.5799999999981</v>
      </c>
      <c r="G18" s="378">
        <v>27259.879999999997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30">
        <v>7916.7</v>
      </c>
      <c r="D19" s="540">
        <v>-83.4</v>
      </c>
      <c r="E19" s="530">
        <v>6342.29</v>
      </c>
      <c r="F19" s="143">
        <v>1491.0100000000002</v>
      </c>
      <c r="G19" s="323">
        <v>2100</v>
      </c>
      <c r="H19" s="189">
        <v>5733.3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73"/>
      <c r="D20" s="146"/>
      <c r="E20" s="373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87009.27</v>
      </c>
      <c r="D22" s="153">
        <v>-1089.29</v>
      </c>
      <c r="E22" s="153">
        <v>69345.83</v>
      </c>
      <c r="F22" s="153">
        <v>16574.150000000001</v>
      </c>
      <c r="G22" s="153">
        <v>63508.33</v>
      </c>
      <c r="H22" s="191">
        <v>22411.650000000005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37">
        <v>73609.990000000005</v>
      </c>
      <c r="D23" s="541">
        <v>-740.41</v>
      </c>
      <c r="E23" s="511">
        <v>57323.87</v>
      </c>
      <c r="F23" s="156">
        <v>15545.71</v>
      </c>
      <c r="G23" s="326">
        <v>63171.96</v>
      </c>
      <c r="H23" s="189">
        <v>9697.6200000000026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1126.8600000000001</v>
      </c>
      <c r="D24" s="158">
        <v>546.27</v>
      </c>
      <c r="E24" s="158">
        <v>1887.1299999999999</v>
      </c>
      <c r="F24" s="158">
        <v>-213.99999999999977</v>
      </c>
      <c r="G24" s="145">
        <v>336.37</v>
      </c>
      <c r="H24" s="189">
        <v>1336.7600000000002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30">
        <v>5947.76</v>
      </c>
      <c r="D25" s="540">
        <v>-482.83</v>
      </c>
      <c r="E25" s="530">
        <v>4894.09</v>
      </c>
      <c r="F25" s="158">
        <v>570.84000000000015</v>
      </c>
      <c r="G25" s="145"/>
      <c r="H25" s="189">
        <v>5464.93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30">
        <v>6324.66</v>
      </c>
      <c r="D26" s="540">
        <v>-412.32</v>
      </c>
      <c r="E26" s="530">
        <v>5240.74</v>
      </c>
      <c r="F26" s="158">
        <v>671.60000000000036</v>
      </c>
      <c r="G26" s="145"/>
      <c r="H26" s="189">
        <v>5912.34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122476.09</v>
      </c>
      <c r="D30" s="166">
        <v>-1462.9299999999998</v>
      </c>
      <c r="E30" s="166">
        <v>97299.42</v>
      </c>
      <c r="F30" s="166">
        <v>23713.739999999998</v>
      </c>
      <c r="G30" s="166">
        <v>92868.209999999992</v>
      </c>
      <c r="H30" s="193">
        <v>28144.950000000004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153</v>
      </c>
      <c r="B37" s="359"/>
      <c r="C37" s="181">
        <v>2100</v>
      </c>
      <c r="D37" s="524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2100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4242.29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4.285156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9.5703125" customWidth="1"/>
    <col min="7" max="7" width="16.285156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167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0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168</v>
      </c>
      <c r="B6" s="108"/>
      <c r="C6" s="108">
        <v>692.5</v>
      </c>
      <c r="D6" s="109">
        <v>42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692.5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2.25" customHeight="1" x14ac:dyDescent="0.25">
      <c r="A11" s="966" t="s">
        <v>7</v>
      </c>
      <c r="B11" s="967"/>
      <c r="C11" s="967"/>
      <c r="D11" s="123">
        <v>15.68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28">
        <v>83651.22</v>
      </c>
      <c r="D18" s="529">
        <v>-1489.59</v>
      </c>
      <c r="E18" s="529">
        <v>52449.59</v>
      </c>
      <c r="F18" s="321">
        <v>29712.040000000008</v>
      </c>
      <c r="G18" s="141">
        <v>82161.63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30"/>
      <c r="D19" s="335"/>
      <c r="E19" s="530"/>
      <c r="F19" s="143">
        <v>0</v>
      </c>
      <c r="G19" s="323">
        <v>15300.000000000002</v>
      </c>
      <c r="H19" s="189">
        <v>-15300.000000000002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73"/>
      <c r="D20" s="146"/>
      <c r="E20" s="373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192303.81</v>
      </c>
      <c r="D22" s="153">
        <v>-1887.04</v>
      </c>
      <c r="E22" s="153">
        <v>116859.76</v>
      </c>
      <c r="F22" s="153">
        <v>73557.009999999995</v>
      </c>
      <c r="G22" s="153">
        <v>151173.91</v>
      </c>
      <c r="H22" s="191">
        <v>39242.86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28">
        <v>148036.09</v>
      </c>
      <c r="D23" s="531">
        <v>-456.84</v>
      </c>
      <c r="E23" s="511">
        <v>91178.02</v>
      </c>
      <c r="F23" s="156">
        <v>56401.229999999996</v>
      </c>
      <c r="G23" s="326">
        <v>134457.53</v>
      </c>
      <c r="H23" s="189">
        <v>13121.720000000001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0</v>
      </c>
      <c r="D24" s="158"/>
      <c r="E24" s="158">
        <v>0</v>
      </c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32">
        <v>21646.76</v>
      </c>
      <c r="D25" s="533">
        <v>-707.86</v>
      </c>
      <c r="E25" s="532">
        <v>12605.54</v>
      </c>
      <c r="F25" s="158">
        <v>8333.3599999999969</v>
      </c>
      <c r="G25" s="145">
        <v>8452.3799999999992</v>
      </c>
      <c r="H25" s="189">
        <v>12486.519999999999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32">
        <v>22620.959999999999</v>
      </c>
      <c r="D26" s="533">
        <v>-722.34</v>
      </c>
      <c r="E26" s="532">
        <v>13076.2</v>
      </c>
      <c r="F26" s="158">
        <v>8822.4199999999983</v>
      </c>
      <c r="G26" s="145">
        <v>8264</v>
      </c>
      <c r="H26" s="189">
        <v>13634.619999999999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14">
        <v>0</v>
      </c>
      <c r="C29" s="114"/>
      <c r="D29" s="114"/>
      <c r="E29" s="114"/>
      <c r="F29" s="534">
        <v>0</v>
      </c>
      <c r="G29" s="535"/>
      <c r="H29" s="536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275955.03000000003</v>
      </c>
      <c r="D30" s="166">
        <v>-3376.63</v>
      </c>
      <c r="E30" s="166">
        <v>169309.34999999998</v>
      </c>
      <c r="F30" s="166">
        <v>103269.05</v>
      </c>
      <c r="G30" s="166">
        <v>248635.54</v>
      </c>
      <c r="H30" s="193">
        <v>23942.86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153</v>
      </c>
      <c r="B37" s="180"/>
      <c r="C37" s="342">
        <v>2100</v>
      </c>
      <c r="D37" s="182"/>
      <c r="E37" s="122"/>
      <c r="F37" s="172"/>
      <c r="G37" s="100"/>
      <c r="H37" s="100"/>
    </row>
    <row r="38" spans="1:8" ht="15.75" x14ac:dyDescent="0.25">
      <c r="A38" s="179" t="s">
        <v>82</v>
      </c>
      <c r="B38" s="180"/>
      <c r="C38" s="342">
        <f>12000*1.1</f>
        <v>13200.000000000002</v>
      </c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15300.000000000002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H19</f>
        <v>-15300.000000000002</v>
      </c>
      <c r="C43" s="201" t="s">
        <v>119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1" sqref="J41"/>
    </sheetView>
  </sheetViews>
  <sheetFormatPr defaultRowHeight="15" x14ac:dyDescent="0.25"/>
  <cols>
    <col min="1" max="1" width="42.570312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6" width="16.28515625" customWidth="1"/>
    <col min="7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169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0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170</v>
      </c>
      <c r="B6" s="108"/>
      <c r="C6" s="108">
        <v>348.4</v>
      </c>
      <c r="D6" s="109">
        <v>20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348.4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10.44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25">
        <v>25461.1</v>
      </c>
      <c r="D18" s="320"/>
      <c r="E18" s="525">
        <v>18745.18</v>
      </c>
      <c r="F18" s="321">
        <v>6715.9199999999983</v>
      </c>
      <c r="G18" s="141">
        <v>25461.1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25">
        <v>7316.4</v>
      </c>
      <c r="D19" s="320"/>
      <c r="E19" s="525">
        <v>5386.54</v>
      </c>
      <c r="F19" s="143">
        <v>1929.8599999999997</v>
      </c>
      <c r="G19" s="323">
        <v>1020</v>
      </c>
      <c r="H19" s="189">
        <v>6296.4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90403.82</v>
      </c>
      <c r="D22" s="153">
        <v>-1129.54</v>
      </c>
      <c r="E22" s="153">
        <v>67716.490000000005</v>
      </c>
      <c r="F22" s="153">
        <v>21557.79</v>
      </c>
      <c r="G22" s="153">
        <v>62560.57</v>
      </c>
      <c r="H22" s="191">
        <v>26713.71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25">
        <v>68046.44</v>
      </c>
      <c r="D23" s="366"/>
      <c r="E23" s="511">
        <v>49924.61</v>
      </c>
      <c r="F23" s="156">
        <v>18121.830000000002</v>
      </c>
      <c r="G23" s="326">
        <v>62560.57</v>
      </c>
      <c r="H23" s="189">
        <v>5485.8700000000026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26">
        <v>10895.64</v>
      </c>
      <c r="D25" s="527">
        <v>-545.41999999999996</v>
      </c>
      <c r="E25" s="526">
        <v>8682.14</v>
      </c>
      <c r="F25" s="158">
        <v>1668.08</v>
      </c>
      <c r="G25" s="145"/>
      <c r="H25" s="189">
        <v>10350.219999999999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26">
        <v>11461.74</v>
      </c>
      <c r="D26" s="527">
        <v>-584.12</v>
      </c>
      <c r="E26" s="526">
        <v>9109.74</v>
      </c>
      <c r="F26" s="158">
        <v>1767.8799999999992</v>
      </c>
      <c r="G26" s="145"/>
      <c r="H26" s="189">
        <v>10877.619999999999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123181.32</v>
      </c>
      <c r="D30" s="166">
        <v>-1129.54</v>
      </c>
      <c r="E30" s="166">
        <v>91848.21</v>
      </c>
      <c r="F30" s="166">
        <v>30203.57</v>
      </c>
      <c r="G30" s="166">
        <v>89041.67</v>
      </c>
      <c r="H30" s="193">
        <v>33010.11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276</v>
      </c>
      <c r="B37" s="180"/>
      <c r="C37" s="342">
        <v>1020</v>
      </c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1020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4366.54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J48" sqref="J48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9.85546875" customWidth="1"/>
    <col min="7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171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172</v>
      </c>
      <c r="B6" s="108"/>
      <c r="C6" s="108">
        <v>656.3</v>
      </c>
      <c r="D6" s="109">
        <v>31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656.3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5.25" customHeight="1" x14ac:dyDescent="0.25">
      <c r="A11" s="966" t="s">
        <v>7</v>
      </c>
      <c r="B11" s="967"/>
      <c r="C11" s="967"/>
      <c r="D11" s="123">
        <v>10.15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18">
        <v>52977.11</v>
      </c>
      <c r="D18" s="519">
        <v>314.64999999999998</v>
      </c>
      <c r="E18" s="520">
        <v>30999.86</v>
      </c>
      <c r="F18" s="321">
        <v>22291.9</v>
      </c>
      <c r="G18" s="378">
        <v>53291.76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21">
        <v>15658.2</v>
      </c>
      <c r="D19" s="522">
        <v>-171</v>
      </c>
      <c r="E19" s="521">
        <v>8945.5300000000007</v>
      </c>
      <c r="F19" s="143">
        <v>6541.67</v>
      </c>
      <c r="G19" s="323">
        <v>2100</v>
      </c>
      <c r="H19" s="189">
        <v>13387.2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73"/>
      <c r="D20" s="146"/>
      <c r="E20" s="373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178297.08</v>
      </c>
      <c r="D22" s="153">
        <v>799.61999999999989</v>
      </c>
      <c r="E22" s="153">
        <v>103336.07999999999</v>
      </c>
      <c r="F22" s="153">
        <v>75760.62</v>
      </c>
      <c r="G22" s="153">
        <v>159049.24000000002</v>
      </c>
      <c r="H22" s="191">
        <v>20047.459999999985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18">
        <v>144641.31</v>
      </c>
      <c r="D23" s="520">
        <v>1622.53</v>
      </c>
      <c r="E23" s="511">
        <v>85445.4</v>
      </c>
      <c r="F23" s="156">
        <v>60818.44</v>
      </c>
      <c r="G23" s="326">
        <v>142123.07</v>
      </c>
      <c r="H23" s="189">
        <v>4140.7699999999895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21">
        <v>16466.669999999998</v>
      </c>
      <c r="D25" s="522">
        <v>-502.92</v>
      </c>
      <c r="E25" s="521">
        <v>8687.36</v>
      </c>
      <c r="F25" s="158">
        <v>7276.3899999999976</v>
      </c>
      <c r="G25" s="145">
        <v>8175.1</v>
      </c>
      <c r="H25" s="189">
        <v>7788.6499999999978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21">
        <v>17189.099999999999</v>
      </c>
      <c r="D26" s="522">
        <v>-319.99</v>
      </c>
      <c r="E26" s="521">
        <v>9203.32</v>
      </c>
      <c r="F26" s="158">
        <v>7665.7899999999972</v>
      </c>
      <c r="G26" s="145">
        <v>8751.07</v>
      </c>
      <c r="H26" s="189">
        <v>8118.0399999999972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52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>
        <f t="shared" ref="M29" si="0">$L$19*I29</f>
        <v>0</v>
      </c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246932.38999999998</v>
      </c>
      <c r="D30" s="166">
        <v>943.26999999999987</v>
      </c>
      <c r="E30" s="166">
        <v>143281.46999999997</v>
      </c>
      <c r="F30" s="166">
        <v>104594.19</v>
      </c>
      <c r="G30" s="166">
        <v>214441.00000000003</v>
      </c>
      <c r="H30" s="193">
        <v>33434.659999999989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153</v>
      </c>
      <c r="B37" s="359"/>
      <c r="C37" s="181">
        <v>2100</v>
      </c>
      <c r="D37" s="524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2100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6845.5300000000007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4" sqref="J44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7.5703125" style="3" customWidth="1"/>
    <col min="5" max="5" width="18.42578125" style="3" customWidth="1"/>
    <col min="6" max="7" width="16.285156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173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4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174</v>
      </c>
      <c r="B6" s="108"/>
      <c r="C6" s="108">
        <v>380.8</v>
      </c>
      <c r="D6" s="109">
        <v>17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380.8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10.44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14">
        <v>19877.8</v>
      </c>
      <c r="D18" s="320"/>
      <c r="E18" s="514">
        <v>11911.18</v>
      </c>
      <c r="F18" s="321">
        <v>7966.619999999999</v>
      </c>
      <c r="G18" s="141">
        <v>19877.8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14">
        <v>5712</v>
      </c>
      <c r="D19" s="320"/>
      <c r="E19" s="514">
        <v>3726.26</v>
      </c>
      <c r="F19" s="143">
        <v>1985.7399999999998</v>
      </c>
      <c r="G19" s="323">
        <v>0</v>
      </c>
      <c r="H19" s="189">
        <v>5712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64319.590000000004</v>
      </c>
      <c r="D22" s="153">
        <v>-743.34999999999991</v>
      </c>
      <c r="E22" s="153">
        <v>38757.78</v>
      </c>
      <c r="F22" s="153">
        <v>24818.46</v>
      </c>
      <c r="G22" s="153">
        <v>63561.47</v>
      </c>
      <c r="H22" s="191">
        <v>14.769999999999527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14">
        <v>53535.4</v>
      </c>
      <c r="D23" s="366"/>
      <c r="E23" s="511">
        <v>32232.22</v>
      </c>
      <c r="F23" s="156">
        <v>21303.18</v>
      </c>
      <c r="G23" s="326">
        <v>63561.47</v>
      </c>
      <c r="H23" s="189">
        <v>-10026.07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0</v>
      </c>
      <c r="D24" s="158"/>
      <c r="E24" s="158">
        <v>0</v>
      </c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15">
        <v>5242.98</v>
      </c>
      <c r="D25" s="516">
        <v>-372.96</v>
      </c>
      <c r="E25" s="515">
        <v>3133.36</v>
      </c>
      <c r="F25" s="158">
        <v>1736.6599999999994</v>
      </c>
      <c r="G25" s="145"/>
      <c r="H25" s="189">
        <v>4870.0199999999995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15">
        <v>5541.21</v>
      </c>
      <c r="D26" s="516">
        <v>-370.39</v>
      </c>
      <c r="E26" s="515">
        <v>3392.2</v>
      </c>
      <c r="F26" s="158">
        <v>1778.62</v>
      </c>
      <c r="G26" s="145"/>
      <c r="H26" s="189">
        <v>5170.82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89909.39</v>
      </c>
      <c r="D30" s="166">
        <v>-743.34999999999991</v>
      </c>
      <c r="E30" s="166">
        <v>54395.22</v>
      </c>
      <c r="F30" s="166">
        <v>34770.82</v>
      </c>
      <c r="G30" s="166">
        <v>83439.27</v>
      </c>
      <c r="H30" s="193">
        <v>5726.7699999999995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79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3726.26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3" orientation="portrait" r:id="rId1"/>
  <colBreaks count="1" manualBreakCount="1">
    <brk id="8" max="67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2"/>
  <sheetViews>
    <sheetView view="pageBreakPreview" zoomScale="60" zoomScaleNormal="75" workbookViewId="0">
      <selection activeCell="K36" sqref="K36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6" width="19.5703125" customWidth="1"/>
    <col min="7" max="7" width="16.42578125" customWidth="1"/>
    <col min="8" max="8" width="15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175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176</v>
      </c>
      <c r="B6" s="108"/>
      <c r="C6" s="108">
        <v>366.5</v>
      </c>
      <c r="D6" s="109">
        <v>20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366.5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1.5" customHeight="1" x14ac:dyDescent="0.25">
      <c r="A11" s="966" t="s">
        <v>7</v>
      </c>
      <c r="B11" s="967"/>
      <c r="C11" s="967"/>
      <c r="D11" s="123">
        <v>10.44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10">
        <v>22957.5</v>
      </c>
      <c r="D18" s="320"/>
      <c r="E18" s="510">
        <v>13785.38</v>
      </c>
      <c r="F18" s="321">
        <v>9172.1200000000008</v>
      </c>
      <c r="G18" s="141">
        <v>22957.5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10">
        <v>6597</v>
      </c>
      <c r="D19" s="320"/>
      <c r="E19" s="510">
        <v>4183.82</v>
      </c>
      <c r="F19" s="143">
        <v>2413.1800000000003</v>
      </c>
      <c r="G19" s="323">
        <v>1658</v>
      </c>
      <c r="H19" s="189">
        <v>4939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76954.64</v>
      </c>
      <c r="D22" s="153">
        <v>-1341.8600000000001</v>
      </c>
      <c r="E22" s="153">
        <v>47649.87</v>
      </c>
      <c r="F22" s="153">
        <v>27962.909999999993</v>
      </c>
      <c r="G22" s="153">
        <v>62394.91</v>
      </c>
      <c r="H22" s="191">
        <v>13217.869999999994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10">
        <v>61830.84</v>
      </c>
      <c r="D23" s="366"/>
      <c r="E23" s="511">
        <v>37716.730000000003</v>
      </c>
      <c r="F23" s="156">
        <v>24114.109999999993</v>
      </c>
      <c r="G23" s="326">
        <v>62394.91</v>
      </c>
      <c r="H23" s="189">
        <v>-564.07000000000698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12">
        <v>7302.81</v>
      </c>
      <c r="D25" s="513">
        <v>-647.94000000000005</v>
      </c>
      <c r="E25" s="512">
        <v>4788.6899999999996</v>
      </c>
      <c r="F25" s="158">
        <v>1866.1800000000012</v>
      </c>
      <c r="G25" s="145"/>
      <c r="H25" s="189">
        <v>6654.8700000000008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12">
        <v>7820.99</v>
      </c>
      <c r="D26" s="513">
        <v>-693.92</v>
      </c>
      <c r="E26" s="512">
        <v>5144.45</v>
      </c>
      <c r="F26" s="158">
        <v>1982.62</v>
      </c>
      <c r="G26" s="145"/>
      <c r="H26" s="189">
        <v>7127.07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373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106509.14</v>
      </c>
      <c r="D30" s="166">
        <v>-1341.8600000000001</v>
      </c>
      <c r="E30" s="166">
        <v>65619.070000000007</v>
      </c>
      <c r="F30" s="166">
        <v>39548.209999999992</v>
      </c>
      <c r="G30" s="166">
        <v>87010.41</v>
      </c>
      <c r="H30" s="193">
        <v>18156.869999999995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276</v>
      </c>
      <c r="B37" s="180"/>
      <c r="C37" s="342">
        <v>1658</v>
      </c>
      <c r="D37" s="182"/>
      <c r="E37" s="122"/>
      <c r="F37" s="172"/>
      <c r="G37" s="100"/>
      <c r="H37" s="100"/>
    </row>
    <row r="38" spans="1:8" ht="16.5" thickBot="1" x14ac:dyDescent="0.3">
      <c r="A38" s="113" t="s">
        <v>5</v>
      </c>
      <c r="B38" s="114">
        <f>B37</f>
        <v>0</v>
      </c>
      <c r="C38" s="343">
        <f>SUM(C37:C37)</f>
        <v>1658</v>
      </c>
      <c r="D38" s="116"/>
      <c r="E38" s="116"/>
      <c r="F38" s="116"/>
      <c r="G38" s="169"/>
      <c r="H38" s="100"/>
    </row>
    <row r="39" spans="1:8" ht="15.75" x14ac:dyDescent="0.25">
      <c r="A39" s="92"/>
      <c r="B39" s="93"/>
      <c r="C39" s="94"/>
      <c r="D39" s="184"/>
      <c r="E39" s="185"/>
      <c r="F39" s="186"/>
      <c r="G39" s="169"/>
      <c r="H39" s="100"/>
    </row>
    <row r="40" spans="1:8" ht="15.75" x14ac:dyDescent="0.25">
      <c r="A40" s="92" t="s">
        <v>118</v>
      </c>
      <c r="B40" s="93">
        <f>E19-G19</f>
        <v>2525.8199999999997</v>
      </c>
      <c r="C40" s="94" t="s">
        <v>24</v>
      </c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197" t="s">
        <v>69</v>
      </c>
      <c r="B42" s="40"/>
      <c r="C42" s="41"/>
      <c r="D42" s="184"/>
      <c r="E42" s="185"/>
      <c r="F42" s="186"/>
      <c r="G42" s="169"/>
      <c r="H42" s="100"/>
    </row>
    <row r="43" spans="1:8" ht="15.75" x14ac:dyDescent="0.25">
      <c r="A43" s="198"/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7" t="s">
        <v>53</v>
      </c>
      <c r="B44" s="40" t="s">
        <v>54</v>
      </c>
      <c r="C44" s="199"/>
      <c r="D44" s="184"/>
      <c r="E44" s="185"/>
      <c r="F44" s="186"/>
      <c r="G44" s="169"/>
      <c r="H44" s="100"/>
    </row>
    <row r="45" spans="1:8" x14ac:dyDescent="0.25">
      <c r="A45" s="31"/>
      <c r="B45" s="28"/>
      <c r="C45" s="36"/>
      <c r="D45" s="19"/>
      <c r="E45" s="17"/>
      <c r="F45" s="18"/>
      <c r="G45" s="15"/>
    </row>
    <row r="46" spans="1:8" x14ac:dyDescent="0.25">
      <c r="A46" s="37"/>
      <c r="B46" s="38"/>
      <c r="C46" s="36"/>
      <c r="D46" s="19"/>
      <c r="E46" s="17"/>
      <c r="F46" s="18"/>
      <c r="G46" s="15"/>
    </row>
    <row r="47" spans="1:8" ht="15.75" x14ac:dyDescent="0.25">
      <c r="A47" s="39" t="s">
        <v>27</v>
      </c>
      <c r="B47" s="40" t="s">
        <v>54</v>
      </c>
      <c r="C47" s="41"/>
      <c r="D47" s="42" t="s">
        <v>28</v>
      </c>
      <c r="E47" s="10"/>
    </row>
    <row r="48" spans="1:8" x14ac:dyDescent="0.25">
      <c r="A48" s="6"/>
      <c r="B48" s="7"/>
      <c r="C48" s="10"/>
      <c r="D48" s="35"/>
      <c r="E48" s="8"/>
    </row>
    <row r="49" spans="1:6" x14ac:dyDescent="0.25">
      <c r="A49" s="6"/>
      <c r="B49" s="7"/>
      <c r="C49" s="10"/>
      <c r="D49" s="34"/>
      <c r="E49" s="8"/>
    </row>
    <row r="50" spans="1:6" x14ac:dyDescent="0.25">
      <c r="A50" s="13"/>
      <c r="B50" s="14"/>
      <c r="C50" s="10"/>
      <c r="D50" s="29"/>
      <c r="E50" s="10"/>
    </row>
    <row r="51" spans="1:6" x14ac:dyDescent="0.25">
      <c r="C51" s="10"/>
      <c r="E51" s="10"/>
    </row>
    <row r="52" spans="1:6" x14ac:dyDescent="0.25">
      <c r="A52" s="6"/>
      <c r="B52" s="7"/>
      <c r="C52" s="8"/>
      <c r="D52" s="11"/>
      <c r="E52" s="10"/>
    </row>
    <row r="53" spans="1:6" x14ac:dyDescent="0.25">
      <c r="A53" s="4"/>
      <c r="B53" s="5"/>
      <c r="C53" s="10"/>
      <c r="D53" s="11"/>
      <c r="E53" s="10"/>
      <c r="F53" s="12"/>
    </row>
    <row r="54" spans="1:6" x14ac:dyDescent="0.25">
      <c r="A54" s="6"/>
      <c r="B54" s="7"/>
      <c r="C54" s="10"/>
      <c r="D54" s="11"/>
      <c r="E54" s="10"/>
    </row>
    <row r="55" spans="1:6" x14ac:dyDescent="0.25">
      <c r="A55" s="6"/>
      <c r="B55" s="7"/>
      <c r="C55" s="7"/>
      <c r="D55" s="9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8"/>
      <c r="E57" s="8"/>
      <c r="F57" s="3"/>
    </row>
    <row r="58" spans="1:6" x14ac:dyDescent="0.25">
      <c r="A58" s="6"/>
      <c r="B58" s="7"/>
      <c r="D58" s="8"/>
      <c r="E58" s="10"/>
    </row>
    <row r="59" spans="1:6" x14ac:dyDescent="0.25">
      <c r="D59" s="8"/>
      <c r="E59" s="8"/>
    </row>
    <row r="60" spans="1:6" x14ac:dyDescent="0.25">
      <c r="D60" s="10"/>
      <c r="E60" s="10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B63"/>
      <c r="C63"/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8"/>
      <c r="E66" s="8"/>
      <c r="F66" s="3"/>
    </row>
    <row r="67" spans="2:6" x14ac:dyDescent="0.25">
      <c r="B67"/>
      <c r="C67"/>
      <c r="D67" s="10"/>
      <c r="E67" s="10"/>
      <c r="F67" s="3"/>
    </row>
    <row r="68" spans="2:6" x14ac:dyDescent="0.25">
      <c r="D68" s="10"/>
      <c r="E68" s="10"/>
    </row>
    <row r="69" spans="2:6" x14ac:dyDescent="0.25">
      <c r="D69" s="7"/>
      <c r="E69" s="7"/>
    </row>
    <row r="70" spans="2:6" x14ac:dyDescent="0.25">
      <c r="B70"/>
      <c r="C70"/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</row>
    <row r="73" spans="2:6" x14ac:dyDescent="0.25">
      <c r="B73"/>
      <c r="C73"/>
    </row>
    <row r="74" spans="2:6" x14ac:dyDescent="0.25">
      <c r="B74"/>
      <c r="C74"/>
      <c r="D74"/>
      <c r="E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workbookViewId="0">
      <selection activeCell="F7" sqref="F7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8.85546875" style="3" customWidth="1"/>
    <col min="5" max="5" width="17.28515625" style="3" customWidth="1"/>
    <col min="6" max="6" width="22.7109375" customWidth="1"/>
    <col min="7" max="7" width="18.85546875" customWidth="1"/>
    <col min="8" max="8" width="16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89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9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5.75" x14ac:dyDescent="0.25">
      <c r="A6" s="110" t="s">
        <v>90</v>
      </c>
      <c r="B6" s="345"/>
      <c r="C6" s="345">
        <v>2071.3000000000002</v>
      </c>
      <c r="D6" s="346">
        <v>43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2071.3000000000002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0.75" customHeight="1" x14ac:dyDescent="0.25">
      <c r="A11" s="966" t="s">
        <v>7</v>
      </c>
      <c r="B11" s="967"/>
      <c r="C11" s="967"/>
      <c r="D11" s="123">
        <v>16.850000000000001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1.77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0.18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861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53"/>
      <c r="L17" s="54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862">
        <v>76405.983613418648</v>
      </c>
      <c r="C18" s="349">
        <v>418817.88</v>
      </c>
      <c r="D18" s="864"/>
      <c r="E18" s="349">
        <v>390509.99533776578</v>
      </c>
      <c r="F18" s="321">
        <v>104713.86827565287</v>
      </c>
      <c r="G18" s="141">
        <v>418817.88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8049.0370882336401</v>
      </c>
      <c r="C19" s="349">
        <v>43994.400000000001</v>
      </c>
      <c r="D19" s="866"/>
      <c r="E19" s="349">
        <v>42016.646815477412</v>
      </c>
      <c r="F19" s="143">
        <v>10026.790272756232</v>
      </c>
      <c r="G19" s="323">
        <v>14636.79</v>
      </c>
      <c r="H19" s="189">
        <v>29357.61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6.5" thickBot="1" x14ac:dyDescent="0.3">
      <c r="A20" s="144" t="s">
        <v>15</v>
      </c>
      <c r="B20" s="327">
        <v>832.77429924885382</v>
      </c>
      <c r="C20" s="348">
        <v>4473.96</v>
      </c>
      <c r="D20" s="322"/>
      <c r="E20" s="349">
        <v>5859.077763355639</v>
      </c>
      <c r="F20" s="327">
        <v>-552.34346410678518</v>
      </c>
      <c r="G20" s="837">
        <v>5400</v>
      </c>
      <c r="H20" s="189">
        <v>-926.04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51" t="s">
        <v>16</v>
      </c>
      <c r="B21" s="152">
        <v>135237.1772666442</v>
      </c>
      <c r="C21" s="153">
        <v>723228.82</v>
      </c>
      <c r="D21" s="153">
        <v>-34425.67</v>
      </c>
      <c r="E21" s="153">
        <v>660123.84687559528</v>
      </c>
      <c r="F21" s="153">
        <v>163916.48039104894</v>
      </c>
      <c r="G21" s="153">
        <v>590146.7300000001</v>
      </c>
      <c r="H21" s="191">
        <v>98656.420000000013</v>
      </c>
      <c r="M21" s="20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x14ac:dyDescent="0.25">
      <c r="A22" s="154" t="s">
        <v>17</v>
      </c>
      <c r="B22" s="155">
        <v>43236.739231495405</v>
      </c>
      <c r="C22" s="487">
        <v>436916.03</v>
      </c>
      <c r="D22" s="871"/>
      <c r="E22" s="487">
        <v>403621.52895319258</v>
      </c>
      <c r="F22" s="155">
        <v>76531.240278302866</v>
      </c>
      <c r="G22" s="333">
        <v>308898.65000000002</v>
      </c>
      <c r="H22" s="189">
        <v>128017.38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7" t="s">
        <v>18</v>
      </c>
      <c r="B23" s="158">
        <v>59526.157850857802</v>
      </c>
      <c r="C23" s="158">
        <v>184178.83</v>
      </c>
      <c r="D23" s="158">
        <v>-16934.489999999998</v>
      </c>
      <c r="E23" s="158">
        <v>165593.89908873982</v>
      </c>
      <c r="F23" s="158">
        <v>61176.598762117967</v>
      </c>
      <c r="G23" s="145">
        <v>177799.27</v>
      </c>
      <c r="H23" s="189">
        <v>-10554.929999999993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19</v>
      </c>
      <c r="B24" s="158">
        <v>12719.62906971966</v>
      </c>
      <c r="C24" s="842">
        <v>35951.760000000002</v>
      </c>
      <c r="D24" s="842">
        <v>-7460.7</v>
      </c>
      <c r="E24" s="840">
        <v>32478.297689988009</v>
      </c>
      <c r="F24" s="158">
        <v>8732.3913797316563</v>
      </c>
      <c r="G24" s="326">
        <v>22661.95</v>
      </c>
      <c r="H24" s="189">
        <v>5829.1100000000006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20</v>
      </c>
      <c r="B25" s="158">
        <v>19754.651114571316</v>
      </c>
      <c r="C25" s="842">
        <v>66182.2</v>
      </c>
      <c r="D25" s="842">
        <v>-10030.48</v>
      </c>
      <c r="E25" s="840">
        <v>58430.121143674864</v>
      </c>
      <c r="F25" s="158">
        <v>17476.249970896453</v>
      </c>
      <c r="G25" s="145">
        <v>80786.86</v>
      </c>
      <c r="H25" s="189">
        <v>-24635.14</v>
      </c>
      <c r="K25" s="52"/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42" t="s">
        <v>31</v>
      </c>
      <c r="B26" s="337">
        <v>5754.3077324546712</v>
      </c>
      <c r="C26" s="842">
        <v>122142.8</v>
      </c>
      <c r="D26" s="842">
        <v>-13494.2</v>
      </c>
      <c r="E26" s="840">
        <v>108254.31320780588</v>
      </c>
      <c r="F26" s="158">
        <v>6148.5945246487972</v>
      </c>
      <c r="G26" s="326">
        <v>74672.81</v>
      </c>
      <c r="H26" s="189">
        <v>33975.790000000008</v>
      </c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21</v>
      </c>
      <c r="B27" s="143"/>
      <c r="C27" s="844"/>
      <c r="D27" s="337"/>
      <c r="E27" s="844"/>
      <c r="F27" s="158">
        <v>0</v>
      </c>
      <c r="G27" s="337"/>
      <c r="H27" s="189">
        <v>0</v>
      </c>
      <c r="K27" s="8"/>
      <c r="L27" s="3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6.5" hidden="1" thickBot="1" x14ac:dyDescent="0.3">
      <c r="A28" s="113" t="s">
        <v>22</v>
      </c>
      <c r="B28" s="161">
        <v>0</v>
      </c>
      <c r="C28" s="161"/>
      <c r="D28" s="161"/>
      <c r="E28" s="161"/>
      <c r="F28" s="162">
        <v>0</v>
      </c>
      <c r="G28" s="163"/>
      <c r="H28" s="164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165" t="s">
        <v>23</v>
      </c>
      <c r="B29" s="166">
        <v>226279.28000000003</v>
      </c>
      <c r="C29" s="166">
        <v>1312657.8600000001</v>
      </c>
      <c r="D29" s="166">
        <v>-47919.869999999995</v>
      </c>
      <c r="E29" s="166">
        <v>1206763.8799999999</v>
      </c>
      <c r="F29" s="166">
        <v>284253.39000000007</v>
      </c>
      <c r="G29" s="166">
        <v>1103674.2100000002</v>
      </c>
      <c r="H29" s="193">
        <v>161063.78000000003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x14ac:dyDescent="0.25">
      <c r="A30" s="167"/>
      <c r="B30" s="168"/>
      <c r="C30" s="122"/>
      <c r="D30" s="122"/>
      <c r="E30" s="122"/>
      <c r="F30" s="99"/>
      <c r="G30" s="169"/>
      <c r="H30" s="169"/>
      <c r="I30" s="15"/>
      <c r="J30" s="15"/>
      <c r="K30" s="3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70"/>
      <c r="E31" s="122"/>
      <c r="F31" s="128"/>
      <c r="G31" s="171"/>
      <c r="H31" s="171"/>
      <c r="I31" s="27"/>
      <c r="J31" s="15"/>
    </row>
    <row r="32" spans="1:22" ht="15.75" x14ac:dyDescent="0.25">
      <c r="A32" s="167"/>
      <c r="B32" s="98"/>
      <c r="C32" s="122"/>
      <c r="D32" s="122"/>
      <c r="E32" s="122"/>
      <c r="F32" s="172"/>
      <c r="G32" s="100"/>
      <c r="H32" s="100"/>
    </row>
    <row r="33" spans="1:8" ht="16.5" thickBot="1" x14ac:dyDescent="0.3">
      <c r="A33" s="167" t="s">
        <v>272</v>
      </c>
      <c r="B33" s="172"/>
      <c r="C33" s="172"/>
      <c r="D33" s="122"/>
      <c r="E33" s="122"/>
      <c r="F33" s="172"/>
      <c r="G33" s="100"/>
      <c r="H33" s="100"/>
    </row>
    <row r="34" spans="1:8" ht="79.5" thickBot="1" x14ac:dyDescent="0.3">
      <c r="A34" s="845" t="s">
        <v>33</v>
      </c>
      <c r="B34" s="846" t="s">
        <v>25</v>
      </c>
      <c r="C34" s="847" t="s">
        <v>29</v>
      </c>
      <c r="D34" s="122"/>
      <c r="E34" s="122"/>
      <c r="F34" s="172"/>
      <c r="G34" s="100"/>
      <c r="H34" s="100"/>
    </row>
    <row r="35" spans="1:8" ht="15.75" x14ac:dyDescent="0.25">
      <c r="A35" s="848" t="s">
        <v>26</v>
      </c>
      <c r="B35" s="849" t="s">
        <v>24</v>
      </c>
      <c r="C35" s="850" t="s">
        <v>24</v>
      </c>
      <c r="D35" s="122"/>
      <c r="E35" s="122"/>
      <c r="F35" s="172"/>
      <c r="G35" s="100"/>
      <c r="H35" s="100"/>
    </row>
    <row r="36" spans="1:8" ht="15.75" x14ac:dyDescent="0.25">
      <c r="A36" s="472" t="s">
        <v>88</v>
      </c>
      <c r="B36" s="860"/>
      <c r="C36" s="884">
        <v>5521.79</v>
      </c>
      <c r="D36" s="168"/>
      <c r="E36" s="122"/>
      <c r="F36" s="172"/>
      <c r="G36" s="100"/>
      <c r="H36" s="100"/>
    </row>
    <row r="37" spans="1:8" ht="15.75" x14ac:dyDescent="0.25">
      <c r="A37" s="179" t="s">
        <v>91</v>
      </c>
      <c r="B37" s="341"/>
      <c r="C37" s="342">
        <v>9115</v>
      </c>
      <c r="D37" s="172"/>
      <c r="E37" s="172"/>
      <c r="F37" s="100"/>
      <c r="G37" s="100"/>
      <c r="H37" s="100"/>
    </row>
    <row r="38" spans="1:8" ht="15.75" hidden="1" x14ac:dyDescent="0.25">
      <c r="A38" s="179"/>
      <c r="B38" s="341"/>
      <c r="C38" s="342"/>
      <c r="D38" s="182"/>
      <c r="E38" s="881"/>
      <c r="F38" s="524"/>
      <c r="G38" s="169"/>
      <c r="H38" s="100"/>
    </row>
    <row r="39" spans="1:8" ht="16.5" thickBot="1" x14ac:dyDescent="0.3">
      <c r="A39" s="113" t="s">
        <v>5</v>
      </c>
      <c r="B39" s="114">
        <f>B36</f>
        <v>0</v>
      </c>
      <c r="C39" s="852">
        <f>SUM(C36:C38)</f>
        <v>14636.79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hidden="1" x14ac:dyDescent="0.25">
      <c r="A41" s="92" t="s">
        <v>118</v>
      </c>
      <c r="B41" s="93">
        <f>12323.95+H19</f>
        <v>41681.56</v>
      </c>
      <c r="C41" s="94" t="s">
        <v>24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31.5" x14ac:dyDescent="0.25">
      <c r="A43" s="344" t="s">
        <v>289</v>
      </c>
      <c r="B43" s="93">
        <f>13447.96+14332.66+12323.95+E19-G19</f>
        <v>67484.426815477404</v>
      </c>
      <c r="C43" s="94"/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x14ac:dyDescent="0.25">
      <c r="A47" s="31" t="s">
        <v>53</v>
      </c>
      <c r="B47" s="28" t="s">
        <v>54</v>
      </c>
      <c r="C47" s="36"/>
      <c r="D47" s="16"/>
      <c r="E47" s="17"/>
      <c r="F47" s="18"/>
      <c r="G47" s="15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hidden="1" x14ac:dyDescent="0.25">
      <c r="A58" s="6"/>
      <c r="B58" s="7"/>
      <c r="C58" s="7"/>
      <c r="D58" s="9"/>
      <c r="E58" s="10"/>
    </row>
    <row r="59" spans="1:7" hidden="1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51" max="7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zoomScaleNormal="75" workbookViewId="0">
      <selection activeCell="K35" sqref="K35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7.42578125" style="3" customWidth="1"/>
    <col min="5" max="5" width="18.42578125" style="3" customWidth="1"/>
    <col min="6" max="6" width="20.5703125" customWidth="1"/>
    <col min="7" max="7" width="17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177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0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178</v>
      </c>
      <c r="B6" s="108"/>
      <c r="C6" s="108">
        <v>393</v>
      </c>
      <c r="D6" s="109">
        <v>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393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4.5" customHeight="1" x14ac:dyDescent="0.25">
      <c r="A11" s="966" t="s">
        <v>7</v>
      </c>
      <c r="B11" s="967"/>
      <c r="C11" s="967"/>
      <c r="D11" s="123">
        <v>10.23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497">
        <v>44224.29</v>
      </c>
      <c r="D18" s="498"/>
      <c r="E18" s="497">
        <v>28371.99</v>
      </c>
      <c r="F18" s="321">
        <v>15852.3</v>
      </c>
      <c r="G18" s="141">
        <v>44224.29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97">
        <v>12969</v>
      </c>
      <c r="D19" s="498"/>
      <c r="E19" s="497">
        <v>8675.17</v>
      </c>
      <c r="F19" s="143">
        <v>4293.83</v>
      </c>
      <c r="G19" s="323">
        <v>0</v>
      </c>
      <c r="H19" s="189">
        <v>12969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99"/>
      <c r="D20" s="146"/>
      <c r="E20" s="499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19"/>
      <c r="D21" s="190"/>
      <c r="E21" s="420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207117.85</v>
      </c>
      <c r="D22" s="153">
        <v>-363.16</v>
      </c>
      <c r="E22" s="153">
        <v>125831.54</v>
      </c>
      <c r="F22" s="153">
        <v>80923.150000000023</v>
      </c>
      <c r="G22" s="153">
        <v>141983.76999999999</v>
      </c>
      <c r="H22" s="191">
        <v>64770.92000000002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00">
        <v>117185.02</v>
      </c>
      <c r="D23" s="501">
        <v>-0.09</v>
      </c>
      <c r="E23" s="502">
        <v>73525.119999999995</v>
      </c>
      <c r="F23" s="155">
        <v>43659.810000000012</v>
      </c>
      <c r="G23" s="503">
        <v>35719.86</v>
      </c>
      <c r="H23" s="189">
        <v>81465.070000000007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55315.48</v>
      </c>
      <c r="D24" s="158">
        <v>-230.21</v>
      </c>
      <c r="E24" s="158">
        <v>32135.42</v>
      </c>
      <c r="F24" s="158">
        <v>22949.850000000006</v>
      </c>
      <c r="G24" s="145">
        <v>94646.45</v>
      </c>
      <c r="H24" s="189">
        <v>-39561.179999999993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04">
        <v>12829.04</v>
      </c>
      <c r="D25" s="505">
        <v>-50.42</v>
      </c>
      <c r="E25" s="506">
        <v>7636.4</v>
      </c>
      <c r="F25" s="158">
        <v>5142.2200000000012</v>
      </c>
      <c r="G25" s="364">
        <v>4444.22</v>
      </c>
      <c r="H25" s="189">
        <v>8334.4000000000015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04">
        <v>21788.31</v>
      </c>
      <c r="D26" s="505">
        <v>-82.44</v>
      </c>
      <c r="E26" s="506">
        <v>12534.6</v>
      </c>
      <c r="F26" s="158">
        <v>9171.2700000000023</v>
      </c>
      <c r="G26" s="364">
        <v>7173.24</v>
      </c>
      <c r="H26" s="189">
        <v>14532.630000000003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507"/>
      <c r="D27" s="338"/>
      <c r="E27" s="50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99"/>
      <c r="D28" s="508"/>
      <c r="E28" s="509">
        <v>502.23</v>
      </c>
      <c r="F28" s="158">
        <v>-502.23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264311.14</v>
      </c>
      <c r="D30" s="166">
        <v>-363.16</v>
      </c>
      <c r="E30" s="166">
        <v>163380.93000000002</v>
      </c>
      <c r="F30" s="166">
        <v>100567.05000000003</v>
      </c>
      <c r="G30" s="166">
        <v>186208.06</v>
      </c>
      <c r="H30" s="193">
        <v>77739.920000000013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 t="s">
        <v>118</v>
      </c>
      <c r="B41" s="93">
        <f>E19-G19</f>
        <v>8675.17</v>
      </c>
      <c r="C41" s="94" t="s">
        <v>24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C52" s="10"/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9" sqref="F39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6.28515625" customWidth="1"/>
    <col min="7" max="7" width="14.57031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179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180</v>
      </c>
      <c r="B6" s="108"/>
      <c r="C6" s="108">
        <v>44.5</v>
      </c>
      <c r="D6" s="109">
        <v>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44.5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10.23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954">
        <v>5007.6400000000003</v>
      </c>
      <c r="D18" s="320"/>
      <c r="E18" s="954">
        <v>4511.5</v>
      </c>
      <c r="F18" s="321">
        <v>496.14000000000033</v>
      </c>
      <c r="G18" s="141">
        <v>5007.6400000000003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954">
        <v>1468.5</v>
      </c>
      <c r="D19" s="320"/>
      <c r="E19" s="954">
        <v>1323</v>
      </c>
      <c r="F19" s="143">
        <v>145.5</v>
      </c>
      <c r="G19" s="323">
        <v>0</v>
      </c>
      <c r="H19" s="189">
        <v>1468.5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18007.84</v>
      </c>
      <c r="D22" s="153">
        <v>-7.24</v>
      </c>
      <c r="E22" s="153">
        <v>16165.5</v>
      </c>
      <c r="F22" s="153">
        <v>1835.1000000000006</v>
      </c>
      <c r="G22" s="153">
        <v>37229.279999999999</v>
      </c>
      <c r="H22" s="191">
        <v>-19228.68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954">
        <v>13273.1</v>
      </c>
      <c r="D23" s="366"/>
      <c r="E23" s="954">
        <v>11909.07</v>
      </c>
      <c r="F23" s="156">
        <v>1364.0300000000007</v>
      </c>
      <c r="G23" s="326">
        <v>3943.68</v>
      </c>
      <c r="H23" s="189">
        <v>9329.42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2912.25</v>
      </c>
      <c r="D24" s="158">
        <v>-7.24</v>
      </c>
      <c r="E24" s="158">
        <v>2623.84</v>
      </c>
      <c r="F24" s="158">
        <v>281.17000000000007</v>
      </c>
      <c r="G24" s="145">
        <v>24823.62</v>
      </c>
      <c r="H24" s="189">
        <v>-21918.61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955">
        <v>675.42</v>
      </c>
      <c r="D25" s="443"/>
      <c r="E25" s="955">
        <v>606.29999999999995</v>
      </c>
      <c r="F25" s="158">
        <v>69.12</v>
      </c>
      <c r="G25" s="145">
        <v>3085.31</v>
      </c>
      <c r="H25" s="189">
        <v>-2409.89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954">
        <v>1147.07</v>
      </c>
      <c r="D26" s="443"/>
      <c r="E26" s="954">
        <v>1026.29</v>
      </c>
      <c r="F26" s="158">
        <v>120.77999999999997</v>
      </c>
      <c r="G26" s="145">
        <v>5376.67</v>
      </c>
      <c r="H26" s="189">
        <v>-4229.6000000000004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24483.98</v>
      </c>
      <c r="D30" s="166">
        <v>-7.24</v>
      </c>
      <c r="E30" s="166">
        <v>22000</v>
      </c>
      <c r="F30" s="166">
        <v>2476.7400000000007</v>
      </c>
      <c r="G30" s="166">
        <v>42236.92</v>
      </c>
      <c r="H30" s="193">
        <v>-17760.18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1323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3" orientation="portrait" r:id="rId1"/>
  <colBreaks count="1" manualBreakCount="1">
    <brk id="8" max="67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1" sqref="J41"/>
    </sheetView>
  </sheetViews>
  <sheetFormatPr defaultRowHeight="15" x14ac:dyDescent="0.25"/>
  <cols>
    <col min="1" max="1" width="42.5703125" customWidth="1"/>
    <col min="2" max="2" width="16.5703125" style="3" customWidth="1"/>
    <col min="3" max="3" width="19.5703125" style="3" customWidth="1"/>
    <col min="4" max="4" width="20.42578125" style="3" customWidth="1"/>
    <col min="5" max="5" width="18.42578125" style="3" customWidth="1"/>
    <col min="6" max="6" width="20.28515625" customWidth="1"/>
    <col min="7" max="7" width="16" customWidth="1"/>
    <col min="8" max="8" width="15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181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182</v>
      </c>
      <c r="B6" s="108"/>
      <c r="C6" s="108">
        <v>173.1</v>
      </c>
      <c r="D6" s="109">
        <v>15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173.1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10.23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494">
        <v>15937.38</v>
      </c>
      <c r="D18" s="320"/>
      <c r="E18" s="494">
        <v>12978.83</v>
      </c>
      <c r="F18" s="321">
        <v>2958.5499999999993</v>
      </c>
      <c r="G18" s="141">
        <v>15937.38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94">
        <v>4673.7</v>
      </c>
      <c r="D19" s="320"/>
      <c r="E19" s="494">
        <v>3864.47</v>
      </c>
      <c r="F19" s="143">
        <v>809.23</v>
      </c>
      <c r="G19" s="323">
        <v>0</v>
      </c>
      <c r="H19" s="189">
        <v>4673.7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34"/>
      <c r="D20" s="146"/>
      <c r="E20" s="434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101505.67</v>
      </c>
      <c r="D22" s="153">
        <v>254.01999999999998</v>
      </c>
      <c r="E22" s="153">
        <v>79760.399999999994</v>
      </c>
      <c r="F22" s="153">
        <v>21999.29</v>
      </c>
      <c r="G22" s="153">
        <v>77725.52</v>
      </c>
      <c r="H22" s="191">
        <v>24034.17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494">
        <v>43028.43</v>
      </c>
      <c r="D23" s="366"/>
      <c r="E23" s="494">
        <v>34791.67</v>
      </c>
      <c r="F23" s="156">
        <v>8236.760000000002</v>
      </c>
      <c r="G23" s="326">
        <v>50566.31</v>
      </c>
      <c r="H23" s="189">
        <v>-7537.8799999999974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36156.129999999997</v>
      </c>
      <c r="D24" s="158">
        <v>77.08</v>
      </c>
      <c r="E24" s="158">
        <v>27846.899999999998</v>
      </c>
      <c r="F24" s="158">
        <v>8386.3100000000013</v>
      </c>
      <c r="G24" s="145">
        <v>26476.25</v>
      </c>
      <c r="H24" s="189">
        <v>9756.9599999999991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495">
        <v>8184.96</v>
      </c>
      <c r="D25" s="496">
        <v>176.94</v>
      </c>
      <c r="E25" s="495">
        <v>6431.1</v>
      </c>
      <c r="F25" s="158">
        <v>1930.7999999999993</v>
      </c>
      <c r="G25" s="444">
        <v>682.96</v>
      </c>
      <c r="H25" s="189">
        <v>7678.94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495">
        <v>14136.15</v>
      </c>
      <c r="D26" s="443"/>
      <c r="E26" s="495">
        <v>10690.73</v>
      </c>
      <c r="F26" s="158">
        <v>3445.42</v>
      </c>
      <c r="G26" s="145"/>
      <c r="H26" s="189">
        <v>14136.15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122116.75</v>
      </c>
      <c r="D30" s="166">
        <v>254.01999999999998</v>
      </c>
      <c r="E30" s="166">
        <v>96603.7</v>
      </c>
      <c r="F30" s="166">
        <v>25767.07</v>
      </c>
      <c r="G30" s="166">
        <v>93662.900000000009</v>
      </c>
      <c r="H30" s="193">
        <v>28707.87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3864.47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K37" sqref="K37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7.5703125" style="3" customWidth="1"/>
    <col min="5" max="5" width="18.42578125" style="3" customWidth="1"/>
    <col min="6" max="6" width="16.28515625" customWidth="1"/>
    <col min="7" max="7" width="17.140625" customWidth="1"/>
    <col min="8" max="8" width="17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183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184</v>
      </c>
      <c r="B6" s="108"/>
      <c r="C6" s="108">
        <v>387.9</v>
      </c>
      <c r="D6" s="109">
        <v>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387.9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7.39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0.3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441">
        <v>31532.38</v>
      </c>
      <c r="D18" s="320"/>
      <c r="E18" s="441">
        <v>20781.3</v>
      </c>
      <c r="F18" s="321">
        <v>10751.080000000002</v>
      </c>
      <c r="G18" s="141">
        <v>31532.38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41">
        <v>12800.7</v>
      </c>
      <c r="D19" s="320"/>
      <c r="E19" s="441">
        <v>8659.5400000000009</v>
      </c>
      <c r="F19" s="143">
        <v>4141.16</v>
      </c>
      <c r="G19" s="323">
        <v>9350.0000000000018</v>
      </c>
      <c r="H19" s="189">
        <v>3450.6999999999989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1">
        <v>1280.07</v>
      </c>
      <c r="D20" s="146"/>
      <c r="E20" s="441">
        <v>1204.24</v>
      </c>
      <c r="F20" s="149">
        <v>75.829999999999927</v>
      </c>
      <c r="G20" s="326">
        <v>6150</v>
      </c>
      <c r="H20" s="189">
        <v>-4869.93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145160.47</v>
      </c>
      <c r="D22" s="153">
        <v>-233.62</v>
      </c>
      <c r="E22" s="153">
        <v>92938.560000000012</v>
      </c>
      <c r="F22" s="153">
        <v>51988.29</v>
      </c>
      <c r="G22" s="153">
        <v>202314.09000000003</v>
      </c>
      <c r="H22" s="191">
        <v>-57387.240000000005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442">
        <v>115649.16</v>
      </c>
      <c r="D23" s="366"/>
      <c r="E23" s="442">
        <v>74382.960000000006</v>
      </c>
      <c r="F23" s="156">
        <v>41266.199999999997</v>
      </c>
      <c r="G23" s="333">
        <v>119972.33</v>
      </c>
      <c r="H23" s="189">
        <v>-4323.1699999999983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23139.34</v>
      </c>
      <c r="D24" s="158">
        <v>-78.14</v>
      </c>
      <c r="E24" s="158">
        <v>15591.21</v>
      </c>
      <c r="F24" s="158">
        <v>7469.9900000000016</v>
      </c>
      <c r="G24" s="145">
        <v>82341.760000000009</v>
      </c>
      <c r="H24" s="189">
        <v>-59280.560000000012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381">
        <v>1627.15</v>
      </c>
      <c r="D25" s="443"/>
      <c r="E25" s="381">
        <v>1348.29</v>
      </c>
      <c r="F25" s="158">
        <v>278.86000000000013</v>
      </c>
      <c r="G25" s="444"/>
      <c r="H25" s="189">
        <v>1627.15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381">
        <v>4744.82</v>
      </c>
      <c r="D26" s="445">
        <v>-155.47999999999999</v>
      </c>
      <c r="E26" s="381">
        <v>1616.1</v>
      </c>
      <c r="F26" s="158">
        <v>2973.2400000000002</v>
      </c>
      <c r="G26" s="145"/>
      <c r="H26" s="189">
        <v>4589.34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190773.62</v>
      </c>
      <c r="D30" s="166">
        <v>-233.62</v>
      </c>
      <c r="E30" s="166">
        <v>123583.64000000001</v>
      </c>
      <c r="F30" s="166">
        <v>66956.36</v>
      </c>
      <c r="G30" s="166">
        <v>249346.47000000003</v>
      </c>
      <c r="H30" s="193">
        <v>-58806.470000000008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31.5" x14ac:dyDescent="0.25">
      <c r="A37" s="196" t="s">
        <v>281</v>
      </c>
      <c r="B37" s="180"/>
      <c r="C37" s="342">
        <f>3000*1.1</f>
        <v>3300.0000000000005</v>
      </c>
      <c r="D37" s="182"/>
      <c r="E37" s="122"/>
      <c r="F37" s="172"/>
      <c r="G37" s="100"/>
      <c r="H37" s="100"/>
    </row>
    <row r="38" spans="1:8" ht="15.75" x14ac:dyDescent="0.25">
      <c r="A38" s="179" t="s">
        <v>266</v>
      </c>
      <c r="B38" s="180"/>
      <c r="C38" s="342">
        <f>5500*1.1</f>
        <v>6050.0000000000009</v>
      </c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9350.0000000000018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-690.46000000000095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" right="0.7" top="0.75" bottom="0.75" header="0.3" footer="0.3"/>
  <pageSetup paperSize="9" scale="53" orientation="portrait" r:id="rId1"/>
  <colBreaks count="1" manualBreakCount="1">
    <brk id="8" max="67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5" sqref="F5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9.5703125" customWidth="1"/>
    <col min="7" max="7" width="16.28515625" customWidth="1"/>
    <col min="8" max="8" width="16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185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3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186</v>
      </c>
      <c r="B6" s="108"/>
      <c r="C6" s="108">
        <v>404.9</v>
      </c>
      <c r="D6" s="109">
        <v>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404.9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70">
        <v>50218.879999999997</v>
      </c>
      <c r="D18" s="571">
        <v>1351.92</v>
      </c>
      <c r="E18" s="572">
        <v>45888.31</v>
      </c>
      <c r="F18" s="321">
        <v>5682.489999999998</v>
      </c>
      <c r="G18" s="141">
        <v>51570.799999999996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73">
        <v>12696.6</v>
      </c>
      <c r="D19" s="574">
        <v>665.1</v>
      </c>
      <c r="E19" s="572">
        <v>11984.56</v>
      </c>
      <c r="F19" s="143">
        <v>1377.1400000000012</v>
      </c>
      <c r="G19" s="323">
        <v>0</v>
      </c>
      <c r="H19" s="189">
        <v>13361.7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155347.46000000002</v>
      </c>
      <c r="D22" s="153">
        <v>-4956.37</v>
      </c>
      <c r="E22" s="153">
        <v>140180.43</v>
      </c>
      <c r="F22" s="153">
        <v>10210.660000000003</v>
      </c>
      <c r="G22" s="153">
        <v>133506.9</v>
      </c>
      <c r="H22" s="191">
        <v>16884.19000000001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75">
        <v>118014.38</v>
      </c>
      <c r="D23" s="576">
        <v>-587.13</v>
      </c>
      <c r="E23" s="575">
        <v>108292.87</v>
      </c>
      <c r="F23" s="155">
        <v>9134.3800000000047</v>
      </c>
      <c r="G23" s="333">
        <v>44166.84</v>
      </c>
      <c r="H23" s="189">
        <v>73260.41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23221.23</v>
      </c>
      <c r="D24" s="158">
        <v>-2492.25</v>
      </c>
      <c r="E24" s="158">
        <v>20180.68</v>
      </c>
      <c r="F24" s="158">
        <v>548.29999999999927</v>
      </c>
      <c r="G24" s="145">
        <v>84271.93</v>
      </c>
      <c r="H24" s="189">
        <v>-63542.95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73">
        <v>5203.1499999999996</v>
      </c>
      <c r="D25" s="574">
        <v>-732.98</v>
      </c>
      <c r="E25" s="573">
        <v>4407.6000000000004</v>
      </c>
      <c r="F25" s="158">
        <v>62.569999999999709</v>
      </c>
      <c r="G25" s="145">
        <v>2637.22</v>
      </c>
      <c r="H25" s="189">
        <v>1832.9500000000003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73">
        <v>8908.7000000000007</v>
      </c>
      <c r="D26" s="573">
        <v>-1144.01</v>
      </c>
      <c r="E26" s="573">
        <v>7299.28</v>
      </c>
      <c r="F26" s="158">
        <v>465.41000000000076</v>
      </c>
      <c r="G26" s="145">
        <v>2430.91</v>
      </c>
      <c r="H26" s="189">
        <v>5333.7800000000007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218262.94</v>
      </c>
      <c r="D30" s="166">
        <v>-2939.35</v>
      </c>
      <c r="E30" s="166">
        <v>198053.3</v>
      </c>
      <c r="F30" s="166">
        <v>17270.29</v>
      </c>
      <c r="G30" s="166">
        <v>185077.69999999998</v>
      </c>
      <c r="H30" s="193">
        <v>30245.89000000001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31.5" x14ac:dyDescent="0.25">
      <c r="A42" s="344" t="s">
        <v>118</v>
      </c>
      <c r="B42" s="93">
        <f>E19-G19</f>
        <v>11984.56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x14ac:dyDescent="0.25">
      <c r="A46" s="31" t="s">
        <v>53</v>
      </c>
      <c r="B46" s="28" t="s">
        <v>54</v>
      </c>
      <c r="C46" s="36"/>
      <c r="D46" s="16"/>
      <c r="E46" s="17"/>
      <c r="F46" s="18"/>
      <c r="G46" s="15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G43" sqref="G43"/>
    </sheetView>
  </sheetViews>
  <sheetFormatPr defaultRowHeight="15" x14ac:dyDescent="0.25"/>
  <cols>
    <col min="1" max="1" width="43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6.28515625" customWidth="1"/>
    <col min="7" max="7" width="17.85546875" customWidth="1"/>
    <col min="8" max="8" width="18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187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0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188</v>
      </c>
      <c r="B6" s="108"/>
      <c r="C6" s="108">
        <v>346.7</v>
      </c>
      <c r="D6" s="109">
        <v>24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346.7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0.75" customHeight="1" x14ac:dyDescent="0.25">
      <c r="A11" s="966" t="s">
        <v>7</v>
      </c>
      <c r="B11" s="967"/>
      <c r="C11" s="967"/>
      <c r="D11" s="123">
        <v>7.73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65">
        <v>48388.88</v>
      </c>
      <c r="D18" s="566"/>
      <c r="E18" s="565">
        <v>39294.449999999997</v>
      </c>
      <c r="F18" s="321">
        <v>9094.43</v>
      </c>
      <c r="G18" s="141">
        <v>48388.88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65">
        <v>11441.1</v>
      </c>
      <c r="D19" s="566"/>
      <c r="E19" s="565">
        <v>10548.33</v>
      </c>
      <c r="F19" s="143">
        <v>892.77000000000044</v>
      </c>
      <c r="G19" s="323">
        <v>0</v>
      </c>
      <c r="H19" s="189">
        <v>11441.1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1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128747.92</v>
      </c>
      <c r="D22" s="153">
        <v>5502.92</v>
      </c>
      <c r="E22" s="153">
        <v>105978.66</v>
      </c>
      <c r="F22" s="153">
        <v>28272.18</v>
      </c>
      <c r="G22" s="153">
        <v>125134.44</v>
      </c>
      <c r="H22" s="191">
        <v>9116.4000000000142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67">
        <v>103379.08</v>
      </c>
      <c r="D23" s="568">
        <v>-164.92</v>
      </c>
      <c r="E23" s="565">
        <v>81855.55</v>
      </c>
      <c r="F23" s="156">
        <v>21358.61</v>
      </c>
      <c r="G23" s="326">
        <v>112994.73999999999</v>
      </c>
      <c r="H23" s="189">
        <v>-9780.5799999999872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0</v>
      </c>
      <c r="D24" s="158"/>
      <c r="E24" s="158">
        <v>0</v>
      </c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67">
        <v>12344.04</v>
      </c>
      <c r="D25" s="569">
        <v>2831.04</v>
      </c>
      <c r="E25" s="565">
        <v>11892.6</v>
      </c>
      <c r="F25" s="158">
        <v>3282.4800000000014</v>
      </c>
      <c r="G25" s="145">
        <v>6062.49</v>
      </c>
      <c r="H25" s="189">
        <v>9112.590000000002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67">
        <v>13024.8</v>
      </c>
      <c r="D26" s="569">
        <v>2836.8</v>
      </c>
      <c r="E26" s="565">
        <v>12230.51</v>
      </c>
      <c r="F26" s="158">
        <v>3631.0899999999983</v>
      </c>
      <c r="G26" s="145">
        <v>6077.21</v>
      </c>
      <c r="H26" s="189">
        <v>9784.39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52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188577.9</v>
      </c>
      <c r="D30" s="166">
        <v>5502.92</v>
      </c>
      <c r="E30" s="166">
        <v>155821.44</v>
      </c>
      <c r="F30" s="166">
        <v>38259.380000000005</v>
      </c>
      <c r="G30" s="166">
        <v>173523.32</v>
      </c>
      <c r="H30" s="467">
        <v>20557.5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344" t="s">
        <v>118</v>
      </c>
      <c r="B42" s="93">
        <f>E19-G19</f>
        <v>10548.33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zoomScaleNormal="75" workbookViewId="0">
      <selection activeCell="J44" sqref="J44"/>
    </sheetView>
  </sheetViews>
  <sheetFormatPr defaultRowHeight="15" x14ac:dyDescent="0.25"/>
  <cols>
    <col min="1" max="1" width="44.425781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6.28515625" customWidth="1"/>
    <col min="7" max="7" width="17.140625" customWidth="1"/>
    <col min="8" max="8" width="18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189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1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190</v>
      </c>
      <c r="B6" s="108"/>
      <c r="C6" s="108">
        <v>215.8</v>
      </c>
      <c r="D6" s="109">
        <v>10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215.8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7.73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59">
        <v>30101.09</v>
      </c>
      <c r="D18" s="560">
        <v>18.190000000000001</v>
      </c>
      <c r="E18" s="561">
        <v>22069.13</v>
      </c>
      <c r="F18" s="321">
        <v>8050.1499999999978</v>
      </c>
      <c r="G18" s="141">
        <v>30119.279999999999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62">
        <v>7117.2</v>
      </c>
      <c r="D19" s="563">
        <v>4.2</v>
      </c>
      <c r="E19" s="562">
        <v>5533.55</v>
      </c>
      <c r="F19" s="143">
        <v>1587.8499999999995</v>
      </c>
      <c r="G19" s="323">
        <v>0</v>
      </c>
      <c r="H19" s="189">
        <v>7121.4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76785.280000000013</v>
      </c>
      <c r="D22" s="153">
        <v>1184.78</v>
      </c>
      <c r="E22" s="153">
        <v>56434.89</v>
      </c>
      <c r="F22" s="153">
        <v>21535.170000000002</v>
      </c>
      <c r="G22" s="153">
        <v>67250.649999999994</v>
      </c>
      <c r="H22" s="191">
        <v>10719.410000000003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59">
        <v>64299.76</v>
      </c>
      <c r="D23" s="560">
        <v>122.18</v>
      </c>
      <c r="E23" s="564">
        <v>46367.37</v>
      </c>
      <c r="F23" s="156">
        <v>18054.57</v>
      </c>
      <c r="G23" s="326">
        <v>64659.89</v>
      </c>
      <c r="H23" s="189">
        <v>-237.94999999999709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62">
        <v>6105.42</v>
      </c>
      <c r="D25" s="563">
        <v>589.79999999999995</v>
      </c>
      <c r="E25" s="562">
        <v>5007.8900000000003</v>
      </c>
      <c r="F25" s="158">
        <v>1687.33</v>
      </c>
      <c r="G25" s="145">
        <v>1375.33</v>
      </c>
      <c r="H25" s="189">
        <v>5319.89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62">
        <v>6380.1</v>
      </c>
      <c r="D26" s="563">
        <v>472.8</v>
      </c>
      <c r="E26" s="562">
        <v>5059.63</v>
      </c>
      <c r="F26" s="158">
        <v>1793.2700000000004</v>
      </c>
      <c r="G26" s="145">
        <v>1215.43</v>
      </c>
      <c r="H26" s="189">
        <v>5637.47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114003.57</v>
      </c>
      <c r="D30" s="166">
        <v>1207.17</v>
      </c>
      <c r="E30" s="166">
        <v>84037.57</v>
      </c>
      <c r="F30" s="166">
        <v>31173.17</v>
      </c>
      <c r="G30" s="166">
        <v>97369.93</v>
      </c>
      <c r="H30" s="193">
        <v>17840.810000000005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344" t="s">
        <v>118</v>
      </c>
      <c r="B41" s="93">
        <f>E19-G19</f>
        <v>5533.55</v>
      </c>
      <c r="C41" s="94" t="s">
        <v>24</v>
      </c>
      <c r="D41" s="184"/>
      <c r="E41" s="185"/>
      <c r="F41" s="186"/>
      <c r="G41" s="169"/>
      <c r="H41" s="100"/>
    </row>
    <row r="42" spans="1:8" ht="15.75" x14ac:dyDescent="0.25">
      <c r="A42" s="100"/>
      <c r="B42" s="172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C52" s="10"/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K45" sqref="K45"/>
    </sheetView>
  </sheetViews>
  <sheetFormatPr defaultRowHeight="15" x14ac:dyDescent="0.25"/>
  <cols>
    <col min="1" max="1" width="42.57031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.1406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191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192</v>
      </c>
      <c r="B6" s="108"/>
      <c r="C6" s="108">
        <v>487.7</v>
      </c>
      <c r="D6" s="109">
        <v>20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487.7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1"/>
      <c r="L17" s="84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436">
        <v>61986</v>
      </c>
      <c r="D18" s="437">
        <v>2390.4</v>
      </c>
      <c r="E18" s="437">
        <v>52275.13</v>
      </c>
      <c r="F18" s="321">
        <v>12101.270000000004</v>
      </c>
      <c r="G18" s="378">
        <v>64376.4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38">
        <v>15496.5</v>
      </c>
      <c r="D19" s="439">
        <v>597.6</v>
      </c>
      <c r="E19" s="438">
        <v>13745.98</v>
      </c>
      <c r="F19" s="143">
        <v>2348.1200000000008</v>
      </c>
      <c r="G19" s="323">
        <v>32736.660000000003</v>
      </c>
      <c r="H19" s="189">
        <v>-16642.560000000005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243388.00000000003</v>
      </c>
      <c r="D22" s="153">
        <v>-5159.9900000000007</v>
      </c>
      <c r="E22" s="153">
        <v>195358.40000000002</v>
      </c>
      <c r="F22" s="153">
        <v>42869.61</v>
      </c>
      <c r="G22" s="153">
        <v>267275.86</v>
      </c>
      <c r="H22" s="191">
        <v>-29047.85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436">
        <v>140201.99</v>
      </c>
      <c r="D23" s="437">
        <v>5430.88</v>
      </c>
      <c r="E23" s="440">
        <v>116275.98</v>
      </c>
      <c r="F23" s="156">
        <v>29356.89</v>
      </c>
      <c r="G23" s="326">
        <v>84671.31</v>
      </c>
      <c r="H23" s="189">
        <v>60961.56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63613.58</v>
      </c>
      <c r="D24" s="158">
        <v>-7954.6100000000006</v>
      </c>
      <c r="E24" s="158">
        <v>49104.4</v>
      </c>
      <c r="F24" s="158">
        <v>6554.57</v>
      </c>
      <c r="G24" s="145">
        <v>162536.53</v>
      </c>
      <c r="H24" s="189">
        <v>-106877.56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438">
        <v>14668.98</v>
      </c>
      <c r="D25" s="439">
        <v>-478.84</v>
      </c>
      <c r="E25" s="438">
        <v>11654.17</v>
      </c>
      <c r="F25" s="158">
        <v>2535.9699999999993</v>
      </c>
      <c r="G25" s="145">
        <v>9692.7099999999991</v>
      </c>
      <c r="H25" s="189">
        <v>4497.43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438">
        <v>24903.45</v>
      </c>
      <c r="D26" s="438">
        <v>-2157.42</v>
      </c>
      <c r="E26" s="438">
        <v>18323.849999999999</v>
      </c>
      <c r="F26" s="158">
        <v>4422.18</v>
      </c>
      <c r="G26" s="145">
        <v>10375.31</v>
      </c>
      <c r="H26" s="189">
        <v>12370.72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56"/>
      <c r="D27" s="338"/>
      <c r="E27" s="356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320870.5</v>
      </c>
      <c r="D30" s="166">
        <v>-2171.9900000000007</v>
      </c>
      <c r="E30" s="166">
        <v>261379.51</v>
      </c>
      <c r="F30" s="166">
        <v>57319.000000000007</v>
      </c>
      <c r="G30" s="166">
        <v>364388.92</v>
      </c>
      <c r="H30" s="193">
        <v>-45690.41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160</v>
      </c>
      <c r="B37" s="180"/>
      <c r="C37" s="342">
        <f>9473*1.1</f>
        <v>10420.300000000001</v>
      </c>
      <c r="D37" s="182"/>
      <c r="E37" s="122"/>
      <c r="F37" s="172"/>
      <c r="G37" s="100"/>
      <c r="H37" s="100"/>
    </row>
    <row r="38" spans="1:8" ht="15.75" x14ac:dyDescent="0.25">
      <c r="A38" s="179" t="s">
        <v>193</v>
      </c>
      <c r="B38" s="180"/>
      <c r="C38" s="342">
        <f>5000*1.1</f>
        <v>5500</v>
      </c>
      <c r="D38" s="182"/>
      <c r="E38" s="122"/>
      <c r="F38" s="172"/>
      <c r="G38" s="100"/>
      <c r="H38" s="100"/>
    </row>
    <row r="39" spans="1:8" ht="31.5" x14ac:dyDescent="0.25">
      <c r="A39" s="196" t="s">
        <v>282</v>
      </c>
      <c r="B39" s="180"/>
      <c r="C39" s="342">
        <v>16816.36</v>
      </c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32736.660000000003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-18990.680000000004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" right="0.7" top="0.75" bottom="0.75" header="0.3" footer="0.3"/>
  <pageSetup paperSize="9" scale="53" orientation="portrait" r:id="rId1"/>
  <colBreaks count="1" manualBreakCount="1">
    <brk id="8" max="67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8"/>
  <sheetViews>
    <sheetView view="pageBreakPreview" zoomScale="60" zoomScaleNormal="75" workbookViewId="0">
      <selection activeCell="E46" sqref="E46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8.1406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194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195</v>
      </c>
      <c r="B6" s="108"/>
      <c r="C6" s="108">
        <v>2897.4</v>
      </c>
      <c r="D6" s="109">
        <v>75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2897.4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12.15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1.3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31790.968680595124</v>
      </c>
      <c r="C18" s="413">
        <v>367039.01</v>
      </c>
      <c r="D18" s="414">
        <v>11170.36</v>
      </c>
      <c r="E18" s="415">
        <v>264602.93998528551</v>
      </c>
      <c r="F18" s="321">
        <v>145397.39869530959</v>
      </c>
      <c r="G18" s="378">
        <v>378209.37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3482.6992334133211</v>
      </c>
      <c r="C19" s="416">
        <v>39886.339999999997</v>
      </c>
      <c r="D19" s="417">
        <v>1546.48</v>
      </c>
      <c r="E19" s="416">
        <v>29847.737320667882</v>
      </c>
      <c r="F19" s="143">
        <v>15067.781912745442</v>
      </c>
      <c r="G19" s="323">
        <v>32079.52</v>
      </c>
      <c r="H19" s="189">
        <v>9353.2999999999993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18"/>
      <c r="D20" s="146"/>
      <c r="E20" s="418"/>
      <c r="F20" s="143">
        <v>0</v>
      </c>
      <c r="G20" s="145">
        <v>11150</v>
      </c>
      <c r="H20" s="189">
        <v>-11150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19"/>
      <c r="D21" s="190"/>
      <c r="E21" s="420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96487.857963203147</v>
      </c>
      <c r="C22" s="153">
        <v>1167970.8600000001</v>
      </c>
      <c r="D22" s="153">
        <v>-20078.440000000002</v>
      </c>
      <c r="E22" s="153">
        <v>830316.05832843436</v>
      </c>
      <c r="F22" s="153">
        <v>414064.21963476879</v>
      </c>
      <c r="G22" s="153">
        <v>569733.82999999996</v>
      </c>
      <c r="H22" s="191">
        <v>578158.58999999985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72003.776664083911</v>
      </c>
      <c r="C23" s="413">
        <v>833296.73</v>
      </c>
      <c r="D23" s="414">
        <v>23314.57</v>
      </c>
      <c r="E23" s="421">
        <v>605405.60359363153</v>
      </c>
      <c r="F23" s="156">
        <v>323209.47307045234</v>
      </c>
      <c r="G23" s="405">
        <v>205197.46</v>
      </c>
      <c r="H23" s="189">
        <v>651413.84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15042.458041774058</v>
      </c>
      <c r="C24" s="192">
        <v>206337.27000000002</v>
      </c>
      <c r="D24" s="158">
        <v>-27380.83</v>
      </c>
      <c r="E24" s="158">
        <v>140533.56708904414</v>
      </c>
      <c r="F24" s="158">
        <v>53465.330952729913</v>
      </c>
      <c r="G24" s="145">
        <v>268814.65000000002</v>
      </c>
      <c r="H24" s="189">
        <v>-89858.210000000021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3112.9278168473265</v>
      </c>
      <c r="C25" s="416">
        <v>42857.87</v>
      </c>
      <c r="D25" s="417">
        <v>-5824.13</v>
      </c>
      <c r="E25" s="416">
        <v>30489.239959014347</v>
      </c>
      <c r="F25" s="158">
        <v>9657.4278578329831</v>
      </c>
      <c r="G25" s="364">
        <v>45555.97</v>
      </c>
      <c r="H25" s="189">
        <v>-8522.2299999999959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6328.6954404978569</v>
      </c>
      <c r="C26" s="416">
        <v>85478.99</v>
      </c>
      <c r="D26" s="417">
        <v>-10188.049999999999</v>
      </c>
      <c r="E26" s="416">
        <v>53887.647686744305</v>
      </c>
      <c r="F26" s="158">
        <v>27731.987753753558</v>
      </c>
      <c r="G26" s="364">
        <v>50165.75</v>
      </c>
      <c r="H26" s="189">
        <v>25125.190000000002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11938.894122788433</v>
      </c>
      <c r="C27" s="416">
        <v>152962.15</v>
      </c>
      <c r="D27" s="417">
        <v>-10928.05</v>
      </c>
      <c r="E27" s="416">
        <v>88088.414365612349</v>
      </c>
      <c r="F27" s="158">
        <v>65884.579757176078</v>
      </c>
      <c r="G27" s="364">
        <v>124969.08</v>
      </c>
      <c r="H27" s="189">
        <v>17065.020000000004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159"/>
      <c r="D28" s="159"/>
      <c r="E28" s="422"/>
      <c r="F28" s="155">
        <v>0</v>
      </c>
      <c r="G28" s="160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143700.42000000001</v>
      </c>
      <c r="C30" s="166">
        <v>1727858.3599999999</v>
      </c>
      <c r="D30" s="166">
        <v>-18289.650000000001</v>
      </c>
      <c r="E30" s="166">
        <v>1212855.1500000001</v>
      </c>
      <c r="F30" s="166">
        <v>640413.98</v>
      </c>
      <c r="G30" s="166">
        <v>1116141.8</v>
      </c>
      <c r="H30" s="193">
        <v>593426.90999999992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31.5" x14ac:dyDescent="0.25">
      <c r="A37" s="423" t="s">
        <v>196</v>
      </c>
      <c r="B37" s="359"/>
      <c r="C37" s="181">
        <v>4070</v>
      </c>
      <c r="D37" s="357"/>
      <c r="E37" s="122"/>
      <c r="F37" s="172"/>
      <c r="G37" s="100"/>
      <c r="H37" s="100"/>
    </row>
    <row r="38" spans="1:8" ht="15.75" x14ac:dyDescent="0.25">
      <c r="A38" s="130" t="s">
        <v>271</v>
      </c>
      <c r="B38" s="180"/>
      <c r="C38" s="342">
        <v>16249.2</v>
      </c>
      <c r="D38" s="182"/>
      <c r="E38" s="122"/>
      <c r="F38" s="172"/>
      <c r="G38" s="100"/>
      <c r="H38" s="100"/>
    </row>
    <row r="39" spans="1:8" ht="15.75" x14ac:dyDescent="0.25">
      <c r="A39" s="424" t="s">
        <v>284</v>
      </c>
      <c r="B39" s="180"/>
      <c r="C39" s="342">
        <v>1925.0000000000002</v>
      </c>
      <c r="D39" s="182"/>
      <c r="E39" s="172"/>
      <c r="F39" s="100"/>
      <c r="G39" s="100"/>
      <c r="H39" s="100"/>
    </row>
    <row r="40" spans="1:8" ht="31.5" x14ac:dyDescent="0.25">
      <c r="A40" s="424" t="s">
        <v>277</v>
      </c>
      <c r="B40" s="180"/>
      <c r="C40" s="342">
        <v>4335.32</v>
      </c>
      <c r="D40" s="182"/>
      <c r="E40" s="172"/>
      <c r="F40" s="100"/>
      <c r="G40" s="100"/>
      <c r="H40" s="100"/>
    </row>
    <row r="41" spans="1:8" ht="31.5" x14ac:dyDescent="0.25">
      <c r="A41" s="424" t="s">
        <v>287</v>
      </c>
      <c r="B41" s="180"/>
      <c r="C41" s="342">
        <v>1430.0000000000002</v>
      </c>
      <c r="D41" s="182"/>
      <c r="E41" s="172"/>
      <c r="F41" s="100"/>
      <c r="G41" s="100"/>
      <c r="H41" s="100"/>
    </row>
    <row r="42" spans="1:8" ht="15.75" x14ac:dyDescent="0.25">
      <c r="A42" s="424" t="s">
        <v>267</v>
      </c>
      <c r="B42" s="180"/>
      <c r="C42" s="342">
        <v>4070.0000000000005</v>
      </c>
      <c r="D42" s="182"/>
      <c r="E42" s="172"/>
      <c r="F42" s="100"/>
      <c r="G42" s="100"/>
      <c r="H42" s="100"/>
    </row>
    <row r="43" spans="1:8" ht="16.5" thickBot="1" x14ac:dyDescent="0.3">
      <c r="A43" s="425" t="s">
        <v>5</v>
      </c>
      <c r="B43" s="426">
        <f>B37</f>
        <v>0</v>
      </c>
      <c r="C43" s="427">
        <v>32079.52</v>
      </c>
      <c r="D43" s="116"/>
      <c r="E43" s="116"/>
      <c r="F43" s="11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92"/>
      <c r="B45" s="93"/>
      <c r="C45" s="94"/>
      <c r="D45" s="184"/>
      <c r="E45" s="185"/>
      <c r="F45" s="186"/>
      <c r="G45" s="169"/>
      <c r="H45" s="100"/>
    </row>
    <row r="46" spans="1:8" ht="15.75" x14ac:dyDescent="0.25">
      <c r="A46" s="344" t="s">
        <v>118</v>
      </c>
      <c r="B46" s="93">
        <f>E19-G19</f>
        <v>-2231.7826793321183</v>
      </c>
      <c r="C46" s="94" t="s">
        <v>24</v>
      </c>
      <c r="D46" s="184"/>
      <c r="E46" s="185"/>
      <c r="F46" s="186"/>
      <c r="G46" s="169"/>
      <c r="H46" s="100"/>
    </row>
    <row r="47" spans="1:8" ht="15.75" x14ac:dyDescent="0.25">
      <c r="A47" s="92"/>
      <c r="B47" s="93"/>
      <c r="C47" s="94"/>
      <c r="D47" s="184"/>
      <c r="E47" s="185"/>
      <c r="F47" s="186"/>
      <c r="G47" s="169"/>
      <c r="H47" s="100"/>
    </row>
    <row r="48" spans="1:8" ht="15.75" x14ac:dyDescent="0.25">
      <c r="A48" s="197" t="s">
        <v>69</v>
      </c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8"/>
      <c r="B49" s="40"/>
      <c r="C49" s="41"/>
      <c r="D49" s="184"/>
      <c r="E49" s="185"/>
      <c r="F49" s="186"/>
      <c r="G49" s="169"/>
      <c r="H49" s="100"/>
    </row>
    <row r="50" spans="1:8" ht="15.75" x14ac:dyDescent="0.25">
      <c r="A50" s="197" t="s">
        <v>53</v>
      </c>
      <c r="B50" s="40" t="s">
        <v>54</v>
      </c>
      <c r="C50" s="199"/>
      <c r="D50" s="184"/>
      <c r="E50" s="185"/>
      <c r="F50" s="186"/>
      <c r="G50" s="169"/>
      <c r="H50" s="100"/>
    </row>
    <row r="51" spans="1:8" x14ac:dyDescent="0.25">
      <c r="A51" s="31"/>
      <c r="B51" s="28"/>
      <c r="C51" s="36"/>
      <c r="D51" s="19"/>
      <c r="E51" s="17"/>
      <c r="F51" s="18"/>
      <c r="G51" s="15"/>
    </row>
    <row r="52" spans="1:8" x14ac:dyDescent="0.25">
      <c r="A52" s="37"/>
      <c r="B52" s="38"/>
      <c r="C52" s="36"/>
      <c r="D52" s="19"/>
      <c r="E52" s="17"/>
      <c r="F52" s="18"/>
      <c r="G52" s="15"/>
    </row>
    <row r="53" spans="1:8" ht="15.75" x14ac:dyDescent="0.25">
      <c r="A53" s="39" t="s">
        <v>27</v>
      </c>
      <c r="B53" s="40" t="s">
        <v>54</v>
      </c>
      <c r="C53" s="41"/>
      <c r="D53" s="42" t="s">
        <v>28</v>
      </c>
      <c r="E53" s="10"/>
    </row>
    <row r="54" spans="1:8" x14ac:dyDescent="0.25">
      <c r="A54" s="6"/>
      <c r="B54" s="7"/>
      <c r="C54" s="10"/>
      <c r="D54" s="35"/>
      <c r="E54" s="8"/>
    </row>
    <row r="55" spans="1:8" x14ac:dyDescent="0.25">
      <c r="A55" s="6"/>
      <c r="B55" s="7"/>
      <c r="C55" s="10"/>
      <c r="D55" s="34"/>
      <c r="E55" s="8"/>
    </row>
    <row r="56" spans="1:8" x14ac:dyDescent="0.25">
      <c r="A56" s="13"/>
      <c r="B56" s="14"/>
      <c r="C56" s="10"/>
      <c r="D56" s="29"/>
      <c r="E56" s="10"/>
    </row>
    <row r="57" spans="1:8" x14ac:dyDescent="0.25">
      <c r="C57" s="10"/>
      <c r="E57" s="10"/>
    </row>
    <row r="58" spans="1:8" x14ac:dyDescent="0.25">
      <c r="A58" s="6"/>
      <c r="B58" s="7"/>
      <c r="C58" s="8"/>
      <c r="D58" s="11"/>
      <c r="E58" s="10"/>
    </row>
    <row r="59" spans="1:8" x14ac:dyDescent="0.25">
      <c r="A59" s="4"/>
      <c r="B59" s="5"/>
      <c r="C59" s="10"/>
      <c r="D59" s="11"/>
      <c r="E59" s="10"/>
      <c r="F59" s="12"/>
    </row>
    <row r="60" spans="1:8" x14ac:dyDescent="0.25">
      <c r="A60" s="6"/>
      <c r="B60" s="7"/>
      <c r="C60" s="10"/>
      <c r="D60" s="11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9"/>
      <c r="E62" s="10"/>
    </row>
    <row r="63" spans="1:8" x14ac:dyDescent="0.25">
      <c r="A63" s="6"/>
      <c r="B63" s="7"/>
      <c r="C63" s="7"/>
      <c r="D63" s="8"/>
      <c r="E63" s="8"/>
      <c r="F63" s="3"/>
    </row>
    <row r="64" spans="1:8" x14ac:dyDescent="0.25">
      <c r="A64" s="6"/>
      <c r="B64" s="7"/>
      <c r="D64" s="8"/>
      <c r="E64" s="10"/>
    </row>
    <row r="65" spans="2:6" x14ac:dyDescent="0.25">
      <c r="D65" s="8"/>
      <c r="E65" s="8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10"/>
      <c r="E71" s="10"/>
    </row>
    <row r="72" spans="2:6" x14ac:dyDescent="0.25">
      <c r="B72"/>
      <c r="C72"/>
      <c r="D72" s="8"/>
      <c r="E72" s="8"/>
      <c r="F72" s="3"/>
    </row>
    <row r="73" spans="2:6" x14ac:dyDescent="0.25">
      <c r="B73"/>
      <c r="C73"/>
      <c r="D73" s="10"/>
      <c r="E73" s="10"/>
      <c r="F73" s="3"/>
    </row>
    <row r="74" spans="2:6" x14ac:dyDescent="0.25">
      <c r="D74" s="10"/>
      <c r="E74" s="10"/>
    </row>
    <row r="75" spans="2:6" x14ac:dyDescent="0.25"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  <c r="D77" s="7"/>
      <c r="E77" s="7"/>
    </row>
    <row r="78" spans="2:6" x14ac:dyDescent="0.25">
      <c r="B78"/>
      <c r="C78"/>
    </row>
    <row r="79" spans="2:6" x14ac:dyDescent="0.25">
      <c r="B79"/>
      <c r="C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workbookViewId="0">
      <selection activeCell="F39" sqref="F39"/>
    </sheetView>
  </sheetViews>
  <sheetFormatPr defaultRowHeight="15" x14ac:dyDescent="0.25"/>
  <cols>
    <col min="1" max="1" width="43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9.85546875" customWidth="1"/>
    <col min="7" max="7" width="17.42578125" customWidth="1"/>
    <col min="8" max="8" width="16.5703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197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198</v>
      </c>
      <c r="B6" s="108"/>
      <c r="C6" s="108">
        <v>797.7</v>
      </c>
      <c r="D6" s="109">
        <v>26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797.7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3" customHeight="1" x14ac:dyDescent="0.25">
      <c r="A11" s="966" t="s">
        <v>7</v>
      </c>
      <c r="B11" s="967"/>
      <c r="C11" s="967"/>
      <c r="D11" s="123">
        <v>11.04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615">
        <v>98879.71</v>
      </c>
      <c r="D18" s="616">
        <v>-1691.31</v>
      </c>
      <c r="E18" s="617">
        <v>75802.490000000005</v>
      </c>
      <c r="F18" s="321">
        <v>21385.910000000003</v>
      </c>
      <c r="G18" s="141">
        <v>97188.400000000009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618">
        <v>26869.5</v>
      </c>
      <c r="D19" s="619">
        <v>-545.4</v>
      </c>
      <c r="E19" s="617">
        <v>21001.38</v>
      </c>
      <c r="F19" s="143">
        <v>5322.7199999999975</v>
      </c>
      <c r="G19" s="323">
        <v>27540.58</v>
      </c>
      <c r="H19" s="189">
        <v>-1216.4800000000032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2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366533.02</v>
      </c>
      <c r="D22" s="153">
        <v>-7104.18</v>
      </c>
      <c r="E22" s="153">
        <v>280551.69</v>
      </c>
      <c r="F22" s="153">
        <v>78877.150000000023</v>
      </c>
      <c r="G22" s="153">
        <v>301937.60000000003</v>
      </c>
      <c r="H22" s="191">
        <v>57491.240000000005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615">
        <v>243453.42</v>
      </c>
      <c r="D23" s="366">
        <v>-1909.3</v>
      </c>
      <c r="E23" s="617">
        <v>184465.5</v>
      </c>
      <c r="F23" s="156">
        <v>57078.620000000024</v>
      </c>
      <c r="G23" s="326">
        <v>197008.97</v>
      </c>
      <c r="H23" s="189">
        <v>44535.150000000023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75877.739999999991</v>
      </c>
      <c r="D24" s="158">
        <v>-3292.29</v>
      </c>
      <c r="E24" s="158">
        <v>59958.06</v>
      </c>
      <c r="F24" s="158">
        <v>12627.39</v>
      </c>
      <c r="G24" s="145">
        <v>86219.37000000001</v>
      </c>
      <c r="H24" s="189">
        <v>-13633.920000000013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618">
        <v>17504.580000000002</v>
      </c>
      <c r="D25" s="619">
        <v>-716.64</v>
      </c>
      <c r="E25" s="618">
        <v>13760.16</v>
      </c>
      <c r="F25" s="158">
        <v>3027.7800000000025</v>
      </c>
      <c r="G25" s="145">
        <v>15666.44</v>
      </c>
      <c r="H25" s="189">
        <v>1121.5000000000018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618">
        <v>29697.279999999999</v>
      </c>
      <c r="D26" s="618">
        <v>-1185.95</v>
      </c>
      <c r="E26" s="618">
        <v>22367.97</v>
      </c>
      <c r="F26" s="158">
        <v>6143.3599999999969</v>
      </c>
      <c r="G26" s="145">
        <v>3042.82</v>
      </c>
      <c r="H26" s="189">
        <v>25468.51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492282.23000000004</v>
      </c>
      <c r="D30" s="166">
        <v>-9340.89</v>
      </c>
      <c r="E30" s="166">
        <v>377355.56</v>
      </c>
      <c r="F30" s="166">
        <v>105585.78000000003</v>
      </c>
      <c r="G30" s="166">
        <v>426666.58000000007</v>
      </c>
      <c r="H30" s="193">
        <v>56274.76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31.5" x14ac:dyDescent="0.25">
      <c r="A37" s="423" t="s">
        <v>199</v>
      </c>
      <c r="B37" s="359"/>
      <c r="C37" s="181">
        <v>7960.58</v>
      </c>
      <c r="D37" s="360"/>
      <c r="E37" s="122"/>
      <c r="F37" s="172"/>
      <c r="G37" s="100"/>
      <c r="H37" s="100"/>
    </row>
    <row r="38" spans="1:8" ht="15.75" x14ac:dyDescent="0.25">
      <c r="A38" s="179" t="s">
        <v>270</v>
      </c>
      <c r="B38" s="180"/>
      <c r="C38" s="342">
        <f>17800*1.1</f>
        <v>19580</v>
      </c>
      <c r="D38" s="182"/>
      <c r="E38" s="12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27540.58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-6539.2000000000007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topLeftCell="A4" zoomScale="60" workbookViewId="0">
      <selection activeCell="A43" sqref="A43"/>
    </sheetView>
  </sheetViews>
  <sheetFormatPr defaultRowHeight="15" x14ac:dyDescent="0.25"/>
  <cols>
    <col min="1" max="1" width="44.7109375" customWidth="1"/>
    <col min="2" max="2" width="16.5703125" style="3" customWidth="1"/>
    <col min="3" max="3" width="19.5703125" style="3" customWidth="1"/>
    <col min="4" max="4" width="20.28515625" style="3" customWidth="1"/>
    <col min="5" max="5" width="17.28515625" style="3" customWidth="1"/>
    <col min="6" max="6" width="19.5703125" customWidth="1"/>
    <col min="7" max="7" width="17.7109375" customWidth="1"/>
    <col min="8" max="8" width="18.140625" customWidth="1"/>
    <col min="10" max="10" width="15.140625" customWidth="1"/>
    <col min="11" max="11" width="23.425781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92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9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5.75" x14ac:dyDescent="0.25">
      <c r="A6" s="110" t="s">
        <v>49</v>
      </c>
      <c r="B6" s="345"/>
      <c r="C6" s="345">
        <v>5104.5</v>
      </c>
      <c r="D6" s="346">
        <v>119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5104.5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42" customHeight="1" x14ac:dyDescent="0.25">
      <c r="A11" s="966" t="s">
        <v>7</v>
      </c>
      <c r="B11" s="967"/>
      <c r="C11" s="967"/>
      <c r="D11" s="123">
        <v>16.850000000000001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0.47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0.18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51"/>
      <c r="L17" s="54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487">
        <v>500960.60000000009</v>
      </c>
      <c r="C18" s="349">
        <v>1065879.3600000001</v>
      </c>
      <c r="D18" s="838">
        <v>-140832.85</v>
      </c>
      <c r="E18" s="834">
        <v>830581.7878316727</v>
      </c>
      <c r="F18" s="321">
        <v>595425.3221683274</v>
      </c>
      <c r="G18" s="141">
        <v>925046.51000000013</v>
      </c>
      <c r="H18" s="141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9844.52</v>
      </c>
      <c r="C19" s="349">
        <v>29752.33</v>
      </c>
      <c r="D19" s="835">
        <v>-962.17</v>
      </c>
      <c r="E19" s="834">
        <v>28311.904754023861</v>
      </c>
      <c r="F19" s="143">
        <v>10322.775245976147</v>
      </c>
      <c r="G19" s="323">
        <v>47008.22</v>
      </c>
      <c r="H19" s="141">
        <v>-18218.059999999998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6.5" thickBot="1" x14ac:dyDescent="0.3">
      <c r="A20" s="144" t="s">
        <v>15</v>
      </c>
      <c r="B20" s="149">
        <v>11073.050000000003</v>
      </c>
      <c r="C20" s="348">
        <v>11394.22</v>
      </c>
      <c r="D20" s="836">
        <v>-368.5</v>
      </c>
      <c r="E20" s="838">
        <v>14029.651868908881</v>
      </c>
      <c r="F20" s="149">
        <v>8069.1181310911234</v>
      </c>
      <c r="G20" s="794">
        <v>11025.72</v>
      </c>
      <c r="H20" s="378">
        <v>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51" t="s">
        <v>16</v>
      </c>
      <c r="B21" s="152">
        <v>545749.79000000015</v>
      </c>
      <c r="C21" s="153">
        <v>1548147.89</v>
      </c>
      <c r="D21" s="153">
        <v>-164638.03999999998</v>
      </c>
      <c r="E21" s="153">
        <v>1183995.8658220519</v>
      </c>
      <c r="F21" s="153">
        <v>745263.77417794825</v>
      </c>
      <c r="G21" s="153">
        <v>1335145.7300000002</v>
      </c>
      <c r="H21" s="191">
        <v>48364.119999999646</v>
      </c>
      <c r="M21" s="20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x14ac:dyDescent="0.25">
      <c r="A22" s="154" t="s">
        <v>17</v>
      </c>
      <c r="B22" s="155">
        <v>320347.38000000012</v>
      </c>
      <c r="C22" s="487">
        <v>966250.2</v>
      </c>
      <c r="D22" s="885">
        <v>-43868.21</v>
      </c>
      <c r="E22" s="886">
        <v>761544.08285807888</v>
      </c>
      <c r="F22" s="155">
        <v>481185.28714192123</v>
      </c>
      <c r="G22" s="887">
        <v>746470.27</v>
      </c>
      <c r="H22" s="141">
        <v>175911.71999999997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7" t="s">
        <v>18</v>
      </c>
      <c r="B23" s="158">
        <v>156706.20000000001</v>
      </c>
      <c r="C23" s="158">
        <v>339731.96</v>
      </c>
      <c r="D23" s="158">
        <v>-77419.989999999991</v>
      </c>
      <c r="E23" s="158">
        <v>239750.36982147765</v>
      </c>
      <c r="F23" s="158">
        <v>179267.80017852239</v>
      </c>
      <c r="G23" s="145">
        <v>328283.05</v>
      </c>
      <c r="H23" s="141">
        <v>-65971.079999999958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19</v>
      </c>
      <c r="B24" s="158">
        <v>25951.700000000004</v>
      </c>
      <c r="C24" s="842">
        <v>78240.05</v>
      </c>
      <c r="D24" s="888">
        <v>-16824.82</v>
      </c>
      <c r="E24" s="834">
        <v>59703.981876611499</v>
      </c>
      <c r="F24" s="158">
        <v>27662.948123388494</v>
      </c>
      <c r="G24" s="843">
        <v>100980.59</v>
      </c>
      <c r="H24" s="141">
        <v>-39565.359999999993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20</v>
      </c>
      <c r="B25" s="158">
        <v>42744.510000000038</v>
      </c>
      <c r="C25" s="842">
        <v>163925.68</v>
      </c>
      <c r="D25" s="888">
        <v>-26525.02</v>
      </c>
      <c r="E25" s="834">
        <v>122997.43126588385</v>
      </c>
      <c r="F25" s="158">
        <v>57147.738734116196</v>
      </c>
      <c r="G25" s="843">
        <v>159411.82</v>
      </c>
      <c r="H25" s="141">
        <v>-22011.160000000003</v>
      </c>
      <c r="K25" s="52"/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42" t="s">
        <v>31</v>
      </c>
      <c r="B26" s="337">
        <v>54327.630000000034</v>
      </c>
      <c r="C26" s="842">
        <v>207830.46</v>
      </c>
      <c r="D26" s="888">
        <v>-43746.68</v>
      </c>
      <c r="E26" s="834">
        <v>148669.63031945954</v>
      </c>
      <c r="F26" s="158">
        <v>69741.779680540494</v>
      </c>
      <c r="G26" s="843">
        <v>235554.81</v>
      </c>
      <c r="H26" s="141">
        <v>-71471.03</v>
      </c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21</v>
      </c>
      <c r="B27" s="143"/>
      <c r="C27" s="844">
        <v>27195.18</v>
      </c>
      <c r="D27" s="888">
        <v>-4384.38</v>
      </c>
      <c r="E27" s="844">
        <v>12973.449403883145</v>
      </c>
      <c r="F27" s="158">
        <v>9837.3505961168539</v>
      </c>
      <c r="G27" s="337">
        <v>10378.759523106517</v>
      </c>
      <c r="H27" s="141">
        <v>12432.040476893482</v>
      </c>
      <c r="K27" s="8"/>
      <c r="L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6.5" hidden="1" thickBot="1" x14ac:dyDescent="0.3">
      <c r="A28" s="113" t="s">
        <v>22</v>
      </c>
      <c r="B28" s="161">
        <v>0</v>
      </c>
      <c r="C28" s="161"/>
      <c r="D28" s="161"/>
      <c r="E28" s="161"/>
      <c r="F28" s="162">
        <v>0</v>
      </c>
      <c r="G28" s="163"/>
      <c r="H28" s="164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165" t="s">
        <v>23</v>
      </c>
      <c r="B29" s="166">
        <v>1121955.5900000003</v>
      </c>
      <c r="C29" s="166">
        <v>2890199.44</v>
      </c>
      <c r="D29" s="166">
        <v>-354932.62</v>
      </c>
      <c r="E29" s="166">
        <v>2218562.2899999996</v>
      </c>
      <c r="F29" s="166">
        <v>1438660.1200000003</v>
      </c>
      <c r="G29" s="166">
        <v>2564159.749523107</v>
      </c>
      <c r="H29" s="166">
        <v>-28892.929523106868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x14ac:dyDescent="0.25">
      <c r="A30" s="167"/>
      <c r="B30" s="168"/>
      <c r="C30" s="122"/>
      <c r="D30" s="122"/>
      <c r="E30" s="122"/>
      <c r="F30" s="99"/>
      <c r="G30" s="169"/>
      <c r="H30" s="169"/>
      <c r="I30" s="15"/>
      <c r="J30" s="15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70"/>
      <c r="E31" s="122"/>
      <c r="F31" s="128"/>
      <c r="G31" s="171"/>
      <c r="H31" s="171"/>
      <c r="I31" s="27"/>
      <c r="J31" s="15"/>
    </row>
    <row r="32" spans="1:22" ht="15.75" x14ac:dyDescent="0.25">
      <c r="A32" s="167"/>
      <c r="B32" s="98"/>
      <c r="C32" s="122"/>
      <c r="D32" s="122"/>
      <c r="E32" s="122"/>
      <c r="F32" s="172"/>
      <c r="G32" s="100"/>
      <c r="H32" s="100"/>
    </row>
    <row r="33" spans="1:8" ht="16.5" thickBot="1" x14ac:dyDescent="0.3">
      <c r="A33" s="167" t="s">
        <v>272</v>
      </c>
      <c r="B33" s="172"/>
      <c r="C33" s="172"/>
      <c r="D33" s="122"/>
      <c r="E33" s="122"/>
      <c r="F33" s="172"/>
      <c r="G33" s="100"/>
      <c r="H33" s="100"/>
    </row>
    <row r="34" spans="1:8" ht="79.5" thickBot="1" x14ac:dyDescent="0.3">
      <c r="A34" s="845" t="s">
        <v>33</v>
      </c>
      <c r="B34" s="846" t="s">
        <v>25</v>
      </c>
      <c r="C34" s="847" t="s">
        <v>29</v>
      </c>
      <c r="D34" s="122"/>
      <c r="E34" s="122"/>
      <c r="F34" s="172"/>
      <c r="G34" s="100"/>
      <c r="H34" s="100"/>
    </row>
    <row r="35" spans="1:8" ht="15.75" x14ac:dyDescent="0.25">
      <c r="A35" s="848" t="s">
        <v>26</v>
      </c>
      <c r="B35" s="849" t="s">
        <v>24</v>
      </c>
      <c r="C35" s="850" t="s">
        <v>24</v>
      </c>
      <c r="D35" s="122"/>
      <c r="E35" s="122"/>
      <c r="F35" s="172"/>
      <c r="G35" s="100"/>
      <c r="H35" s="100"/>
    </row>
    <row r="36" spans="1:8" ht="15.75" x14ac:dyDescent="0.25">
      <c r="A36" s="472" t="s">
        <v>93</v>
      </c>
      <c r="B36" s="860"/>
      <c r="C36" s="884">
        <v>3140.18</v>
      </c>
      <c r="D36" s="168"/>
      <c r="E36" s="122"/>
      <c r="F36" s="172"/>
      <c r="G36" s="100"/>
      <c r="H36" s="100"/>
    </row>
    <row r="37" spans="1:8" ht="15.75" x14ac:dyDescent="0.25">
      <c r="A37" s="179" t="s">
        <v>94</v>
      </c>
      <c r="B37" s="341"/>
      <c r="C37" s="342">
        <v>43868.04</v>
      </c>
      <c r="D37" s="172"/>
      <c r="E37" s="172"/>
      <c r="F37" s="100"/>
      <c r="G37" s="100"/>
      <c r="H37" s="100"/>
    </row>
    <row r="38" spans="1:8" ht="15.75" hidden="1" x14ac:dyDescent="0.25">
      <c r="A38" s="179"/>
      <c r="B38" s="341"/>
      <c r="C38" s="342"/>
      <c r="D38" s="182"/>
      <c r="E38" s="881"/>
      <c r="F38" s="524"/>
      <c r="G38" s="169"/>
      <c r="H38" s="100"/>
    </row>
    <row r="39" spans="1:8" ht="16.5" thickBot="1" x14ac:dyDescent="0.3">
      <c r="A39" s="113" t="s">
        <v>5</v>
      </c>
      <c r="B39" s="114">
        <f>B36</f>
        <v>0</v>
      </c>
      <c r="C39" s="852">
        <f>SUM(C36:C38)</f>
        <v>47008.22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hidden="1" x14ac:dyDescent="0.25">
      <c r="A41" s="92" t="s">
        <v>118</v>
      </c>
      <c r="B41" s="93">
        <f>17511.26+H19</f>
        <v>-706.79999999999927</v>
      </c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33.75" customHeight="1" x14ac:dyDescent="0.25">
      <c r="A43" s="344" t="s">
        <v>289</v>
      </c>
      <c r="B43" s="93">
        <f>16174.86+17511.26+E19-G19</f>
        <v>14989.804754023855</v>
      </c>
      <c r="C43" s="94"/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A54" s="6"/>
      <c r="B54" s="7"/>
      <c r="C54" s="10"/>
      <c r="E54" s="10"/>
    </row>
    <row r="55" spans="1:7" x14ac:dyDescent="0.25"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ht="36" customHeight="1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J35" sqref="J35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20" customWidth="1"/>
    <col min="7" max="7" width="17.1406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200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201</v>
      </c>
      <c r="B6" s="108"/>
      <c r="C6" s="108">
        <v>833.1</v>
      </c>
      <c r="D6" s="109">
        <v>29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833.1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4.5" customHeight="1" x14ac:dyDescent="0.25">
      <c r="A11" s="966" t="s">
        <v>7</v>
      </c>
      <c r="B11" s="967"/>
      <c r="C11" s="967"/>
      <c r="D11" s="123">
        <v>11.04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610">
        <v>91974.2</v>
      </c>
      <c r="D18" s="320"/>
      <c r="E18" s="610">
        <v>66859.37</v>
      </c>
      <c r="F18" s="321">
        <v>25114.83</v>
      </c>
      <c r="G18" s="141">
        <v>91974.2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610">
        <v>24993</v>
      </c>
      <c r="D19" s="320"/>
      <c r="E19" s="610">
        <v>18685.32</v>
      </c>
      <c r="F19" s="143">
        <v>6307.68</v>
      </c>
      <c r="G19" s="323">
        <v>0</v>
      </c>
      <c r="H19" s="189">
        <v>24993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1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332811.39999999997</v>
      </c>
      <c r="D22" s="153">
        <v>-5159.2700000000004</v>
      </c>
      <c r="E22" s="153">
        <v>239808.53999999998</v>
      </c>
      <c r="F22" s="153">
        <v>87843.590000000011</v>
      </c>
      <c r="G22" s="153">
        <v>326743.88</v>
      </c>
      <c r="H22" s="191">
        <v>908.24999999999272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611">
        <v>227485.21</v>
      </c>
      <c r="D23" s="366"/>
      <c r="E23" s="612">
        <v>163950.25</v>
      </c>
      <c r="F23" s="156">
        <v>63534.959999999992</v>
      </c>
      <c r="G23" s="326">
        <v>198149.03</v>
      </c>
      <c r="H23" s="189">
        <v>29336.179999999993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66026.080000000002</v>
      </c>
      <c r="D24" s="158">
        <v>-3259.84</v>
      </c>
      <c r="E24" s="158">
        <v>47887.01</v>
      </c>
      <c r="F24" s="158">
        <v>14879.230000000003</v>
      </c>
      <c r="G24" s="145">
        <v>109217.76000000001</v>
      </c>
      <c r="H24" s="189">
        <v>-46451.520000000004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613">
        <v>14320.18</v>
      </c>
      <c r="D25" s="614">
        <v>-701</v>
      </c>
      <c r="E25" s="613">
        <v>10703.61</v>
      </c>
      <c r="F25" s="158">
        <v>2915.5699999999997</v>
      </c>
      <c r="G25" s="145">
        <v>16232.85</v>
      </c>
      <c r="H25" s="189">
        <v>-2613.67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613">
        <v>24979.93</v>
      </c>
      <c r="D26" s="613">
        <v>-1198.43</v>
      </c>
      <c r="E26" s="613">
        <v>17267.669999999998</v>
      </c>
      <c r="F26" s="158">
        <v>6513.8300000000017</v>
      </c>
      <c r="G26" s="145">
        <v>3144.24</v>
      </c>
      <c r="H26" s="189">
        <v>20637.260000000002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449778.6</v>
      </c>
      <c r="D30" s="166">
        <v>-5159.2700000000004</v>
      </c>
      <c r="E30" s="166">
        <v>325353.23</v>
      </c>
      <c r="F30" s="166">
        <v>119266.1</v>
      </c>
      <c r="G30" s="166">
        <v>418718.08</v>
      </c>
      <c r="H30" s="193">
        <v>25901.249999999993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/>
      <c r="B37" s="180"/>
      <c r="C37" s="342"/>
      <c r="D37" s="357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0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18685.32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E43" sqref="E43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7.7109375" customWidth="1"/>
    <col min="7" max="7" width="16.42578125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203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204</v>
      </c>
      <c r="B6" s="108"/>
      <c r="C6" s="108">
        <v>845.9</v>
      </c>
      <c r="D6" s="109">
        <v>22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845.9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11.04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99">
        <v>104653.67</v>
      </c>
      <c r="D18" s="600">
        <v>-1927.53</v>
      </c>
      <c r="E18" s="600">
        <v>78982.02</v>
      </c>
      <c r="F18" s="321">
        <v>23744.119999999995</v>
      </c>
      <c r="G18" s="378">
        <v>102726.14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601">
        <v>28438.5</v>
      </c>
      <c r="D19" s="335"/>
      <c r="E19" s="601">
        <v>21821.38</v>
      </c>
      <c r="F19" s="143">
        <v>6617.119999999999</v>
      </c>
      <c r="G19" s="323">
        <v>27640.51</v>
      </c>
      <c r="H19" s="189">
        <v>797.9900000000016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355430.19999999995</v>
      </c>
      <c r="D22" s="153">
        <v>-10631.15</v>
      </c>
      <c r="E22" s="153">
        <v>266107.34999999998</v>
      </c>
      <c r="F22" s="153">
        <v>78691.699999999983</v>
      </c>
      <c r="G22" s="153">
        <v>297141.49</v>
      </c>
      <c r="H22" s="191">
        <v>47657.560000000005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99">
        <v>256884.34</v>
      </c>
      <c r="D23" s="600">
        <v>-4525.29</v>
      </c>
      <c r="E23" s="602">
        <v>192683.17</v>
      </c>
      <c r="F23" s="156">
        <v>59675.879999999976</v>
      </c>
      <c r="G23" s="326">
        <v>195952.61</v>
      </c>
      <c r="H23" s="189">
        <v>56406.44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61361.710000000006</v>
      </c>
      <c r="D24" s="158">
        <v>-3743.45</v>
      </c>
      <c r="E24" s="158">
        <v>45937.81</v>
      </c>
      <c r="F24" s="158">
        <v>11680.450000000012</v>
      </c>
      <c r="G24" s="145">
        <v>101188.88</v>
      </c>
      <c r="H24" s="189">
        <v>-43570.619999999995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601">
        <v>13888.68</v>
      </c>
      <c r="D25" s="603">
        <v>-870.44</v>
      </c>
      <c r="E25" s="601">
        <v>10460.34</v>
      </c>
      <c r="F25" s="158">
        <v>2557.8999999999996</v>
      </c>
      <c r="G25" s="145"/>
      <c r="H25" s="189">
        <v>13018.24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601">
        <v>23295.47</v>
      </c>
      <c r="D26" s="601">
        <v>-1491.97</v>
      </c>
      <c r="E26" s="601">
        <v>17026.03</v>
      </c>
      <c r="F26" s="158">
        <v>4777.4700000000012</v>
      </c>
      <c r="G26" s="145"/>
      <c r="H26" s="189">
        <v>21803.5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488522.36999999994</v>
      </c>
      <c r="D30" s="166">
        <v>-12558.68</v>
      </c>
      <c r="E30" s="166">
        <v>366910.75</v>
      </c>
      <c r="F30" s="166">
        <v>109052.93999999997</v>
      </c>
      <c r="G30" s="166">
        <v>427508.14</v>
      </c>
      <c r="H30" s="193">
        <v>48455.55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80</v>
      </c>
      <c r="B37" s="359"/>
      <c r="C37" s="181">
        <v>27640.51</v>
      </c>
      <c r="D37" s="357"/>
      <c r="E37" s="122"/>
      <c r="F37" s="172"/>
      <c r="G37" s="100"/>
      <c r="H37" s="100"/>
    </row>
    <row r="38" spans="1:8" ht="16.5" thickBot="1" x14ac:dyDescent="0.3">
      <c r="A38" s="604"/>
      <c r="B38" s="605"/>
      <c r="C38" s="606"/>
      <c r="D38" s="182"/>
      <c r="E38" s="172"/>
      <c r="F38" s="100"/>
      <c r="G38" s="100"/>
      <c r="H38" s="100"/>
    </row>
    <row r="39" spans="1:8" ht="16.5" thickBot="1" x14ac:dyDescent="0.3">
      <c r="A39" s="607" t="s">
        <v>5</v>
      </c>
      <c r="B39" s="608">
        <f>B37</f>
        <v>0</v>
      </c>
      <c r="C39" s="609">
        <f>SUM(C37:C38)</f>
        <v>27640.51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-5819.1299999999974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4.71093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9.5703125" customWidth="1"/>
    <col min="7" max="7" width="16.42578125" customWidth="1"/>
    <col min="8" max="8" width="16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202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205</v>
      </c>
      <c r="B6" s="108"/>
      <c r="C6" s="108">
        <v>463.3</v>
      </c>
      <c r="D6" s="109">
        <v>17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463.3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11.04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94">
        <v>44124.639999999999</v>
      </c>
      <c r="D18" s="595">
        <v>3542.75</v>
      </c>
      <c r="E18" s="595">
        <v>30590.880000000001</v>
      </c>
      <c r="F18" s="321">
        <v>17076.509999999998</v>
      </c>
      <c r="G18" s="141">
        <v>47667.39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96">
        <v>11990.4</v>
      </c>
      <c r="D19" s="597">
        <v>962.7</v>
      </c>
      <c r="E19" s="596">
        <v>8964.7900000000009</v>
      </c>
      <c r="F19" s="143">
        <v>3988.3099999999995</v>
      </c>
      <c r="G19" s="323">
        <v>0</v>
      </c>
      <c r="H19" s="189">
        <v>12953.1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183510.00999999998</v>
      </c>
      <c r="D22" s="153">
        <v>6976.0300000000007</v>
      </c>
      <c r="E22" s="153">
        <v>126634.65000000001</v>
      </c>
      <c r="F22" s="153">
        <v>63851.389999999992</v>
      </c>
      <c r="G22" s="153">
        <v>147889.85999999999</v>
      </c>
      <c r="H22" s="191">
        <v>42596.179999999993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94">
        <v>110426.01</v>
      </c>
      <c r="D23" s="595">
        <v>9242.2800000000007</v>
      </c>
      <c r="E23" s="598">
        <v>75318.02</v>
      </c>
      <c r="F23" s="156">
        <v>44350.26999999999</v>
      </c>
      <c r="G23" s="326">
        <v>117897.9</v>
      </c>
      <c r="H23" s="189">
        <v>1770.3899999999994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45406.47</v>
      </c>
      <c r="D24" s="158">
        <v>-1042.22</v>
      </c>
      <c r="E24" s="158">
        <v>31481.370000000003</v>
      </c>
      <c r="F24" s="158">
        <v>12882.879999999997</v>
      </c>
      <c r="G24" s="145">
        <v>29991.960000000003</v>
      </c>
      <c r="H24" s="189">
        <v>14372.289999999997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96">
        <v>10322.98</v>
      </c>
      <c r="D25" s="597">
        <v>-202.14</v>
      </c>
      <c r="E25" s="596">
        <v>7671.79</v>
      </c>
      <c r="F25" s="158">
        <v>2449.0500000000002</v>
      </c>
      <c r="G25" s="145"/>
      <c r="H25" s="189">
        <v>10120.84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96">
        <v>17354.55</v>
      </c>
      <c r="D26" s="596">
        <v>-1021.89</v>
      </c>
      <c r="E26" s="596">
        <v>12163.47</v>
      </c>
      <c r="F26" s="158">
        <v>4169.1900000000005</v>
      </c>
      <c r="G26" s="145"/>
      <c r="H26" s="189">
        <v>16332.66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239625.05</v>
      </c>
      <c r="D30" s="166">
        <v>11481.48</v>
      </c>
      <c r="E30" s="166">
        <v>166190.32</v>
      </c>
      <c r="F30" s="166">
        <v>84916.209999999992</v>
      </c>
      <c r="G30" s="166">
        <v>195557.25</v>
      </c>
      <c r="H30" s="193">
        <v>55549.279999999992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/>
      <c r="B37" s="180"/>
      <c r="C37" s="342"/>
      <c r="D37" s="357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8964.7900000000009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2.85546875" customWidth="1"/>
    <col min="2" max="2" width="16.5703125" style="3" customWidth="1"/>
    <col min="3" max="3" width="19.5703125" style="3" customWidth="1"/>
    <col min="4" max="4" width="17.42578125" style="3" customWidth="1"/>
    <col min="5" max="5" width="18.42578125" style="3" customWidth="1"/>
    <col min="6" max="6" width="20.28515625" customWidth="1"/>
    <col min="7" max="7" width="16.7109375" customWidth="1"/>
    <col min="8" max="8" width="18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206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207</v>
      </c>
      <c r="B6" s="108"/>
      <c r="C6" s="108">
        <v>632.20000000000005</v>
      </c>
      <c r="D6" s="109">
        <v>33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632.20000000000005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10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587">
        <v>57731</v>
      </c>
      <c r="D18" s="588">
        <v>-833</v>
      </c>
      <c r="E18" s="589">
        <v>46520.28</v>
      </c>
      <c r="F18" s="321">
        <v>10377.720000000001</v>
      </c>
      <c r="G18" s="141">
        <v>56898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590">
        <v>28865.5</v>
      </c>
      <c r="D19" s="591">
        <v>-416.5</v>
      </c>
      <c r="E19" s="590">
        <v>23539.64</v>
      </c>
      <c r="F19" s="143">
        <v>4909.3600000000006</v>
      </c>
      <c r="G19" s="323">
        <v>10632.42</v>
      </c>
      <c r="H19" s="189">
        <v>17816.580000000002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2"/>
      <c r="D20" s="592"/>
      <c r="E20" s="442"/>
      <c r="F20" s="140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270321.18</v>
      </c>
      <c r="D22" s="153">
        <v>-13112.19</v>
      </c>
      <c r="E22" s="153">
        <v>214291.94</v>
      </c>
      <c r="F22" s="153">
        <v>42917.05</v>
      </c>
      <c r="G22" s="153">
        <v>192653.03</v>
      </c>
      <c r="H22" s="191">
        <v>64555.960000000006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87">
        <v>159450.4</v>
      </c>
      <c r="D23" s="589">
        <v>-2288.0500000000002</v>
      </c>
      <c r="E23" s="593">
        <v>127522.48</v>
      </c>
      <c r="F23" s="156">
        <v>29639.87000000001</v>
      </c>
      <c r="G23" s="326">
        <v>123678.63</v>
      </c>
      <c r="H23" s="189">
        <v>33483.72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69082.09</v>
      </c>
      <c r="D24" s="158">
        <v>-6589.13</v>
      </c>
      <c r="E24" s="158">
        <v>53721.880000000005</v>
      </c>
      <c r="F24" s="158">
        <v>8771.0799999999945</v>
      </c>
      <c r="G24" s="145">
        <v>48150.299999999996</v>
      </c>
      <c r="H24" s="189">
        <v>14342.660000000003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90">
        <v>15521.31</v>
      </c>
      <c r="D25" s="590">
        <v>-1734.84</v>
      </c>
      <c r="E25" s="590">
        <v>12504.97</v>
      </c>
      <c r="F25" s="158">
        <v>1281.5</v>
      </c>
      <c r="G25" s="145">
        <v>17375.580000000002</v>
      </c>
      <c r="H25" s="189">
        <v>-3589.1100000000024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90">
        <v>26267.38</v>
      </c>
      <c r="D26" s="590">
        <v>-2500.17</v>
      </c>
      <c r="E26" s="590">
        <v>20542.61</v>
      </c>
      <c r="F26" s="158">
        <v>3224.5999999999985</v>
      </c>
      <c r="G26" s="145">
        <v>3448.52</v>
      </c>
      <c r="H26" s="189">
        <v>20318.689999999999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3"/>
      <c r="D28" s="373"/>
      <c r="E28" s="586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356917.68</v>
      </c>
      <c r="D30" s="166">
        <v>-14361.69</v>
      </c>
      <c r="E30" s="166">
        <v>284351.86</v>
      </c>
      <c r="F30" s="166">
        <v>58204.130000000005</v>
      </c>
      <c r="G30" s="166">
        <v>260183.45</v>
      </c>
      <c r="H30" s="193">
        <v>82372.540000000008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208</v>
      </c>
      <c r="B37" s="180"/>
      <c r="C37" s="342">
        <v>10632.42</v>
      </c>
      <c r="D37" s="357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10632.42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12907.22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V94"/>
  <sheetViews>
    <sheetView view="pageBreakPreview" zoomScale="60" zoomScaleNormal="75" workbookViewId="0">
      <selection activeCell="F10" sqref="F10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21" customWidth="1"/>
    <col min="7" max="7" width="16.7109375" customWidth="1"/>
    <col min="8" max="8" width="18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209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210</v>
      </c>
      <c r="B6" s="108"/>
      <c r="C6" s="108">
        <v>1329.2</v>
      </c>
      <c r="D6" s="109">
        <v>103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1329.2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133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136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39" t="s">
        <v>12</v>
      </c>
      <c r="B18" s="147"/>
      <c r="C18" s="577">
        <v>119628</v>
      </c>
      <c r="D18" s="578">
        <v>158.5</v>
      </c>
      <c r="E18" s="577">
        <v>76476.570000000007</v>
      </c>
      <c r="F18" s="188">
        <v>43309.929999999993</v>
      </c>
      <c r="G18" s="141">
        <v>119786.5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579"/>
      <c r="C19" s="580">
        <v>59814</v>
      </c>
      <c r="D19" s="581">
        <v>79.25</v>
      </c>
      <c r="E19" s="580">
        <v>39984.42</v>
      </c>
      <c r="F19" s="143">
        <v>19908.830000000002</v>
      </c>
      <c r="G19" s="323">
        <v>7804</v>
      </c>
      <c r="H19" s="189">
        <v>52089.25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582"/>
      <c r="C20" s="381"/>
      <c r="D20" s="146"/>
      <c r="E20" s="381"/>
      <c r="F20" s="143">
        <v>0</v>
      </c>
      <c r="G20" s="145">
        <v>3250</v>
      </c>
      <c r="H20" s="189">
        <v>-3250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731937.17</v>
      </c>
      <c r="D22" s="153">
        <v>-17171.330000000002</v>
      </c>
      <c r="E22" s="153">
        <v>456203.17</v>
      </c>
      <c r="F22" s="153">
        <v>258562.67000000004</v>
      </c>
      <c r="G22" s="153">
        <v>395827.87</v>
      </c>
      <c r="H22" s="191">
        <v>318937.97000000003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583">
        <v>377450.84</v>
      </c>
      <c r="D23" s="584">
        <v>-1837.45</v>
      </c>
      <c r="E23" s="585">
        <v>233872.4</v>
      </c>
      <c r="F23" s="156">
        <v>141740.99000000002</v>
      </c>
      <c r="G23" s="326">
        <v>289324.17</v>
      </c>
      <c r="H23" s="189">
        <v>86289.22000000003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205596.25</v>
      </c>
      <c r="D24" s="158">
        <v>-9888.4599999999991</v>
      </c>
      <c r="E24" s="158">
        <v>132855.9</v>
      </c>
      <c r="F24" s="158">
        <v>62851.890000000014</v>
      </c>
      <c r="G24" s="145">
        <v>103497.81999999999</v>
      </c>
      <c r="H24" s="189">
        <v>92209.970000000016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580">
        <v>55377.46</v>
      </c>
      <c r="D25" s="580">
        <v>-2153.16</v>
      </c>
      <c r="E25" s="580">
        <v>34433.51</v>
      </c>
      <c r="F25" s="158">
        <v>18790.79</v>
      </c>
      <c r="G25" s="145">
        <v>1104.19</v>
      </c>
      <c r="H25" s="189">
        <v>52120.11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580">
        <v>93512.62</v>
      </c>
      <c r="D26" s="580">
        <v>-3292.26</v>
      </c>
      <c r="E26" s="580">
        <v>55041.36</v>
      </c>
      <c r="F26" s="158">
        <v>35179</v>
      </c>
      <c r="G26" s="145">
        <v>1901.69</v>
      </c>
      <c r="H26" s="189">
        <v>88318.67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3"/>
      <c r="D28" s="373"/>
      <c r="E28" s="586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911379.17</v>
      </c>
      <c r="D30" s="166">
        <v>-16933.580000000002</v>
      </c>
      <c r="E30" s="166">
        <v>572664.16</v>
      </c>
      <c r="F30" s="166">
        <v>321781.43000000005</v>
      </c>
      <c r="G30" s="166">
        <v>526668.37</v>
      </c>
      <c r="H30" s="193">
        <v>367777.22000000003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96" t="s">
        <v>211</v>
      </c>
      <c r="B37" s="180"/>
      <c r="C37" s="342">
        <v>7804</v>
      </c>
      <c r="D37" s="357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7804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344" t="s">
        <v>118</v>
      </c>
      <c r="B42" s="93">
        <f>E19-G19</f>
        <v>32180.42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V94"/>
  <sheetViews>
    <sheetView view="pageBreakPreview" zoomScale="60" zoomScaleNormal="75" workbookViewId="0">
      <selection activeCell="J40" sqref="J40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6" width="20.5703125" customWidth="1"/>
    <col min="7" max="7" width="15.57031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212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213</v>
      </c>
      <c r="B6" s="108"/>
      <c r="C6" s="108">
        <v>1612.3</v>
      </c>
      <c r="D6" s="109">
        <v>88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1612.3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10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620">
        <v>143288.6</v>
      </c>
      <c r="D18" s="621">
        <v>-1108.5999999999999</v>
      </c>
      <c r="E18" s="621">
        <v>111915.38</v>
      </c>
      <c r="F18" s="321">
        <v>30264.619999999995</v>
      </c>
      <c r="G18" s="141">
        <v>142180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622">
        <v>71644.3</v>
      </c>
      <c r="D19" s="622">
        <v>28505.360000000001</v>
      </c>
      <c r="E19" s="622">
        <v>86677.62</v>
      </c>
      <c r="F19" s="143">
        <v>13472.040000000008</v>
      </c>
      <c r="G19" s="323">
        <v>31307.66</v>
      </c>
      <c r="H19" s="189">
        <v>68842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639598.19999999995</v>
      </c>
      <c r="D22" s="153">
        <v>-40443.29</v>
      </c>
      <c r="E22" s="153">
        <v>498151.94</v>
      </c>
      <c r="F22" s="153">
        <v>101002.96999999996</v>
      </c>
      <c r="G22" s="153">
        <v>486908.07</v>
      </c>
      <c r="H22" s="191">
        <v>112246.83999999997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620">
        <v>394718.69</v>
      </c>
      <c r="D23" s="621">
        <v>-2379.39</v>
      </c>
      <c r="E23" s="623">
        <v>304763.13</v>
      </c>
      <c r="F23" s="156">
        <v>87576.169999999984</v>
      </c>
      <c r="G23" s="326">
        <v>276458.52</v>
      </c>
      <c r="H23" s="189">
        <v>115880.77999999997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146743.63999999998</v>
      </c>
      <c r="D24" s="158">
        <v>-23633.93</v>
      </c>
      <c r="E24" s="158">
        <v>118904.39000000001</v>
      </c>
      <c r="F24" s="158">
        <v>4205.3199999999779</v>
      </c>
      <c r="G24" s="145">
        <v>143795.13999999998</v>
      </c>
      <c r="H24" s="189">
        <v>-20685.429999999993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622">
        <v>36689.089999999997</v>
      </c>
      <c r="D25" s="622">
        <v>-5384.69</v>
      </c>
      <c r="E25" s="622">
        <v>28696.31</v>
      </c>
      <c r="F25" s="158">
        <v>2608.0899999999965</v>
      </c>
      <c r="G25" s="145">
        <v>27510.16</v>
      </c>
      <c r="H25" s="189">
        <v>3794.239999999998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622">
        <v>61446.78</v>
      </c>
      <c r="D26" s="622">
        <v>-9045.2800000000007</v>
      </c>
      <c r="E26" s="622">
        <v>45788.11</v>
      </c>
      <c r="F26" s="158">
        <v>6613.3899999999994</v>
      </c>
      <c r="G26" s="145">
        <v>39144.25</v>
      </c>
      <c r="H26" s="189">
        <v>13257.25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854531.1</v>
      </c>
      <c r="D30" s="166">
        <v>-13046.529999999999</v>
      </c>
      <c r="E30" s="166">
        <v>696744.94</v>
      </c>
      <c r="F30" s="166">
        <v>144739.62999999995</v>
      </c>
      <c r="G30" s="166">
        <v>660395.73</v>
      </c>
      <c r="H30" s="193">
        <v>181088.83999999997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82</v>
      </c>
      <c r="B37" s="359"/>
      <c r="C37" s="181">
        <v>31307.66</v>
      </c>
      <c r="D37" s="360"/>
      <c r="E37" s="12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31307.66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55369.959999999992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V95"/>
  <sheetViews>
    <sheetView view="pageBreakPreview" zoomScale="60" zoomScaleNormal="75" workbookViewId="0">
      <selection activeCell="F46" sqref="F46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6.28515625" customWidth="1"/>
    <col min="7" max="7" width="17.1406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214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215</v>
      </c>
      <c r="B6" s="108"/>
      <c r="C6" s="108">
        <v>1474.2</v>
      </c>
      <c r="D6" s="109">
        <v>100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1474.2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5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428">
        <v>132612</v>
      </c>
      <c r="D18" s="429">
        <v>-574.95000000000005</v>
      </c>
      <c r="E18" s="430">
        <v>74712.58</v>
      </c>
      <c r="F18" s="321">
        <v>57324.469999999987</v>
      </c>
      <c r="G18" s="141">
        <v>132037.04999999999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31">
        <v>66306</v>
      </c>
      <c r="D19" s="432">
        <v>-287.52</v>
      </c>
      <c r="E19" s="431">
        <v>38664.93</v>
      </c>
      <c r="F19" s="143">
        <v>27353.549999999996</v>
      </c>
      <c r="G19" s="323">
        <v>358.67</v>
      </c>
      <c r="H19" s="189">
        <v>65659.81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811382.71000000008</v>
      </c>
      <c r="D22" s="153">
        <v>-36092.230000000003</v>
      </c>
      <c r="E22" s="153">
        <v>438576.75</v>
      </c>
      <c r="F22" s="153">
        <v>336713.73000000004</v>
      </c>
      <c r="G22" s="153">
        <v>412851.64</v>
      </c>
      <c r="H22" s="191">
        <v>362438.83999999997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428">
        <v>452686.05</v>
      </c>
      <c r="D23" s="430">
        <v>-14088.41</v>
      </c>
      <c r="E23" s="430">
        <v>250110.96</v>
      </c>
      <c r="F23" s="156">
        <v>188486.68000000002</v>
      </c>
      <c r="G23" s="394">
        <v>285929.17</v>
      </c>
      <c r="H23" s="189">
        <v>152668.47000000003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433">
        <v>206965.23</v>
      </c>
      <c r="D24" s="158">
        <v>-13907.36</v>
      </c>
      <c r="E24" s="158">
        <v>113444.87</v>
      </c>
      <c r="F24" s="158">
        <v>79613</v>
      </c>
      <c r="G24" s="145">
        <v>47159.35</v>
      </c>
      <c r="H24" s="189">
        <v>145898.51999999999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431">
        <v>56531.67</v>
      </c>
      <c r="D25" s="431">
        <v>-3018.41</v>
      </c>
      <c r="E25" s="431">
        <v>28835.39</v>
      </c>
      <c r="F25" s="158">
        <v>24677.869999999995</v>
      </c>
      <c r="G25" s="145">
        <v>28684.65</v>
      </c>
      <c r="H25" s="189">
        <v>24828.609999999993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431">
        <v>95199.76</v>
      </c>
      <c r="D26" s="431">
        <v>-5078.05</v>
      </c>
      <c r="E26" s="431">
        <v>46185.53</v>
      </c>
      <c r="F26" s="158">
        <v>43936.179999999993</v>
      </c>
      <c r="G26" s="145">
        <v>51078.47</v>
      </c>
      <c r="H26" s="189">
        <v>39043.239999999991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1010300.7100000001</v>
      </c>
      <c r="D30" s="166">
        <v>-36954.700000000004</v>
      </c>
      <c r="E30" s="166">
        <v>551954.26</v>
      </c>
      <c r="F30" s="166">
        <v>421391.75</v>
      </c>
      <c r="G30" s="166">
        <v>545247.36</v>
      </c>
      <c r="H30" s="193">
        <v>428098.64999999997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31.5" x14ac:dyDescent="0.25">
      <c r="A37" s="196" t="s">
        <v>283</v>
      </c>
      <c r="B37" s="180"/>
      <c r="C37" s="342">
        <v>358.67</v>
      </c>
      <c r="D37" s="182"/>
      <c r="E37" s="116"/>
      <c r="F37" s="172"/>
      <c r="G37" s="100"/>
      <c r="H37" s="100"/>
    </row>
    <row r="38" spans="1:8" ht="15.75" hidden="1" x14ac:dyDescent="0.25">
      <c r="A38" s="179"/>
      <c r="B38" s="180"/>
      <c r="C38" s="342"/>
      <c r="D38" s="182"/>
      <c r="E38" s="122"/>
      <c r="F38" s="172"/>
      <c r="G38" s="100"/>
      <c r="H38" s="100"/>
    </row>
    <row r="39" spans="1:8" ht="15.75" hidden="1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358.67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38306.26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zoomScaleNormal="75" workbookViewId="0">
      <selection activeCell="J38" sqref="J38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6.28515625" customWidth="1"/>
    <col min="7" max="7" width="16" customWidth="1"/>
    <col min="8" max="8" width="16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216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217</v>
      </c>
      <c r="B6" s="108"/>
      <c r="C6" s="108">
        <v>448.9</v>
      </c>
      <c r="D6" s="109">
        <v>14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448.9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33">
        <v>36590.400000000001</v>
      </c>
      <c r="D18" s="734">
        <v>1111.2</v>
      </c>
      <c r="E18" s="734">
        <v>27330.15</v>
      </c>
      <c r="F18" s="321">
        <v>10371.449999999997</v>
      </c>
      <c r="G18" s="141">
        <v>37701.599999999999</v>
      </c>
      <c r="H18" s="141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31"/>
      <c r="D19" s="335"/>
      <c r="E19" s="431"/>
      <c r="F19" s="143">
        <v>0</v>
      </c>
      <c r="G19" s="323">
        <v>3300.0000000000005</v>
      </c>
      <c r="H19" s="141">
        <v>-3300.0000000000005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9">
        <v>0</v>
      </c>
      <c r="G20" s="326">
        <v>0</v>
      </c>
      <c r="H20" s="141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48"/>
      <c r="E21" s="349"/>
      <c r="F21" s="149">
        <v>0</v>
      </c>
      <c r="G21" s="350"/>
      <c r="H21" s="141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137892.34</v>
      </c>
      <c r="D22" s="153">
        <v>-6256.73</v>
      </c>
      <c r="E22" s="153">
        <v>98887.52</v>
      </c>
      <c r="F22" s="153">
        <v>32748.090000000011</v>
      </c>
      <c r="G22" s="153">
        <v>169336.49</v>
      </c>
      <c r="H22" s="153">
        <v>-37700.87999999999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33">
        <v>85128.85</v>
      </c>
      <c r="D23" s="734">
        <v>2564.52</v>
      </c>
      <c r="E23" s="735">
        <v>62716.71</v>
      </c>
      <c r="F23" s="156">
        <v>24976.660000000011</v>
      </c>
      <c r="G23" s="326">
        <v>86188.03</v>
      </c>
      <c r="H23" s="141">
        <v>1505.3400000000111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32809.64</v>
      </c>
      <c r="D24" s="158">
        <v>-5411.7199999999993</v>
      </c>
      <c r="E24" s="158">
        <v>22320.67</v>
      </c>
      <c r="F24" s="158">
        <v>5077.25</v>
      </c>
      <c r="G24" s="145">
        <v>26373.69</v>
      </c>
      <c r="H24" s="141">
        <v>1024.2299999999996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36">
        <v>7453.87</v>
      </c>
      <c r="D25" s="736">
        <v>-1250.6400000000001</v>
      </c>
      <c r="E25" s="736">
        <v>5318.69</v>
      </c>
      <c r="F25" s="158">
        <v>884.54</v>
      </c>
      <c r="G25" s="145">
        <v>20461.349999999999</v>
      </c>
      <c r="H25" s="141">
        <v>-14258.119999999999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36">
        <v>12499.98</v>
      </c>
      <c r="D26" s="736">
        <v>-2158.89</v>
      </c>
      <c r="E26" s="736">
        <v>8531.4500000000007</v>
      </c>
      <c r="F26" s="158">
        <v>1809.6399999999994</v>
      </c>
      <c r="G26" s="145">
        <v>36313.42</v>
      </c>
      <c r="H26" s="141">
        <v>-25972.329999999998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417"/>
      <c r="D27" s="338"/>
      <c r="E27" s="417"/>
      <c r="F27" s="158">
        <v>0</v>
      </c>
      <c r="G27" s="145"/>
      <c r="H27" s="141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434"/>
      <c r="D28" s="373"/>
      <c r="E28" s="435"/>
      <c r="F28" s="158">
        <v>0</v>
      </c>
      <c r="G28" s="337"/>
      <c r="H28" s="141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174482.74</v>
      </c>
      <c r="D30" s="166">
        <v>-5145.53</v>
      </c>
      <c r="E30" s="166">
        <v>126217.67000000001</v>
      </c>
      <c r="F30" s="166">
        <v>43119.540000000008</v>
      </c>
      <c r="G30" s="166">
        <v>210338.09</v>
      </c>
      <c r="H30" s="166">
        <v>-41000.87999999999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158</v>
      </c>
      <c r="B37" s="180"/>
      <c r="C37" s="342">
        <f>3000*1.1</f>
        <v>3300.0000000000005</v>
      </c>
      <c r="D37" s="182"/>
      <c r="E37" s="116"/>
      <c r="F37" s="172"/>
      <c r="G37" s="100"/>
      <c r="H37" s="100"/>
    </row>
    <row r="38" spans="1:8" ht="16.5" thickBot="1" x14ac:dyDescent="0.3">
      <c r="A38" s="113" t="s">
        <v>5</v>
      </c>
      <c r="B38" s="114">
        <f>B37</f>
        <v>0</v>
      </c>
      <c r="C38" s="343">
        <f>SUM(C37:C37)</f>
        <v>3300.0000000000005</v>
      </c>
      <c r="D38" s="116"/>
      <c r="E38" s="116"/>
      <c r="F38" s="116"/>
      <c r="G38" s="169"/>
      <c r="H38" s="100"/>
    </row>
    <row r="39" spans="1:8" ht="15.75" x14ac:dyDescent="0.25">
      <c r="A39" s="92"/>
      <c r="B39" s="93"/>
      <c r="C39" s="94"/>
      <c r="D39" s="184"/>
      <c r="E39" s="185"/>
      <c r="F39" s="18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 t="s">
        <v>118</v>
      </c>
      <c r="B41" s="93">
        <f>H19</f>
        <v>-3300.0000000000005</v>
      </c>
      <c r="C41" s="201" t="s">
        <v>119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9" sqref="F39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9.7109375" style="3" customWidth="1"/>
    <col min="5" max="5" width="20.28515625" style="3" customWidth="1"/>
    <col min="6" max="6" width="19.85546875" customWidth="1"/>
    <col min="7" max="7" width="18.1406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218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219</v>
      </c>
      <c r="B6" s="108"/>
      <c r="C6" s="108">
        <v>3954.3</v>
      </c>
      <c r="D6" s="109">
        <v>41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3954.3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18.239999999999998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26">
        <v>504885.15</v>
      </c>
      <c r="D18" s="727"/>
      <c r="E18" s="728">
        <v>215343.22</v>
      </c>
      <c r="F18" s="321">
        <v>289541.93000000005</v>
      </c>
      <c r="G18" s="141">
        <v>504885.15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431"/>
      <c r="D19" s="335"/>
      <c r="E19" s="431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9">
        <v>0</v>
      </c>
      <c r="G20" s="326">
        <v>14750</v>
      </c>
      <c r="H20" s="189">
        <v>-14750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1015330.41</v>
      </c>
      <c r="D22" s="153">
        <v>-104491.67</v>
      </c>
      <c r="E22" s="153">
        <v>439563.04000000004</v>
      </c>
      <c r="F22" s="153">
        <v>471275.69999999995</v>
      </c>
      <c r="G22" s="153">
        <v>313587.99</v>
      </c>
      <c r="H22" s="191">
        <v>597250.74999999988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26">
        <v>772324.15</v>
      </c>
      <c r="D23" s="366"/>
      <c r="E23" s="711">
        <v>328029.56</v>
      </c>
      <c r="F23" s="156">
        <v>444294.59</v>
      </c>
      <c r="G23" s="326">
        <v>190833.95</v>
      </c>
      <c r="H23" s="189">
        <v>581490.19999999995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147147.88999999998</v>
      </c>
      <c r="D24" s="158">
        <v>-63222.61</v>
      </c>
      <c r="E24" s="158">
        <v>69298.39</v>
      </c>
      <c r="F24" s="158">
        <v>14626.889999999985</v>
      </c>
      <c r="G24" s="145">
        <v>67679.31</v>
      </c>
      <c r="H24" s="189">
        <v>16245.969999999987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05">
        <v>33162.65</v>
      </c>
      <c r="D25" s="705">
        <v>-15229.01</v>
      </c>
      <c r="E25" s="705">
        <v>15330.2</v>
      </c>
      <c r="F25" s="158">
        <v>2603.4399999999987</v>
      </c>
      <c r="G25" s="145">
        <v>48613.01</v>
      </c>
      <c r="H25" s="189">
        <v>-30679.370000000003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05">
        <v>62695.72</v>
      </c>
      <c r="D26" s="705">
        <v>-26040.05</v>
      </c>
      <c r="E26" s="705">
        <v>26904.89</v>
      </c>
      <c r="F26" s="158">
        <v>9750.7799999999988</v>
      </c>
      <c r="G26" s="145">
        <v>6461.72</v>
      </c>
      <c r="H26" s="189">
        <v>30193.949999999997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05">
        <v>79160.73</v>
      </c>
      <c r="D27" s="705">
        <v>-25864.240000000002</v>
      </c>
      <c r="E27" s="705">
        <v>33640.93</v>
      </c>
      <c r="F27" s="158">
        <v>19655.55999999999</v>
      </c>
      <c r="G27" s="145">
        <v>40383.26</v>
      </c>
      <c r="H27" s="189">
        <v>12913.229999999989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6.5" thickBot="1" x14ac:dyDescent="0.3">
      <c r="A28" s="113" t="s">
        <v>21</v>
      </c>
      <c r="B28" s="327"/>
      <c r="C28" s="729"/>
      <c r="D28" s="729"/>
      <c r="E28" s="730"/>
      <c r="F28" s="731">
        <v>0</v>
      </c>
      <c r="G28" s="732"/>
      <c r="H28" s="725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607" t="s">
        <v>22</v>
      </c>
      <c r="B29" s="717">
        <v>0</v>
      </c>
      <c r="C29" s="717"/>
      <c r="D29" s="717"/>
      <c r="E29" s="717"/>
      <c r="F29" s="718">
        <v>0</v>
      </c>
      <c r="G29" s="719"/>
      <c r="H29" s="720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1599376.29</v>
      </c>
      <c r="D30" s="166">
        <v>-130355.91</v>
      </c>
      <c r="E30" s="166">
        <v>688547.19000000006</v>
      </c>
      <c r="F30" s="166">
        <v>780473.19</v>
      </c>
      <c r="G30" s="166">
        <v>873606.4</v>
      </c>
      <c r="H30" s="193">
        <v>595413.97999999986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16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49" orientation="portrait" r:id="rId1"/>
  <colBreaks count="1" manualBreakCount="1">
    <brk id="8" max="67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3"/>
  <sheetViews>
    <sheetView view="pageBreakPreview" zoomScale="60" zoomScaleNormal="75" workbookViewId="0">
      <selection activeCell="E35" sqref="E35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9.85546875" customWidth="1"/>
    <col min="7" max="7" width="17.140625" customWidth="1"/>
    <col min="8" max="8" width="17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220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221</v>
      </c>
      <c r="B6" s="108"/>
      <c r="C6" s="108">
        <v>950.7</v>
      </c>
      <c r="D6" s="109">
        <v>56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950.7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12">
        <v>91272</v>
      </c>
      <c r="D18" s="713">
        <v>-4.8</v>
      </c>
      <c r="E18" s="714">
        <v>68327.92</v>
      </c>
      <c r="F18" s="321">
        <v>22939.279999999999</v>
      </c>
      <c r="G18" s="378">
        <v>91267.199999999997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15">
        <v>22818</v>
      </c>
      <c r="D19" s="716">
        <v>-1.2</v>
      </c>
      <c r="E19" s="715">
        <v>19637.63</v>
      </c>
      <c r="F19" s="143">
        <v>3179.1699999999983</v>
      </c>
      <c r="G19" s="323">
        <v>0</v>
      </c>
      <c r="H19" s="189">
        <v>22816.799999999999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145">
        <v>7550</v>
      </c>
      <c r="H20" s="189">
        <v>-7550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349970.37</v>
      </c>
      <c r="D22" s="153">
        <v>-10962.94</v>
      </c>
      <c r="E22" s="153">
        <v>263936.42</v>
      </c>
      <c r="F22" s="153">
        <v>75071.010000000009</v>
      </c>
      <c r="G22" s="153">
        <v>282560.13</v>
      </c>
      <c r="H22" s="191">
        <v>56447.3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06">
        <v>211029.92</v>
      </c>
      <c r="D23" s="366"/>
      <c r="E23" s="706">
        <v>154464.47</v>
      </c>
      <c r="F23" s="156">
        <v>56565.450000000012</v>
      </c>
      <c r="G23" s="326">
        <v>178829.06</v>
      </c>
      <c r="H23" s="189">
        <v>32200.860000000015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88584.72</v>
      </c>
      <c r="D24" s="158">
        <v>-6738.6900000000005</v>
      </c>
      <c r="E24" s="158">
        <v>68632.88</v>
      </c>
      <c r="F24" s="158">
        <v>13213.149999999994</v>
      </c>
      <c r="G24" s="145">
        <v>40898.350000000006</v>
      </c>
      <c r="H24" s="189">
        <v>40947.679999999993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15">
        <v>17982.259999999998</v>
      </c>
      <c r="D25" s="715">
        <v>-1554.42</v>
      </c>
      <c r="E25" s="715">
        <v>15592.09</v>
      </c>
      <c r="F25" s="158">
        <v>835.74999999999636</v>
      </c>
      <c r="G25" s="145">
        <v>22653.58</v>
      </c>
      <c r="H25" s="189">
        <v>-6225.7400000000052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15">
        <v>32373.47</v>
      </c>
      <c r="D26" s="715">
        <v>-2669.83</v>
      </c>
      <c r="E26" s="715">
        <v>25246.98</v>
      </c>
      <c r="F26" s="158">
        <v>4456.66</v>
      </c>
      <c r="G26" s="145">
        <v>40179.14</v>
      </c>
      <c r="H26" s="189">
        <v>-10475.5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05"/>
      <c r="D27" s="338"/>
      <c r="E27" s="705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6.5" thickBot="1" x14ac:dyDescent="0.3">
      <c r="A28" s="113" t="s">
        <v>21</v>
      </c>
      <c r="B28" s="327"/>
      <c r="C28" s="721">
        <v>3205.84</v>
      </c>
      <c r="D28" s="722"/>
      <c r="E28" s="721">
        <v>2465.96</v>
      </c>
      <c r="F28" s="723">
        <v>739.88000000000011</v>
      </c>
      <c r="G28" s="724">
        <v>1972.768</v>
      </c>
      <c r="H28" s="725">
        <v>1233.0720000000001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607" t="s">
        <v>22</v>
      </c>
      <c r="B29" s="717">
        <v>0</v>
      </c>
      <c r="C29" s="717"/>
      <c r="D29" s="717"/>
      <c r="E29" s="717"/>
      <c r="F29" s="718">
        <v>0</v>
      </c>
      <c r="G29" s="719"/>
      <c r="H29" s="720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467266.21</v>
      </c>
      <c r="D30" s="166">
        <v>-10968.94</v>
      </c>
      <c r="E30" s="166">
        <v>354367.93</v>
      </c>
      <c r="F30" s="166">
        <v>101929.34000000001</v>
      </c>
      <c r="G30" s="166">
        <v>383350.098</v>
      </c>
      <c r="H30" s="193">
        <v>72947.172000000006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16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 t="s">
        <v>118</v>
      </c>
      <c r="B41" s="93">
        <f>E19-G19</f>
        <v>19637.63</v>
      </c>
      <c r="C41" s="94" t="s">
        <v>24</v>
      </c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197" t="s">
        <v>69</v>
      </c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8"/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7" t="s">
        <v>53</v>
      </c>
      <c r="B45" s="40" t="s">
        <v>54</v>
      </c>
      <c r="C45" s="199"/>
      <c r="D45" s="184"/>
      <c r="E45" s="185"/>
      <c r="F45" s="186"/>
      <c r="G45" s="169"/>
      <c r="H45" s="100"/>
    </row>
    <row r="46" spans="1:8" x14ac:dyDescent="0.25">
      <c r="A46" s="31"/>
      <c r="B46" s="28"/>
      <c r="C46" s="36"/>
      <c r="D46" s="19"/>
      <c r="E46" s="17"/>
      <c r="F46" s="18"/>
      <c r="G46" s="15"/>
    </row>
    <row r="47" spans="1:8" x14ac:dyDescent="0.25">
      <c r="A47" s="37"/>
      <c r="B47" s="38"/>
      <c r="C47" s="36"/>
      <c r="D47" s="19"/>
      <c r="E47" s="17"/>
      <c r="F47" s="18"/>
      <c r="G47" s="15"/>
    </row>
    <row r="48" spans="1:8" ht="15.75" x14ac:dyDescent="0.25">
      <c r="A48" s="39" t="s">
        <v>27</v>
      </c>
      <c r="B48" s="40" t="s">
        <v>54</v>
      </c>
      <c r="C48" s="41"/>
      <c r="D48" s="42" t="s">
        <v>28</v>
      </c>
      <c r="E48" s="10"/>
    </row>
    <row r="49" spans="1:6" x14ac:dyDescent="0.25">
      <c r="A49" s="6"/>
      <c r="B49" s="7"/>
      <c r="C49" s="10"/>
      <c r="D49" s="35"/>
      <c r="E49" s="8"/>
    </row>
    <row r="50" spans="1:6" x14ac:dyDescent="0.25">
      <c r="A50" s="6"/>
      <c r="B50" s="7"/>
      <c r="C50" s="10"/>
      <c r="D50" s="34"/>
      <c r="E50" s="8"/>
    </row>
    <row r="51" spans="1:6" x14ac:dyDescent="0.25">
      <c r="A51" s="13"/>
      <c r="B51" s="14"/>
      <c r="C51" s="10"/>
      <c r="D51" s="29"/>
      <c r="E51" s="10"/>
    </row>
    <row r="52" spans="1:6" x14ac:dyDescent="0.25">
      <c r="C52" s="10"/>
      <c r="E52" s="10"/>
    </row>
    <row r="53" spans="1:6" x14ac:dyDescent="0.25">
      <c r="A53" s="6"/>
      <c r="B53" s="7"/>
      <c r="C53" s="8"/>
      <c r="D53" s="11"/>
      <c r="E53" s="10"/>
    </row>
    <row r="54" spans="1:6" x14ac:dyDescent="0.25">
      <c r="A54" s="4"/>
      <c r="B54" s="5"/>
      <c r="C54" s="10"/>
      <c r="D54" s="11"/>
      <c r="E54" s="10"/>
      <c r="F54" s="12"/>
    </row>
    <row r="55" spans="1:6" x14ac:dyDescent="0.25">
      <c r="A55" s="6"/>
      <c r="B55" s="7"/>
      <c r="C55" s="10"/>
      <c r="D55" s="11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8"/>
      <c r="E58" s="8"/>
      <c r="F58" s="3"/>
    </row>
    <row r="59" spans="1:6" x14ac:dyDescent="0.25">
      <c r="A59" s="6"/>
      <c r="B59" s="7"/>
      <c r="D59" s="8"/>
      <c r="E59" s="10"/>
    </row>
    <row r="60" spans="1:6" x14ac:dyDescent="0.25">
      <c r="D60" s="8"/>
      <c r="E60" s="8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8"/>
      <c r="E67" s="8"/>
      <c r="F67" s="3"/>
    </row>
    <row r="68" spans="2:6" x14ac:dyDescent="0.25">
      <c r="B68"/>
      <c r="C68"/>
      <c r="D68" s="10"/>
      <c r="E68" s="10"/>
      <c r="F68" s="3"/>
    </row>
    <row r="69" spans="2:6" x14ac:dyDescent="0.25">
      <c r="D69" s="10"/>
      <c r="E69" s="10"/>
    </row>
    <row r="70" spans="2:6" x14ac:dyDescent="0.25"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</row>
    <row r="74" spans="2:6" x14ac:dyDescent="0.25">
      <c r="B74"/>
      <c r="C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</sheetData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2"/>
  <sheetViews>
    <sheetView view="pageBreakPreview" zoomScale="60" workbookViewId="0">
      <selection activeCell="G35" sqref="G35"/>
    </sheetView>
  </sheetViews>
  <sheetFormatPr defaultRowHeight="15" x14ac:dyDescent="0.25"/>
  <cols>
    <col min="1" max="1" width="45.71093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.140625" customWidth="1"/>
    <col min="8" max="8" width="18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135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0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10" t="s">
        <v>63</v>
      </c>
      <c r="B6" s="108"/>
      <c r="C6" s="383">
        <v>3819.33</v>
      </c>
      <c r="D6" s="474">
        <v>81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3819.33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9.75" customHeight="1" x14ac:dyDescent="0.25">
      <c r="A11" s="966" t="s">
        <v>7</v>
      </c>
      <c r="B11" s="967"/>
      <c r="C11" s="967"/>
      <c r="D11" s="475">
        <v>12.5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475">
        <v>1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476">
        <v>0.2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0"/>
      <c r="L17" s="79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135130.88</v>
      </c>
      <c r="C18" s="853">
        <v>554070.81000000006</v>
      </c>
      <c r="D18" s="854">
        <v>-5633.32</v>
      </c>
      <c r="E18" s="855">
        <v>460906.35</v>
      </c>
      <c r="F18" s="321">
        <v>222662.02000000014</v>
      </c>
      <c r="G18" s="141">
        <v>548437.49000000011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3687.4699999999993</v>
      </c>
      <c r="C19" s="853">
        <v>44325.66</v>
      </c>
      <c r="D19" s="856">
        <v>-449.07</v>
      </c>
      <c r="E19" s="855">
        <v>36668.910000000003</v>
      </c>
      <c r="F19" s="143">
        <v>10895.150000000001</v>
      </c>
      <c r="G19" s="323">
        <v>31403.34</v>
      </c>
      <c r="H19" s="189">
        <v>12473.250000000004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-5470.83</v>
      </c>
      <c r="C20" s="853">
        <v>8865.18</v>
      </c>
      <c r="D20" s="856">
        <v>-89.81</v>
      </c>
      <c r="E20" s="855">
        <v>7158.08</v>
      </c>
      <c r="F20" s="149">
        <v>-3853.5399999999995</v>
      </c>
      <c r="G20" s="326">
        <v>8775.3700000000008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379072.5</v>
      </c>
      <c r="C22" s="153">
        <v>1641343.28</v>
      </c>
      <c r="D22" s="153">
        <v>-234692.36</v>
      </c>
      <c r="E22" s="153">
        <v>1260156.02</v>
      </c>
      <c r="F22" s="153">
        <v>525567.39999999979</v>
      </c>
      <c r="G22" s="153">
        <v>1005644.6</v>
      </c>
      <c r="H22" s="191">
        <v>401006.31999999977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297682.74</v>
      </c>
      <c r="C23" s="857">
        <v>1202162.8899999999</v>
      </c>
      <c r="D23" s="857">
        <v>-61336.1</v>
      </c>
      <c r="E23" s="858">
        <v>954852.33</v>
      </c>
      <c r="F23" s="155">
        <v>483657.19999999984</v>
      </c>
      <c r="G23" s="333">
        <v>216757.86</v>
      </c>
      <c r="H23" s="189">
        <v>924068.92999999982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62364.959999999999</v>
      </c>
      <c r="C24" s="192">
        <v>262982.83999999997</v>
      </c>
      <c r="D24" s="158">
        <v>-115413.64</v>
      </c>
      <c r="E24" s="334">
        <v>181854.47</v>
      </c>
      <c r="F24" s="158">
        <v>28079.689999999973</v>
      </c>
      <c r="G24" s="145">
        <v>592422.65</v>
      </c>
      <c r="H24" s="189">
        <v>-444853.45000000007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4063.2700000000004</v>
      </c>
      <c r="C25" s="859">
        <v>58974.04</v>
      </c>
      <c r="D25" s="859">
        <v>-22082.74</v>
      </c>
      <c r="E25" s="356">
        <v>43526.14</v>
      </c>
      <c r="F25" s="158">
        <v>-2571.570000000007</v>
      </c>
      <c r="G25" s="145">
        <v>96392.51</v>
      </c>
      <c r="H25" s="189">
        <v>-59501.209999999992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14961.529999999999</v>
      </c>
      <c r="C26" s="859">
        <v>117223.51</v>
      </c>
      <c r="D26" s="859">
        <v>-35859.879999999997</v>
      </c>
      <c r="E26" s="356">
        <v>79923.08</v>
      </c>
      <c r="F26" s="158">
        <v>16402.079999999973</v>
      </c>
      <c r="G26" s="145">
        <v>100071.58</v>
      </c>
      <c r="H26" s="189">
        <v>-18707.949999999997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33139.630000000005</v>
      </c>
      <c r="C27" s="859">
        <v>254384.06</v>
      </c>
      <c r="D27" s="859">
        <v>-127116.07</v>
      </c>
      <c r="E27" s="356">
        <v>115586.12</v>
      </c>
      <c r="F27" s="158">
        <v>44821.5</v>
      </c>
      <c r="G27" s="145">
        <v>176225.94</v>
      </c>
      <c r="H27" s="189">
        <v>-48957.950000000012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859">
        <v>16125.47</v>
      </c>
      <c r="D28" s="859">
        <v>-6549.77</v>
      </c>
      <c r="E28" s="356">
        <v>8248.7999999999993</v>
      </c>
      <c r="F28" s="158">
        <v>1326.8999999999996</v>
      </c>
      <c r="G28" s="337">
        <v>6599.0399999999991</v>
      </c>
      <c r="H28" s="189">
        <v>2976.66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545559.65</v>
      </c>
      <c r="C30" s="166">
        <v>2519114.4600000004</v>
      </c>
      <c r="D30" s="166">
        <v>-374530.4</v>
      </c>
      <c r="E30" s="166">
        <v>1888724.28</v>
      </c>
      <c r="F30" s="166">
        <v>801419.42999999993</v>
      </c>
      <c r="G30" s="166">
        <v>1777085.78</v>
      </c>
      <c r="H30" s="193">
        <v>367498.27999999974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97</v>
      </c>
      <c r="B37" s="860">
        <v>31403.34</v>
      </c>
      <c r="C37" s="181">
        <v>31403.34</v>
      </c>
      <c r="D37" s="357"/>
      <c r="E37" s="122"/>
      <c r="F37" s="172"/>
      <c r="G37" s="100"/>
      <c r="H37" s="100"/>
    </row>
    <row r="38" spans="1:8" ht="16.5" thickBot="1" x14ac:dyDescent="0.3">
      <c r="A38" s="113" t="s">
        <v>5</v>
      </c>
      <c r="B38" s="114">
        <f>B37</f>
        <v>31403.34</v>
      </c>
      <c r="C38" s="343">
        <f>SUM(C37:C37)</f>
        <v>31403.34</v>
      </c>
      <c r="D38" s="116"/>
      <c r="E38" s="116"/>
      <c r="F38" s="116"/>
      <c r="G38" s="169"/>
      <c r="H38" s="100"/>
    </row>
    <row r="39" spans="1:8" ht="15.75" x14ac:dyDescent="0.25">
      <c r="A39" s="92"/>
      <c r="B39" s="93"/>
      <c r="C39" s="94"/>
      <c r="D39" s="184"/>
      <c r="E39" s="185"/>
      <c r="F39" s="186"/>
      <c r="G39" s="169"/>
      <c r="H39" s="100"/>
    </row>
    <row r="40" spans="1:8" ht="31.5" x14ac:dyDescent="0.25">
      <c r="A40" s="344" t="s">
        <v>289</v>
      </c>
      <c r="B40" s="93">
        <f>8281.72+E19-G19</f>
        <v>13547.290000000005</v>
      </c>
      <c r="C40" s="94" t="s">
        <v>24</v>
      </c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197" t="s">
        <v>69</v>
      </c>
      <c r="B42" s="40"/>
      <c r="C42" s="41"/>
      <c r="D42" s="184"/>
      <c r="E42" s="185"/>
      <c r="F42" s="186"/>
      <c r="G42" s="169"/>
      <c r="H42" s="100"/>
    </row>
    <row r="43" spans="1:8" ht="15.75" x14ac:dyDescent="0.25">
      <c r="A43" s="198"/>
      <c r="B43" s="40"/>
      <c r="C43" s="41"/>
      <c r="D43" s="184"/>
      <c r="E43" s="185"/>
      <c r="F43" s="186"/>
      <c r="G43" s="169"/>
      <c r="H43" s="100"/>
    </row>
    <row r="44" spans="1:8" ht="15.75" x14ac:dyDescent="0.25">
      <c r="A44" s="197" t="s">
        <v>53</v>
      </c>
      <c r="B44" s="40" t="s">
        <v>54</v>
      </c>
      <c r="C44" s="199"/>
      <c r="D44" s="184"/>
      <c r="E44" s="185"/>
      <c r="F44" s="186"/>
      <c r="G44" s="169"/>
      <c r="H44" s="100"/>
    </row>
    <row r="45" spans="1:8" x14ac:dyDescent="0.25">
      <c r="A45" s="31"/>
      <c r="B45" s="28"/>
      <c r="C45" s="36"/>
      <c r="D45" s="19"/>
      <c r="E45" s="17"/>
      <c r="F45" s="18"/>
      <c r="G45" s="15"/>
    </row>
    <row r="46" spans="1:8" x14ac:dyDescent="0.25">
      <c r="A46" s="37"/>
      <c r="B46" s="38"/>
      <c r="C46" s="36"/>
      <c r="D46" s="19"/>
      <c r="E46" s="17"/>
      <c r="F46" s="18"/>
      <c r="G46" s="15"/>
    </row>
    <row r="47" spans="1:8" ht="15.75" x14ac:dyDescent="0.25">
      <c r="A47" s="39" t="s">
        <v>27</v>
      </c>
      <c r="B47" s="40" t="s">
        <v>54</v>
      </c>
      <c r="C47" s="41"/>
      <c r="D47" s="42" t="s">
        <v>28</v>
      </c>
      <c r="E47" s="10"/>
    </row>
    <row r="48" spans="1:8" x14ac:dyDescent="0.25">
      <c r="A48" s="6"/>
      <c r="B48" s="7"/>
      <c r="C48" s="10"/>
      <c r="D48" s="35"/>
      <c r="E48" s="8"/>
    </row>
    <row r="49" spans="1:6" x14ac:dyDescent="0.25">
      <c r="A49" s="6"/>
      <c r="B49" s="7"/>
      <c r="C49" s="10"/>
      <c r="D49" s="34"/>
      <c r="E49" s="8"/>
    </row>
    <row r="50" spans="1:6" x14ac:dyDescent="0.25">
      <c r="A50" s="13"/>
      <c r="B50" s="14"/>
      <c r="C50" s="10"/>
      <c r="D50" s="29"/>
      <c r="E50" s="10"/>
    </row>
    <row r="51" spans="1:6" x14ac:dyDescent="0.25">
      <c r="C51" s="10"/>
      <c r="E51" s="10"/>
    </row>
    <row r="52" spans="1:6" x14ac:dyDescent="0.25">
      <c r="A52" s="6"/>
      <c r="B52" s="7"/>
      <c r="C52" s="8"/>
      <c r="D52" s="11"/>
      <c r="E52" s="10"/>
    </row>
    <row r="53" spans="1:6" x14ac:dyDescent="0.25">
      <c r="A53" s="4"/>
      <c r="B53" s="5"/>
      <c r="C53" s="10"/>
      <c r="D53" s="11"/>
      <c r="E53" s="10"/>
      <c r="F53" s="12"/>
    </row>
    <row r="54" spans="1:6" x14ac:dyDescent="0.25">
      <c r="A54" s="6"/>
      <c r="B54" s="7"/>
      <c r="C54" s="10"/>
      <c r="D54" s="11"/>
      <c r="E54" s="10"/>
    </row>
    <row r="55" spans="1:6" x14ac:dyDescent="0.25">
      <c r="A55" s="6"/>
      <c r="B55" s="7"/>
      <c r="C55" s="7"/>
      <c r="D55" s="9"/>
      <c r="E55" s="10"/>
    </row>
    <row r="56" spans="1:6" x14ac:dyDescent="0.25">
      <c r="A56" s="6"/>
      <c r="B56" s="7"/>
      <c r="C56" s="7"/>
      <c r="D56" s="9"/>
      <c r="E56" s="10"/>
    </row>
    <row r="57" spans="1:6" x14ac:dyDescent="0.25">
      <c r="A57" s="6"/>
      <c r="B57" s="7"/>
      <c r="C57" s="7"/>
      <c r="D57" s="8"/>
      <c r="E57" s="8"/>
      <c r="F57" s="3"/>
    </row>
    <row r="58" spans="1:6" x14ac:dyDescent="0.25">
      <c r="A58" s="6"/>
      <c r="B58" s="7"/>
      <c r="D58" s="8"/>
      <c r="E58" s="10"/>
    </row>
    <row r="59" spans="1:6" x14ac:dyDescent="0.25">
      <c r="D59" s="8"/>
      <c r="E59" s="8"/>
    </row>
    <row r="60" spans="1:6" x14ac:dyDescent="0.25">
      <c r="D60" s="10"/>
      <c r="E60" s="10"/>
    </row>
    <row r="61" spans="1:6" x14ac:dyDescent="0.25">
      <c r="D61" s="10"/>
      <c r="E61" s="10"/>
    </row>
    <row r="62" spans="1:6" x14ac:dyDescent="0.25">
      <c r="D62" s="10"/>
      <c r="E62" s="10"/>
    </row>
    <row r="63" spans="1:6" x14ac:dyDescent="0.25">
      <c r="B63"/>
      <c r="C63"/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8"/>
      <c r="E66" s="8"/>
      <c r="F66" s="3"/>
    </row>
    <row r="67" spans="2:6" x14ac:dyDescent="0.25">
      <c r="B67"/>
      <c r="C67"/>
      <c r="D67" s="10"/>
      <c r="E67" s="10"/>
      <c r="F67" s="3"/>
    </row>
    <row r="68" spans="2:6" x14ac:dyDescent="0.25">
      <c r="D68" s="10"/>
      <c r="E68" s="10"/>
    </row>
    <row r="69" spans="2:6" x14ac:dyDescent="0.25">
      <c r="D69" s="7"/>
      <c r="E69" s="7"/>
    </row>
    <row r="70" spans="2:6" x14ac:dyDescent="0.25">
      <c r="B70"/>
      <c r="C70"/>
      <c r="D70" s="7"/>
      <c r="E70" s="7"/>
    </row>
    <row r="71" spans="2:6" x14ac:dyDescent="0.25">
      <c r="B71"/>
      <c r="C71"/>
      <c r="D71" s="7"/>
      <c r="E71" s="7"/>
    </row>
    <row r="72" spans="2:6" x14ac:dyDescent="0.25">
      <c r="B72"/>
      <c r="C72"/>
    </row>
    <row r="73" spans="2:6" x14ac:dyDescent="0.25">
      <c r="B73"/>
      <c r="C73"/>
    </row>
    <row r="74" spans="2:6" x14ac:dyDescent="0.25">
      <c r="B74"/>
      <c r="C74"/>
      <c r="D74"/>
      <c r="E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48" max="7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4" sqref="J44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8.28515625" style="3" customWidth="1"/>
    <col min="5" max="5" width="20.85546875" style="3" customWidth="1"/>
    <col min="6" max="6" width="20.5703125" customWidth="1"/>
    <col min="7" max="7" width="16.710937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222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63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223</v>
      </c>
      <c r="B6" s="108"/>
      <c r="C6" s="108">
        <v>365.8</v>
      </c>
      <c r="D6" s="109">
        <v>21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365.8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13.29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07">
        <v>38891.839999999997</v>
      </c>
      <c r="D18" s="708">
        <v>-497.47</v>
      </c>
      <c r="E18" s="709">
        <v>33912.620000000003</v>
      </c>
      <c r="F18" s="321">
        <v>4481.7499999999927</v>
      </c>
      <c r="G18" s="141">
        <v>38394.369999999995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>
        <v>8779.2000000000007</v>
      </c>
      <c r="D19" s="335"/>
      <c r="E19" s="702">
        <v>8429.15</v>
      </c>
      <c r="F19" s="143">
        <v>350.05000000000109</v>
      </c>
      <c r="G19" s="323">
        <v>0</v>
      </c>
      <c r="H19" s="189">
        <v>8779.2000000000007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 s="191">
        <v>0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10"/>
      <c r="D23" s="366"/>
      <c r="E23" s="710"/>
      <c r="F23" s="156">
        <v>0</v>
      </c>
      <c r="G23" s="333"/>
      <c r="H23" s="189">
        <v>0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06"/>
      <c r="D25" s="443"/>
      <c r="E25" s="706"/>
      <c r="F25" s="158">
        <v>0</v>
      </c>
      <c r="G25" s="145"/>
      <c r="H25" s="189">
        <v>0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06"/>
      <c r="D26" s="443"/>
      <c r="E26" s="706"/>
      <c r="F26" s="158">
        <v>0</v>
      </c>
      <c r="G26" s="145"/>
      <c r="H26" s="189">
        <v>0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11"/>
      <c r="D27" s="338"/>
      <c r="E27" s="71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06"/>
      <c r="D28" s="373"/>
      <c r="E28" s="706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47671.039999999994</v>
      </c>
      <c r="D30" s="166">
        <v>-497.47</v>
      </c>
      <c r="E30" s="166">
        <v>42341.770000000004</v>
      </c>
      <c r="F30" s="166">
        <v>4831.7999999999938</v>
      </c>
      <c r="G30" s="166">
        <v>38394.369999999995</v>
      </c>
      <c r="H30" s="193">
        <v>8779.2000000000007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16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8429.15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3" sqref="J43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6.28515625" customWidth="1"/>
    <col min="7" max="7" width="17.8554687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224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225</v>
      </c>
      <c r="B6" s="108"/>
      <c r="C6" s="108">
        <v>1725.8</v>
      </c>
      <c r="D6" s="109">
        <v>116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1725.8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11.91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00">
        <v>142759.35999999999</v>
      </c>
      <c r="D18" s="701">
        <v>1120.73</v>
      </c>
      <c r="E18" s="701">
        <v>82758.91</v>
      </c>
      <c r="F18" s="321">
        <v>61121.179999999993</v>
      </c>
      <c r="G18" s="141">
        <v>143880.09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/>
      <c r="D19" s="335"/>
      <c r="E19" s="702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463558.48</v>
      </c>
      <c r="D22" s="153">
        <v>4113.4599999999991</v>
      </c>
      <c r="E22" s="153">
        <v>272659.69</v>
      </c>
      <c r="F22" s="153">
        <v>195012.25000000006</v>
      </c>
      <c r="G22" s="153">
        <v>370311.67999999999</v>
      </c>
      <c r="H22" s="191">
        <v>97360.260000000053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00">
        <v>354981.15</v>
      </c>
      <c r="D23" s="701">
        <v>7696.53</v>
      </c>
      <c r="E23" s="703">
        <v>204172.9</v>
      </c>
      <c r="F23" s="156">
        <v>158504.78000000006</v>
      </c>
      <c r="G23" s="333">
        <v>370311.67999999999</v>
      </c>
      <c r="H23" s="189">
        <v>-7633.9999999999418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04">
        <v>53318.49</v>
      </c>
      <c r="D25" s="704">
        <v>-1757.65</v>
      </c>
      <c r="E25" s="704">
        <v>33591.230000000003</v>
      </c>
      <c r="F25" s="158">
        <v>17969.609999999993</v>
      </c>
      <c r="G25" s="145"/>
      <c r="H25" s="189">
        <v>51560.84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04">
        <v>55258.84</v>
      </c>
      <c r="D26" s="704">
        <v>-1825.42</v>
      </c>
      <c r="E26" s="704">
        <v>34895.56</v>
      </c>
      <c r="F26" s="158">
        <v>18537.86</v>
      </c>
      <c r="G26" s="145"/>
      <c r="H26" s="189">
        <v>53433.42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05"/>
      <c r="D27" s="338"/>
      <c r="E27" s="705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06"/>
      <c r="D28" s="373"/>
      <c r="E28" s="706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606317.84</v>
      </c>
      <c r="D30" s="166">
        <v>5234.1899999999987</v>
      </c>
      <c r="E30" s="166">
        <v>355418.6</v>
      </c>
      <c r="F30" s="166">
        <v>256133.43000000005</v>
      </c>
      <c r="G30" s="166">
        <v>514191.77</v>
      </c>
      <c r="H30" s="193">
        <v>97360.260000000053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16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K40" sqref="K40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7.85546875" style="3" customWidth="1"/>
    <col min="5" max="5" width="18.42578125" style="3" customWidth="1"/>
    <col min="6" max="6" width="21.5703125" customWidth="1"/>
    <col min="7" max="7" width="16.7109375" customWidth="1"/>
    <col min="8" max="8" width="18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226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2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227</v>
      </c>
      <c r="B6" s="108"/>
      <c r="C6" s="108">
        <v>179.9</v>
      </c>
      <c r="D6" s="109">
        <v>12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179.9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4.5" customHeight="1" x14ac:dyDescent="0.25">
      <c r="A11" s="966" t="s">
        <v>7</v>
      </c>
      <c r="B11" s="967"/>
      <c r="C11" s="967"/>
      <c r="D11" s="123">
        <v>7.94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37">
        <v>6257.49</v>
      </c>
      <c r="D18" s="738">
        <v>1714.24</v>
      </c>
      <c r="E18" s="738">
        <v>3259.32</v>
      </c>
      <c r="F18" s="321">
        <v>4712.41</v>
      </c>
      <c r="G18" s="141">
        <v>7971.73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/>
      <c r="D19" s="335"/>
      <c r="E19" s="702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720.14</v>
      </c>
      <c r="D22" s="153">
        <v>437.46</v>
      </c>
      <c r="E22" s="153">
        <v>1146.0999999999999</v>
      </c>
      <c r="F22" s="153">
        <v>11.5</v>
      </c>
      <c r="G22" s="153">
        <v>0</v>
      </c>
      <c r="H22" s="191">
        <v>1157.5999999999999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03"/>
      <c r="D23" s="366"/>
      <c r="E23" s="703"/>
      <c r="F23" s="156">
        <v>0</v>
      </c>
      <c r="G23" s="333"/>
      <c r="H23" s="189">
        <v>0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39">
        <v>351.7</v>
      </c>
      <c r="D25" s="739">
        <v>262.01</v>
      </c>
      <c r="E25" s="739">
        <v>622.89</v>
      </c>
      <c r="F25" s="158">
        <v>-9.17999999999995</v>
      </c>
      <c r="G25" s="145"/>
      <c r="H25" s="189">
        <v>613.71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39">
        <v>368.44</v>
      </c>
      <c r="D26" s="739">
        <v>175.45</v>
      </c>
      <c r="E26" s="739">
        <v>523.21</v>
      </c>
      <c r="F26" s="158">
        <v>20.67999999999995</v>
      </c>
      <c r="G26" s="145"/>
      <c r="H26" s="189">
        <v>543.89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05"/>
      <c r="D27" s="338"/>
      <c r="E27" s="705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39">
        <v>968.74</v>
      </c>
      <c r="D28" s="739">
        <v>205</v>
      </c>
      <c r="E28" s="739">
        <v>783.58</v>
      </c>
      <c r="F28" s="158">
        <v>390.15999999999997</v>
      </c>
      <c r="G28" s="337">
        <v>626.86400000000003</v>
      </c>
      <c r="H28" s="189">
        <v>546.87599999999998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7946.37</v>
      </c>
      <c r="D30" s="166">
        <v>2356.6999999999998</v>
      </c>
      <c r="E30" s="166">
        <v>5189</v>
      </c>
      <c r="F30" s="166">
        <v>5114.07</v>
      </c>
      <c r="G30" s="166">
        <v>8598.5939999999991</v>
      </c>
      <c r="H30" s="193">
        <v>1704.4759999999999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182"/>
      <c r="E37" s="116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J35" sqref="J35"/>
    </sheetView>
  </sheetViews>
  <sheetFormatPr defaultRowHeight="15" x14ac:dyDescent="0.25"/>
  <cols>
    <col min="1" max="1" width="44.28515625" customWidth="1"/>
    <col min="2" max="2" width="16.5703125" style="3" customWidth="1"/>
    <col min="3" max="3" width="19.5703125" style="3" customWidth="1"/>
    <col min="4" max="4" width="18.28515625" style="3" customWidth="1"/>
    <col min="5" max="5" width="18.42578125" style="3" customWidth="1"/>
    <col min="6" max="6" width="19.85546875" customWidth="1"/>
    <col min="7" max="7" width="17" customWidth="1"/>
    <col min="8" max="8" width="18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228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229</v>
      </c>
      <c r="B6" s="108"/>
      <c r="C6" s="108">
        <v>2549.6</v>
      </c>
      <c r="D6" s="109">
        <v>77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2549.6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11.83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40">
        <v>206072.86</v>
      </c>
      <c r="D18" s="741">
        <v>-722.81</v>
      </c>
      <c r="E18" s="742">
        <v>127205.78</v>
      </c>
      <c r="F18" s="321">
        <v>78144.26999999999</v>
      </c>
      <c r="G18" s="141">
        <v>205350.05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/>
      <c r="D19" s="335"/>
      <c r="E19" s="702"/>
      <c r="F19" s="143">
        <v>0</v>
      </c>
      <c r="G19" s="323">
        <v>20214.849999999999</v>
      </c>
      <c r="H19" s="189">
        <v>-20214.849999999999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9">
        <v>0</v>
      </c>
      <c r="G20" s="326">
        <v>11450</v>
      </c>
      <c r="H20" s="189">
        <v>-11450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702776.23</v>
      </c>
      <c r="D22" s="153">
        <v>-82223.28</v>
      </c>
      <c r="E22" s="153">
        <v>409352.79</v>
      </c>
      <c r="F22" s="153">
        <v>211200.15999999997</v>
      </c>
      <c r="G22" s="153">
        <v>252523.42</v>
      </c>
      <c r="H22" s="191">
        <v>368029.52999999997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40">
        <v>486011.42</v>
      </c>
      <c r="D23" s="741">
        <v>-0.63</v>
      </c>
      <c r="E23" s="743">
        <v>298395.44</v>
      </c>
      <c r="F23" s="156">
        <v>187615.34999999998</v>
      </c>
      <c r="G23" s="326">
        <v>130065.83</v>
      </c>
      <c r="H23" s="189">
        <v>355944.95999999996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130596.96</v>
      </c>
      <c r="D24" s="158">
        <v>-48075.22</v>
      </c>
      <c r="E24" s="158">
        <v>68932.05</v>
      </c>
      <c r="F24" s="158">
        <v>13589.690000000002</v>
      </c>
      <c r="G24" s="145">
        <v>119438.03</v>
      </c>
      <c r="H24" s="189">
        <v>-36916.289999999994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371">
        <v>30594.880000000001</v>
      </c>
      <c r="D25" s="371">
        <v>-12832.97</v>
      </c>
      <c r="E25" s="371">
        <v>15845.47</v>
      </c>
      <c r="F25" s="158">
        <v>1916.4400000000041</v>
      </c>
      <c r="G25" s="145">
        <v>1319.92</v>
      </c>
      <c r="H25" s="189">
        <v>16441.990000000005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371">
        <v>55572.97</v>
      </c>
      <c r="D26" s="371">
        <v>-21314.46</v>
      </c>
      <c r="E26" s="371">
        <v>26179.83</v>
      </c>
      <c r="F26" s="158">
        <v>8078.68</v>
      </c>
      <c r="G26" s="145">
        <v>1699.64</v>
      </c>
      <c r="H26" s="189">
        <v>32558.870000000003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>
        <v>56657.52</v>
      </c>
      <c r="D27" s="371">
        <v>-24950.92</v>
      </c>
      <c r="E27" s="371">
        <v>27861.33</v>
      </c>
      <c r="F27" s="158">
        <v>3845.2699999999968</v>
      </c>
      <c r="G27" s="145">
        <v>46110.76</v>
      </c>
      <c r="H27" s="189">
        <v>-14404.160000000003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44"/>
      <c r="D28" s="555"/>
      <c r="E28" s="745"/>
      <c r="F28" s="155">
        <v>0</v>
      </c>
      <c r="G28" s="160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965506.61</v>
      </c>
      <c r="D30" s="166">
        <v>-107897.01</v>
      </c>
      <c r="E30" s="166">
        <v>564419.89999999991</v>
      </c>
      <c r="F30" s="166">
        <v>293189.69999999995</v>
      </c>
      <c r="G30" s="166">
        <v>535649.07999999996</v>
      </c>
      <c r="H30" s="193">
        <v>321960.52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268</v>
      </c>
      <c r="B37" s="180"/>
      <c r="C37" s="342">
        <v>20214.849999999999</v>
      </c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2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20214.849999999999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-20214.849999999999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9.28515625" style="3" customWidth="1"/>
    <col min="5" max="5" width="18.42578125" style="3" customWidth="1"/>
    <col min="6" max="6" width="19.5703125" customWidth="1"/>
    <col min="7" max="7" width="17.140625" customWidth="1"/>
    <col min="8" max="8" width="16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230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231</v>
      </c>
      <c r="B6" s="108"/>
      <c r="C6" s="108">
        <v>390.2</v>
      </c>
      <c r="D6" s="109">
        <v>28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390.2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12.87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517"/>
      <c r="G16" s="517"/>
      <c r="H16" s="517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52">
        <v>40175.040000000001</v>
      </c>
      <c r="D18" s="320"/>
      <c r="E18" s="752">
        <v>18629.689999999999</v>
      </c>
      <c r="F18" s="321">
        <v>21545.350000000002</v>
      </c>
      <c r="G18" s="141">
        <v>40175.040000000001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53"/>
      <c r="D19" s="320"/>
      <c r="E19" s="753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1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106180.6</v>
      </c>
      <c r="D22" s="153">
        <v>-1809.17</v>
      </c>
      <c r="E22" s="153">
        <v>46879.979999999996</v>
      </c>
      <c r="F22" s="153">
        <v>57491.450000000012</v>
      </c>
      <c r="G22" s="153">
        <v>89775.340000000011</v>
      </c>
      <c r="H22" s="191">
        <v>14596.089999999993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54">
        <v>106180.6</v>
      </c>
      <c r="D23" s="755">
        <v>-1809.17</v>
      </c>
      <c r="E23" s="752">
        <v>46503.839999999997</v>
      </c>
      <c r="F23" s="156">
        <v>57867.590000000011</v>
      </c>
      <c r="G23" s="326">
        <v>88184.390000000014</v>
      </c>
      <c r="H23" s="189">
        <v>16187.039999999994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43"/>
      <c r="D25" s="443"/>
      <c r="E25" s="743">
        <v>188.07</v>
      </c>
      <c r="F25" s="158">
        <v>-188.07</v>
      </c>
      <c r="G25" s="326">
        <v>1590.95</v>
      </c>
      <c r="H25" s="189">
        <v>-1590.95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43"/>
      <c r="D26" s="443"/>
      <c r="E26" s="743">
        <v>188.07</v>
      </c>
      <c r="F26" s="158">
        <v>-188.07</v>
      </c>
      <c r="G26" s="145"/>
      <c r="H26" s="189">
        <v>0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43"/>
      <c r="D27" s="338"/>
      <c r="E27" s="743"/>
      <c r="F27" s="158">
        <v>0</v>
      </c>
      <c r="G27" s="326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146355.64000000001</v>
      </c>
      <c r="D30" s="166">
        <v>-1809.17</v>
      </c>
      <c r="E30" s="166">
        <v>65509.67</v>
      </c>
      <c r="F30" s="166">
        <v>79036.800000000017</v>
      </c>
      <c r="G30" s="166">
        <v>129950.38</v>
      </c>
      <c r="H30" s="193">
        <v>14596.089999999993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4.42578125" customWidth="1"/>
    <col min="2" max="2" width="16.5703125" style="3" customWidth="1"/>
    <col min="3" max="3" width="19.5703125" style="3" customWidth="1"/>
    <col min="4" max="4" width="18.140625" style="3" customWidth="1"/>
    <col min="5" max="5" width="18.42578125" style="3" customWidth="1"/>
    <col min="6" max="6" width="21.42578125" customWidth="1"/>
    <col min="7" max="7" width="17.140625" customWidth="1"/>
    <col min="8" max="8" width="17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232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233</v>
      </c>
      <c r="B6" s="108"/>
      <c r="C6" s="108">
        <v>200.7</v>
      </c>
      <c r="D6" s="109">
        <v>17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200.7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4.5" customHeight="1" x14ac:dyDescent="0.25">
      <c r="A11" s="966" t="s">
        <v>7</v>
      </c>
      <c r="B11" s="967"/>
      <c r="C11" s="967"/>
      <c r="D11" s="123">
        <v>15.8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49">
        <v>27255</v>
      </c>
      <c r="D18" s="750">
        <v>-1572.1</v>
      </c>
      <c r="E18" s="750">
        <v>18735.61</v>
      </c>
      <c r="F18" s="321">
        <v>6947.2900000000009</v>
      </c>
      <c r="G18" s="141">
        <v>25682.9</v>
      </c>
      <c r="H18" s="141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/>
      <c r="D19" s="335"/>
      <c r="E19" s="702"/>
      <c r="F19" s="143">
        <v>0</v>
      </c>
      <c r="G19" s="323">
        <v>0</v>
      </c>
      <c r="H19" s="141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41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48"/>
      <c r="E21" s="349"/>
      <c r="F21" s="149">
        <v>0</v>
      </c>
      <c r="G21" s="350"/>
      <c r="H21" s="141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72605.290000000008</v>
      </c>
      <c r="D22" s="153">
        <v>-4782.3999999999996</v>
      </c>
      <c r="E22" s="153">
        <v>51430.06</v>
      </c>
      <c r="F22" s="153">
        <v>16392.830000000002</v>
      </c>
      <c r="G22" s="153">
        <v>73716.170000000013</v>
      </c>
      <c r="H22" s="153">
        <v>-5893.28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49">
        <v>59528.33</v>
      </c>
      <c r="D23" s="750">
        <v>-4782.3999999999996</v>
      </c>
      <c r="E23" s="751">
        <v>41097.75</v>
      </c>
      <c r="F23" s="156">
        <v>13648.18</v>
      </c>
      <c r="G23" s="326">
        <v>65532.07</v>
      </c>
      <c r="H23" s="141">
        <v>-10786.14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41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51">
        <v>6449</v>
      </c>
      <c r="D25" s="443"/>
      <c r="E25" s="751">
        <v>5120.9799999999996</v>
      </c>
      <c r="F25" s="158">
        <v>1328.0200000000004</v>
      </c>
      <c r="G25" s="145">
        <v>3044.03</v>
      </c>
      <c r="H25" s="141">
        <v>3404.97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/>
      <c r="C26" s="751">
        <v>6627.96</v>
      </c>
      <c r="D26" s="443"/>
      <c r="E26" s="751">
        <v>5211.33</v>
      </c>
      <c r="F26" s="158">
        <v>1416.63</v>
      </c>
      <c r="G26" s="145">
        <v>5140.07</v>
      </c>
      <c r="H26" s="141">
        <v>1487.8900000000003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43"/>
      <c r="D27" s="338"/>
      <c r="E27" s="743"/>
      <c r="F27" s="158">
        <v>0</v>
      </c>
      <c r="G27" s="145"/>
      <c r="H27" s="141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41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99860.290000000008</v>
      </c>
      <c r="D30" s="166">
        <v>-6354.5</v>
      </c>
      <c r="E30" s="166">
        <v>70165.67</v>
      </c>
      <c r="F30" s="166">
        <v>23340.120000000003</v>
      </c>
      <c r="G30" s="166">
        <v>99399.07</v>
      </c>
      <c r="H30" s="166">
        <v>-5893.28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L35" sqref="L35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21.42578125" style="3" customWidth="1"/>
    <col min="5" max="5" width="21.28515625" style="3" customWidth="1"/>
    <col min="6" max="6" width="20.140625" customWidth="1"/>
    <col min="7" max="7" width="17.7109375" customWidth="1"/>
    <col min="8" max="8" width="18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234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9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235</v>
      </c>
      <c r="B6" s="108"/>
      <c r="C6" s="108">
        <v>607.20000000000005</v>
      </c>
      <c r="D6" s="109">
        <v>54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607.20000000000005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10.26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46">
        <v>27885.24</v>
      </c>
      <c r="D18" s="747">
        <v>26050.36</v>
      </c>
      <c r="E18" s="747">
        <v>18540.93</v>
      </c>
      <c r="F18" s="321">
        <v>35394.670000000006</v>
      </c>
      <c r="G18" s="141">
        <v>53935.600000000006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02"/>
      <c r="D19" s="335"/>
      <c r="E19" s="702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93889.500000000015</v>
      </c>
      <c r="D22" s="153">
        <v>90633.66</v>
      </c>
      <c r="E22" s="153">
        <v>67630.39</v>
      </c>
      <c r="F22" s="153">
        <v>116892.77</v>
      </c>
      <c r="G22" s="153">
        <v>150435.51999999999</v>
      </c>
      <c r="H22" s="191">
        <v>34087.640000000021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46">
        <v>80864.740000000005</v>
      </c>
      <c r="D23" s="747">
        <v>78201.36</v>
      </c>
      <c r="E23" s="370">
        <v>55183.01</v>
      </c>
      <c r="F23" s="156">
        <v>103883.09</v>
      </c>
      <c r="G23" s="326">
        <v>141069.41999999998</v>
      </c>
      <c r="H23" s="189">
        <v>17996.680000000022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48">
        <v>6289.27</v>
      </c>
      <c r="D25" s="748">
        <v>5984.21</v>
      </c>
      <c r="E25" s="748">
        <v>6110.63</v>
      </c>
      <c r="F25" s="158">
        <v>6162.8499999999995</v>
      </c>
      <c r="G25" s="145">
        <v>9366.1</v>
      </c>
      <c r="H25" s="189">
        <v>2907.3799999999992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48">
        <v>6735.49</v>
      </c>
      <c r="D26" s="748">
        <v>6448.09</v>
      </c>
      <c r="E26" s="748">
        <v>6336.75</v>
      </c>
      <c r="F26" s="158">
        <v>6846.83</v>
      </c>
      <c r="G26" s="145"/>
      <c r="H26" s="189">
        <v>13183.58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121774.74000000002</v>
      </c>
      <c r="D30" s="166">
        <v>116684.02</v>
      </c>
      <c r="E30" s="166">
        <v>86171.32</v>
      </c>
      <c r="F30" s="166">
        <v>152287.44</v>
      </c>
      <c r="G30" s="166">
        <v>204371.12</v>
      </c>
      <c r="H30" s="193">
        <v>34087.640000000021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x14ac:dyDescent="0.25">
      <c r="A46" s="31" t="s">
        <v>53</v>
      </c>
      <c r="B46" s="28" t="s">
        <v>54</v>
      </c>
      <c r="C46" s="36"/>
      <c r="D46" s="16"/>
      <c r="E46" s="17"/>
      <c r="F46" s="18"/>
      <c r="G46" s="15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49" orientation="portrait" r:id="rId1"/>
  <colBreaks count="1" manualBreakCount="1">
    <brk id="8" max="67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5" sqref="J45"/>
    </sheetView>
  </sheetViews>
  <sheetFormatPr defaultRowHeight="15" x14ac:dyDescent="0.25"/>
  <cols>
    <col min="1" max="1" width="43.57031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20.85546875" customWidth="1"/>
    <col min="7" max="7" width="17.425781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236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237</v>
      </c>
      <c r="B6" s="108"/>
      <c r="C6" s="108">
        <v>169.4</v>
      </c>
      <c r="D6" s="109">
        <v>19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169.4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12.07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56">
        <v>14672.32</v>
      </c>
      <c r="D18" s="320"/>
      <c r="E18" s="756">
        <v>5621.37</v>
      </c>
      <c r="F18" s="321">
        <v>9050.9500000000007</v>
      </c>
      <c r="G18" s="141">
        <v>14672.32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53"/>
      <c r="D19" s="320"/>
      <c r="E19" s="753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441"/>
      <c r="D20" s="146"/>
      <c r="E20" s="441"/>
      <c r="F20" s="149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44509.78</v>
      </c>
      <c r="D22" s="153">
        <v>0</v>
      </c>
      <c r="E22" s="153">
        <v>16546.52</v>
      </c>
      <c r="F22" s="153">
        <v>27963.259999999995</v>
      </c>
      <c r="G22" s="153">
        <v>35650.18</v>
      </c>
      <c r="H22" s="191">
        <v>8859.6000000000022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56">
        <v>33777.54</v>
      </c>
      <c r="D23" s="366"/>
      <c r="E23" s="756">
        <v>12787.12</v>
      </c>
      <c r="F23" s="156">
        <v>20990.42</v>
      </c>
      <c r="G23" s="326">
        <v>26113.17</v>
      </c>
      <c r="H23" s="189">
        <v>7664.3700000000026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58"/>
      <c r="E24" s="158"/>
      <c r="F24" s="158">
        <v>0</v>
      </c>
      <c r="G24" s="145"/>
      <c r="H24" s="189">
        <v>0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56">
        <v>5273.92</v>
      </c>
      <c r="D25" s="443"/>
      <c r="E25" s="756">
        <v>1870.25</v>
      </c>
      <c r="F25" s="158">
        <v>3403.67</v>
      </c>
      <c r="G25" s="326">
        <v>3500.61</v>
      </c>
      <c r="H25" s="189">
        <v>1773.31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56">
        <v>5458.32</v>
      </c>
      <c r="D26" s="443"/>
      <c r="E26" s="756">
        <v>1889.15</v>
      </c>
      <c r="F26" s="158">
        <v>3569.1699999999996</v>
      </c>
      <c r="G26" s="145">
        <v>6036.4</v>
      </c>
      <c r="H26" s="189">
        <v>-578.07999999999993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43"/>
      <c r="D27" s="338"/>
      <c r="E27" s="743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59182.1</v>
      </c>
      <c r="D30" s="166">
        <v>0</v>
      </c>
      <c r="E30" s="166">
        <v>22167.89</v>
      </c>
      <c r="F30" s="166">
        <v>37014.209999999992</v>
      </c>
      <c r="G30" s="166">
        <v>50322.5</v>
      </c>
      <c r="H30" s="193">
        <v>8859.6000000000022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topLeftCell="A4" zoomScale="60" zoomScaleNormal="75" workbookViewId="0">
      <selection activeCell="E47" sqref="E47"/>
    </sheetView>
  </sheetViews>
  <sheetFormatPr defaultRowHeight="15" x14ac:dyDescent="0.25"/>
  <cols>
    <col min="1" max="1" width="44.42578125" customWidth="1"/>
    <col min="2" max="2" width="16.5703125" style="3" customWidth="1"/>
    <col min="3" max="3" width="19.5703125" style="3" customWidth="1"/>
    <col min="4" max="4" width="18.85546875" style="3" customWidth="1"/>
    <col min="5" max="5" width="18.42578125" style="3" customWidth="1"/>
    <col min="6" max="6" width="19.42578125" customWidth="1"/>
    <col min="7" max="7" width="17.140625" customWidth="1"/>
    <col min="8" max="8" width="17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238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239</v>
      </c>
      <c r="B6" s="108"/>
      <c r="C6" s="108">
        <v>2575</v>
      </c>
      <c r="D6" s="109">
        <v>73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2575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41.25" customHeight="1" x14ac:dyDescent="0.25">
      <c r="A11" s="966" t="s">
        <v>7</v>
      </c>
      <c r="B11" s="967"/>
      <c r="C11" s="967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57">
        <v>202866</v>
      </c>
      <c r="D18" s="758">
        <v>9622.7999999999993</v>
      </c>
      <c r="E18" s="758">
        <v>148162.07999999999</v>
      </c>
      <c r="F18" s="321">
        <v>64326.720000000001</v>
      </c>
      <c r="G18" s="378">
        <v>212488.8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59">
        <v>50716.5</v>
      </c>
      <c r="D19" s="759">
        <v>2405.6999999999998</v>
      </c>
      <c r="E19" s="759">
        <v>40461.019999999997</v>
      </c>
      <c r="F19" s="143">
        <v>12661.18</v>
      </c>
      <c r="G19" s="323">
        <v>60124.020000000004</v>
      </c>
      <c r="H19" s="189">
        <v>-7001.820000000007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145">
        <v>8250</v>
      </c>
      <c r="H20" s="189">
        <v>-8250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725709.65</v>
      </c>
      <c r="D22" s="153">
        <v>-40140.160000000003</v>
      </c>
      <c r="E22" s="153">
        <v>529997.99</v>
      </c>
      <c r="F22" s="153">
        <v>155571.50000000003</v>
      </c>
      <c r="G22" s="153">
        <v>540807.44999999995</v>
      </c>
      <c r="H22" s="191">
        <v>144762.04000000004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57">
        <v>469314.4</v>
      </c>
      <c r="D23" s="758">
        <v>3440.03</v>
      </c>
      <c r="E23" s="760">
        <v>341076.59</v>
      </c>
      <c r="F23" s="156">
        <v>131677.84000000003</v>
      </c>
      <c r="G23" s="326">
        <v>196526.44</v>
      </c>
      <c r="H23" s="189">
        <v>276227.99000000005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157257.24</v>
      </c>
      <c r="D24" s="158">
        <v>-27258.489999999998</v>
      </c>
      <c r="E24" s="158">
        <v>113749.55</v>
      </c>
      <c r="F24" s="158">
        <v>16249.199999999997</v>
      </c>
      <c r="G24" s="145">
        <v>344281.01</v>
      </c>
      <c r="H24" s="189">
        <v>-214282.26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59">
        <v>36977.300000000003</v>
      </c>
      <c r="D25" s="759">
        <v>-6208.36</v>
      </c>
      <c r="E25" s="759">
        <v>29490.5</v>
      </c>
      <c r="F25" s="158">
        <v>1278.4400000000023</v>
      </c>
      <c r="G25" s="145"/>
      <c r="H25" s="189">
        <v>30768.940000000002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59">
        <v>62160.71</v>
      </c>
      <c r="D26" s="759">
        <v>-10113.34</v>
      </c>
      <c r="E26" s="759">
        <v>45681.35</v>
      </c>
      <c r="F26" s="158">
        <v>6366.0199999999968</v>
      </c>
      <c r="G26" s="145"/>
      <c r="H26" s="189">
        <v>52047.369999999995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979292.15</v>
      </c>
      <c r="D30" s="166">
        <v>-28111.660000000003</v>
      </c>
      <c r="E30" s="166">
        <v>718621.09</v>
      </c>
      <c r="F30" s="166">
        <v>232559.40000000002</v>
      </c>
      <c r="G30" s="166">
        <v>821670.27</v>
      </c>
      <c r="H30" s="193">
        <v>129510.22000000003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97</v>
      </c>
      <c r="B37" s="359"/>
      <c r="C37" s="181">
        <v>35649.019999999997</v>
      </c>
      <c r="D37" s="761"/>
      <c r="E37" s="182"/>
      <c r="F37" s="172"/>
      <c r="G37" s="100"/>
      <c r="H37" s="100"/>
    </row>
    <row r="38" spans="1:8" ht="15.75" x14ac:dyDescent="0.25">
      <c r="A38" s="179" t="s">
        <v>269</v>
      </c>
      <c r="B38" s="180"/>
      <c r="C38" s="342">
        <f>22250*1.1</f>
        <v>24475.000000000004</v>
      </c>
      <c r="D38" s="182"/>
      <c r="E38" s="122"/>
      <c r="F38" s="172"/>
      <c r="G38" s="100"/>
      <c r="H38" s="100"/>
    </row>
    <row r="39" spans="1:8" ht="15.75" x14ac:dyDescent="0.25">
      <c r="A39" s="179"/>
      <c r="B39" s="180"/>
      <c r="C39" s="342"/>
      <c r="D39" s="182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60124.020000000004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-19663.000000000007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A17" sqref="A17:H30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9" style="3" customWidth="1"/>
    <col min="5" max="5" width="21.7109375" style="3" customWidth="1"/>
    <col min="6" max="6" width="21.5703125" customWidth="1"/>
    <col min="7" max="7" width="17" customWidth="1"/>
    <col min="8" max="8" width="18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240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241</v>
      </c>
      <c r="B6" s="108"/>
      <c r="C6" s="108">
        <v>645.79999999999995</v>
      </c>
      <c r="D6" s="109">
        <v>35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645.79999999999995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13.75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62">
        <v>35240.89</v>
      </c>
      <c r="D18" s="763">
        <v>26651.7</v>
      </c>
      <c r="E18" s="763">
        <v>27505.83</v>
      </c>
      <c r="F18" s="321">
        <v>34386.759999999995</v>
      </c>
      <c r="G18" s="141">
        <v>61892.59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59"/>
      <c r="D19" s="335"/>
      <c r="E19" s="759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125009.15000000001</v>
      </c>
      <c r="D22" s="153">
        <v>100892.42</v>
      </c>
      <c r="E22" s="153">
        <v>85337.35</v>
      </c>
      <c r="F22" s="153">
        <v>140564.22</v>
      </c>
      <c r="G22" s="153">
        <v>179481.84</v>
      </c>
      <c r="H22" s="191">
        <v>46419.729999999996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62">
        <v>73840.61</v>
      </c>
      <c r="D23" s="763">
        <v>54420.92</v>
      </c>
      <c r="E23" s="764">
        <v>51548.83</v>
      </c>
      <c r="F23" s="156">
        <v>76712.7</v>
      </c>
      <c r="G23" s="326">
        <v>115392.52</v>
      </c>
      <c r="H23" s="189">
        <v>12869.009999999995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28822.09</v>
      </c>
      <c r="D24" s="158">
        <v>38244.720000000001</v>
      </c>
      <c r="E24" s="158">
        <v>22625.600000000002</v>
      </c>
      <c r="F24" s="158">
        <v>44441.209999999992</v>
      </c>
      <c r="G24" s="145">
        <v>64089.32</v>
      </c>
      <c r="H24" s="189">
        <v>2977.489999999998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65">
        <v>8332.85</v>
      </c>
      <c r="D25" s="765">
        <v>1083.95</v>
      </c>
      <c r="E25" s="765">
        <v>3676.39</v>
      </c>
      <c r="F25" s="158">
        <v>5740.4100000000017</v>
      </c>
      <c r="G25" s="326"/>
      <c r="H25" s="189">
        <v>9416.8000000000011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65">
        <v>14013.6</v>
      </c>
      <c r="D26" s="765">
        <v>7142.83</v>
      </c>
      <c r="E26" s="765">
        <v>7486.53</v>
      </c>
      <c r="F26" s="158">
        <v>13669.900000000001</v>
      </c>
      <c r="G26" s="145"/>
      <c r="H26" s="189">
        <v>21156.43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160250.04</v>
      </c>
      <c r="D30" s="166">
        <v>127544.12</v>
      </c>
      <c r="E30" s="166">
        <v>112843.18000000001</v>
      </c>
      <c r="F30" s="166">
        <v>174950.97999999998</v>
      </c>
      <c r="G30" s="166">
        <v>241374.43</v>
      </c>
      <c r="H30" s="193">
        <v>46419.729999999996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49" orientation="portrait" r:id="rId1"/>
  <colBreaks count="1" manualBreakCount="1">
    <brk id="8" max="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1"/>
  <sheetViews>
    <sheetView view="pageBreakPreview" zoomScale="60" workbookViewId="0">
      <selection activeCell="K43" sqref="K43"/>
    </sheetView>
  </sheetViews>
  <sheetFormatPr defaultRowHeight="15" x14ac:dyDescent="0.25"/>
  <cols>
    <col min="1" max="1" width="45.42578125" customWidth="1"/>
    <col min="2" max="2" width="16.5703125" style="3" customWidth="1"/>
    <col min="3" max="3" width="19.5703125" style="3" customWidth="1"/>
    <col min="4" max="4" width="16.42578125" style="3" customWidth="1"/>
    <col min="5" max="5" width="17.28515625" style="3" customWidth="1"/>
    <col min="6" max="6" width="16.28515625" customWidth="1"/>
    <col min="7" max="7" width="17.42578125" customWidth="1"/>
    <col min="8" max="8" width="17.28515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95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9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52</v>
      </c>
      <c r="B6" s="108"/>
      <c r="C6" s="109">
        <v>661.34</v>
      </c>
      <c r="D6" s="346">
        <v>26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1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661.34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12.44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51"/>
      <c r="L17" s="54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487">
        <v>25621.26999999999</v>
      </c>
      <c r="C18" s="349">
        <v>98724.6</v>
      </c>
      <c r="D18" s="349">
        <v>0</v>
      </c>
      <c r="E18" s="834">
        <v>85485.533782359227</v>
      </c>
      <c r="F18" s="321">
        <v>38860.336217640768</v>
      </c>
      <c r="G18" s="141">
        <v>98724.6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349">
        <v>0</v>
      </c>
      <c r="D19" s="835">
        <v>0</v>
      </c>
      <c r="E19" s="834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6.5" thickBot="1" x14ac:dyDescent="0.3">
      <c r="A20" s="144" t="s">
        <v>15</v>
      </c>
      <c r="B20" s="327"/>
      <c r="C20" s="348">
        <v>0</v>
      </c>
      <c r="D20" s="836">
        <v>0</v>
      </c>
      <c r="E20" s="834"/>
      <c r="F20" s="327">
        <v>0</v>
      </c>
      <c r="G20" s="837">
        <v>0</v>
      </c>
      <c r="H20" s="189">
        <v>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51" t="s">
        <v>16</v>
      </c>
      <c r="B21" s="152">
        <v>90325.200000000026</v>
      </c>
      <c r="C21" s="153">
        <v>339714.21</v>
      </c>
      <c r="D21" s="153">
        <v>-4627.5</v>
      </c>
      <c r="E21" s="153">
        <v>281177.50192364701</v>
      </c>
      <c r="F21" s="153">
        <v>144234.40807635299</v>
      </c>
      <c r="G21" s="153">
        <v>351319.98000000004</v>
      </c>
      <c r="H21" s="191">
        <v>-16233.269999999986</v>
      </c>
      <c r="M21" s="20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x14ac:dyDescent="0.25">
      <c r="A22" s="154" t="s">
        <v>17</v>
      </c>
      <c r="B22" s="155">
        <v>54677.73000000001</v>
      </c>
      <c r="C22" s="349">
        <v>213470.74</v>
      </c>
      <c r="D22" s="838">
        <v>1736.29</v>
      </c>
      <c r="E22" s="834">
        <v>185604.79279590319</v>
      </c>
      <c r="F22" s="155">
        <v>84279.967204096756</v>
      </c>
      <c r="G22" s="839">
        <v>110705.13</v>
      </c>
      <c r="H22" s="189">
        <v>104501.9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7" t="s">
        <v>18</v>
      </c>
      <c r="B23" s="158">
        <v>21640.740000000005</v>
      </c>
      <c r="C23" s="158">
        <v>78473.94</v>
      </c>
      <c r="D23" s="158">
        <v>-3962.04</v>
      </c>
      <c r="E23" s="334">
        <v>59499.515658549455</v>
      </c>
      <c r="F23" s="158">
        <v>36653.124341450559</v>
      </c>
      <c r="G23" s="145">
        <v>192648.27</v>
      </c>
      <c r="H23" s="189">
        <v>-118136.36999999998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19</v>
      </c>
      <c r="B24" s="158">
        <v>4985.9599999999991</v>
      </c>
      <c r="C24" s="349">
        <v>17904.439999999999</v>
      </c>
      <c r="D24" s="835">
        <v>-879</v>
      </c>
      <c r="E24" s="840">
        <v>13795.683944279581</v>
      </c>
      <c r="F24" s="158">
        <v>8215.716055720417</v>
      </c>
      <c r="G24" s="841">
        <v>17698.12</v>
      </c>
      <c r="H24" s="189">
        <v>-672.68000000000029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20</v>
      </c>
      <c r="B25" s="158">
        <v>9020.77</v>
      </c>
      <c r="C25" s="349">
        <v>29865.09</v>
      </c>
      <c r="D25" s="840">
        <v>-1522.75</v>
      </c>
      <c r="E25" s="840">
        <v>22277.509524914753</v>
      </c>
      <c r="F25" s="158">
        <v>15085.600475085248</v>
      </c>
      <c r="G25" s="841">
        <v>30268.46</v>
      </c>
      <c r="H25" s="189">
        <v>-1926.119999999999</v>
      </c>
      <c r="K25" s="52"/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42" t="s">
        <v>31</v>
      </c>
      <c r="B26" s="337"/>
      <c r="C26" s="842"/>
      <c r="D26" s="840"/>
      <c r="E26" s="840">
        <v>1079.0899999999999</v>
      </c>
      <c r="F26" s="158">
        <v>-1079.0899999999999</v>
      </c>
      <c r="G26" s="843">
        <v>369.6</v>
      </c>
      <c r="H26" s="189">
        <v>-369.6</v>
      </c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21</v>
      </c>
      <c r="B27" s="143"/>
      <c r="C27" s="840">
        <v>4404.24</v>
      </c>
      <c r="D27" s="840"/>
      <c r="E27" s="844">
        <v>778.67429399377488</v>
      </c>
      <c r="F27" s="158">
        <v>3625.5657060062249</v>
      </c>
      <c r="G27" s="337">
        <v>622.93943519501988</v>
      </c>
      <c r="H27" s="189">
        <v>3781.3005648049798</v>
      </c>
      <c r="K27" s="8"/>
      <c r="L27" s="3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6.5" hidden="1" thickBot="1" x14ac:dyDescent="0.3">
      <c r="A28" s="113" t="s">
        <v>22</v>
      </c>
      <c r="B28" s="161">
        <v>0</v>
      </c>
      <c r="C28" s="161"/>
      <c r="D28" s="161"/>
      <c r="E28" s="161"/>
      <c r="F28" s="162">
        <v>0</v>
      </c>
      <c r="G28" s="163"/>
      <c r="H28" s="164"/>
      <c r="K28" s="3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thickBot="1" x14ac:dyDescent="0.3">
      <c r="A29" s="165" t="s">
        <v>23</v>
      </c>
      <c r="B29" s="166">
        <v>115946.47000000002</v>
      </c>
      <c r="C29" s="166">
        <v>442843.05000000005</v>
      </c>
      <c r="D29" s="166">
        <v>-4627.5</v>
      </c>
      <c r="E29" s="166">
        <v>368520.80000000005</v>
      </c>
      <c r="F29" s="166">
        <v>185641.21999999997</v>
      </c>
      <c r="G29" s="166">
        <v>451037.11943519505</v>
      </c>
      <c r="H29" s="193">
        <v>-12821.569435195004</v>
      </c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x14ac:dyDescent="0.25">
      <c r="A30" s="167"/>
      <c r="B30" s="168"/>
      <c r="C30" s="122"/>
      <c r="D30" s="122"/>
      <c r="E30" s="122"/>
      <c r="F30" s="99"/>
      <c r="G30" s="169"/>
      <c r="H30" s="169"/>
      <c r="I30" s="15"/>
      <c r="J30" s="15"/>
      <c r="K30" s="3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70"/>
      <c r="E31" s="122"/>
      <c r="F31" s="128"/>
      <c r="G31" s="171"/>
      <c r="H31" s="171"/>
      <c r="I31" s="27"/>
      <c r="J31" s="15"/>
    </row>
    <row r="32" spans="1:22" ht="15.75" x14ac:dyDescent="0.25">
      <c r="A32" s="167"/>
      <c r="B32" s="98"/>
      <c r="C32" s="122"/>
      <c r="D32" s="122"/>
      <c r="E32" s="122"/>
      <c r="F32" s="172"/>
      <c r="G32" s="100"/>
      <c r="H32" s="100"/>
    </row>
    <row r="33" spans="1:8" ht="16.5" thickBot="1" x14ac:dyDescent="0.3">
      <c r="A33" s="167" t="s">
        <v>272</v>
      </c>
      <c r="B33" s="172"/>
      <c r="C33" s="172"/>
      <c r="D33" s="122"/>
      <c r="E33" s="122"/>
      <c r="F33" s="172"/>
      <c r="G33" s="100"/>
      <c r="H33" s="100"/>
    </row>
    <row r="34" spans="1:8" ht="79.5" thickBot="1" x14ac:dyDescent="0.3">
      <c r="A34" s="845" t="s">
        <v>33</v>
      </c>
      <c r="B34" s="846" t="s">
        <v>25</v>
      </c>
      <c r="C34" s="847" t="s">
        <v>29</v>
      </c>
      <c r="D34" s="122"/>
      <c r="E34" s="122"/>
      <c r="F34" s="172"/>
      <c r="G34" s="100"/>
      <c r="H34" s="100"/>
    </row>
    <row r="35" spans="1:8" ht="15.75" x14ac:dyDescent="0.25">
      <c r="A35" s="848" t="s">
        <v>26</v>
      </c>
      <c r="B35" s="849" t="s">
        <v>24</v>
      </c>
      <c r="C35" s="850" t="s">
        <v>24</v>
      </c>
      <c r="D35" s="122"/>
      <c r="E35" s="122"/>
      <c r="F35" s="172"/>
      <c r="G35" s="100"/>
      <c r="H35" s="100"/>
    </row>
    <row r="36" spans="1:8" ht="15.75" x14ac:dyDescent="0.25">
      <c r="A36" s="314"/>
      <c r="B36" s="341"/>
      <c r="C36" s="851"/>
      <c r="D36" s="122"/>
      <c r="E36" s="122"/>
      <c r="F36" s="172"/>
      <c r="G36" s="100"/>
      <c r="H36" s="100"/>
    </row>
    <row r="37" spans="1:8" ht="16.5" thickBot="1" x14ac:dyDescent="0.3">
      <c r="A37" s="113" t="s">
        <v>5</v>
      </c>
      <c r="B37" s="114">
        <f>B36</f>
        <v>0</v>
      </c>
      <c r="C37" s="852">
        <f>SUM(C36:C36)</f>
        <v>0</v>
      </c>
      <c r="D37" s="116"/>
      <c r="E37" s="116"/>
      <c r="F37" s="116"/>
      <c r="G37" s="169"/>
      <c r="H37" s="100"/>
    </row>
    <row r="38" spans="1:8" ht="15.75" x14ac:dyDescent="0.25">
      <c r="A38" s="92"/>
      <c r="B38" s="93"/>
      <c r="C38" s="94"/>
      <c r="D38" s="184"/>
      <c r="E38" s="185"/>
      <c r="F38" s="186"/>
      <c r="G38" s="169"/>
      <c r="H38" s="100"/>
    </row>
    <row r="39" spans="1:8" ht="15.75" x14ac:dyDescent="0.25">
      <c r="A39" s="92" t="s">
        <v>118</v>
      </c>
      <c r="B39" s="93">
        <v>0</v>
      </c>
      <c r="C39" s="201" t="s">
        <v>119</v>
      </c>
      <c r="D39" s="184"/>
      <c r="E39" s="185"/>
      <c r="F39" s="18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197" t="s">
        <v>69</v>
      </c>
      <c r="B41" s="40"/>
      <c r="C41" s="41"/>
      <c r="D41" s="184"/>
      <c r="E41" s="185"/>
      <c r="F41" s="186"/>
      <c r="G41" s="169"/>
      <c r="H41" s="100"/>
    </row>
    <row r="42" spans="1:8" ht="15.75" x14ac:dyDescent="0.25">
      <c r="A42" s="198"/>
      <c r="B42" s="40"/>
      <c r="C42" s="41"/>
      <c r="D42" s="184"/>
      <c r="E42" s="185"/>
      <c r="F42" s="186"/>
      <c r="G42" s="169"/>
      <c r="H42" s="100"/>
    </row>
    <row r="43" spans="1:8" ht="15.75" x14ac:dyDescent="0.25">
      <c r="A43" s="197" t="s">
        <v>53</v>
      </c>
      <c r="B43" s="40" t="s">
        <v>54</v>
      </c>
      <c r="C43" s="199"/>
      <c r="D43" s="184"/>
      <c r="E43" s="185"/>
      <c r="F43" s="186"/>
      <c r="G43" s="169"/>
      <c r="H43" s="100"/>
    </row>
    <row r="44" spans="1:8" x14ac:dyDescent="0.25">
      <c r="A44" s="31"/>
      <c r="B44" s="28"/>
      <c r="C44" s="36"/>
      <c r="D44" s="19"/>
      <c r="E44" s="17"/>
      <c r="F44" s="18"/>
      <c r="G44" s="15"/>
    </row>
    <row r="45" spans="1:8" x14ac:dyDescent="0.25">
      <c r="A45" s="37"/>
      <c r="B45" s="38"/>
      <c r="C45" s="36"/>
      <c r="D45" s="19"/>
      <c r="E45" s="17"/>
      <c r="F45" s="18"/>
      <c r="G45" s="15"/>
    </row>
    <row r="46" spans="1:8" ht="15.75" x14ac:dyDescent="0.25">
      <c r="A46" s="39" t="s">
        <v>27</v>
      </c>
      <c r="B46" s="40" t="s">
        <v>54</v>
      </c>
      <c r="C46" s="41"/>
      <c r="D46" s="42" t="s">
        <v>28</v>
      </c>
      <c r="E46" s="10"/>
    </row>
    <row r="47" spans="1:8" x14ac:dyDescent="0.25">
      <c r="A47" s="6"/>
      <c r="B47" s="7"/>
      <c r="C47" s="10"/>
      <c r="D47" s="35"/>
      <c r="E47" s="8"/>
    </row>
    <row r="48" spans="1:8" x14ac:dyDescent="0.25">
      <c r="A48" s="6"/>
      <c r="B48" s="7"/>
      <c r="C48" s="10"/>
      <c r="D48" s="34"/>
      <c r="E48" s="8"/>
    </row>
    <row r="49" spans="1:6" x14ac:dyDescent="0.25">
      <c r="A49" s="13"/>
      <c r="B49" s="14"/>
      <c r="C49" s="10"/>
      <c r="D49" s="29"/>
      <c r="E49" s="10"/>
    </row>
    <row r="50" spans="1:6" x14ac:dyDescent="0.25">
      <c r="E50" s="10"/>
    </row>
    <row r="51" spans="1:6" x14ac:dyDescent="0.25">
      <c r="A51" s="6"/>
      <c r="B51" s="7"/>
      <c r="C51" s="8"/>
      <c r="D51" s="11"/>
      <c r="E51" s="10"/>
    </row>
    <row r="52" spans="1:6" x14ac:dyDescent="0.25">
      <c r="A52" s="4"/>
      <c r="B52" s="5"/>
      <c r="C52" s="10"/>
      <c r="D52" s="11"/>
      <c r="E52" s="10"/>
      <c r="F52" s="12"/>
    </row>
    <row r="53" spans="1:6" x14ac:dyDescent="0.25">
      <c r="A53" s="6"/>
      <c r="B53" s="7"/>
      <c r="C53" s="10"/>
      <c r="D53" s="11"/>
      <c r="E53" s="10"/>
    </row>
    <row r="54" spans="1:6" x14ac:dyDescent="0.25">
      <c r="A54" s="6"/>
      <c r="B54" s="7"/>
      <c r="C54" s="7"/>
      <c r="D54" s="9"/>
      <c r="E54" s="10"/>
    </row>
    <row r="55" spans="1:6" x14ac:dyDescent="0.25">
      <c r="A55" s="6"/>
      <c r="B55" s="7"/>
      <c r="C55" s="7"/>
      <c r="D55" s="9"/>
      <c r="E55" s="10"/>
    </row>
    <row r="56" spans="1:6" x14ac:dyDescent="0.25">
      <c r="A56" s="6"/>
      <c r="B56" s="7"/>
      <c r="C56" s="7"/>
      <c r="D56" s="8"/>
      <c r="E56" s="8"/>
      <c r="F56" s="3"/>
    </row>
    <row r="57" spans="1:6" x14ac:dyDescent="0.25">
      <c r="A57" s="6"/>
      <c r="B57" s="7"/>
      <c r="D57" s="8"/>
      <c r="E57" s="10"/>
    </row>
    <row r="58" spans="1:6" x14ac:dyDescent="0.25">
      <c r="D58" s="8"/>
      <c r="E58" s="8"/>
    </row>
    <row r="59" spans="1:6" x14ac:dyDescent="0.25">
      <c r="D59" s="10"/>
      <c r="E59" s="10"/>
    </row>
    <row r="60" spans="1:6" x14ac:dyDescent="0.25">
      <c r="D60" s="10"/>
      <c r="E60" s="10"/>
    </row>
    <row r="61" spans="1:6" x14ac:dyDescent="0.25">
      <c r="D61" s="10"/>
      <c r="E61" s="10"/>
    </row>
    <row r="62" spans="1:6" x14ac:dyDescent="0.25">
      <c r="B62"/>
      <c r="C62"/>
      <c r="D62" s="10"/>
      <c r="E62" s="10"/>
    </row>
    <row r="63" spans="1:6" x14ac:dyDescent="0.25">
      <c r="B63"/>
      <c r="C63"/>
      <c r="D63" s="10"/>
      <c r="E63" s="10"/>
    </row>
    <row r="64" spans="1:6" x14ac:dyDescent="0.25">
      <c r="B64"/>
      <c r="C64"/>
      <c r="D64" s="10"/>
      <c r="E64" s="10"/>
    </row>
    <row r="65" spans="2:6" x14ac:dyDescent="0.25">
      <c r="B65"/>
      <c r="C65"/>
      <c r="D65" s="8"/>
      <c r="E65" s="8"/>
      <c r="F65" s="3"/>
    </row>
    <row r="66" spans="2:6" x14ac:dyDescent="0.25">
      <c r="B66"/>
      <c r="C66"/>
      <c r="D66" s="10"/>
      <c r="E66" s="10"/>
      <c r="F66" s="3"/>
    </row>
    <row r="67" spans="2:6" x14ac:dyDescent="0.25">
      <c r="D67" s="10"/>
      <c r="E67" s="10"/>
    </row>
    <row r="68" spans="2:6" x14ac:dyDescent="0.25">
      <c r="D68" s="7"/>
      <c r="E68" s="7"/>
    </row>
    <row r="69" spans="2:6" x14ac:dyDescent="0.25">
      <c r="B69"/>
      <c r="C69"/>
      <c r="D69" s="7"/>
      <c r="E69" s="7"/>
    </row>
    <row r="70" spans="2:6" x14ac:dyDescent="0.25">
      <c r="B70"/>
      <c r="C70"/>
      <c r="D70" s="7"/>
      <c r="E70" s="7"/>
    </row>
    <row r="71" spans="2:6" x14ac:dyDescent="0.25">
      <c r="B71"/>
      <c r="C71"/>
    </row>
    <row r="72" spans="2:6" x14ac:dyDescent="0.25">
      <c r="B72"/>
      <c r="C72"/>
    </row>
    <row r="73" spans="2:6" x14ac:dyDescent="0.25">
      <c r="B73"/>
      <c r="C73"/>
      <c r="D73"/>
      <c r="E73"/>
    </row>
    <row r="74" spans="2:6" x14ac:dyDescent="0.25">
      <c r="B74"/>
      <c r="C74"/>
      <c r="D74"/>
      <c r="E74"/>
    </row>
    <row r="75" spans="2:6" x14ac:dyDescent="0.25">
      <c r="B75"/>
      <c r="C75"/>
      <c r="D75"/>
      <c r="E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D82"/>
      <c r="E82"/>
    </row>
    <row r="83" spans="2:5" x14ac:dyDescent="0.25">
      <c r="D83"/>
      <c r="E83"/>
    </row>
    <row r="84" spans="2:5" x14ac:dyDescent="0.25"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</sheetData>
  <mergeCells count="1">
    <mergeCell ref="A11:C1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E36" sqref="E36"/>
    </sheetView>
  </sheetViews>
  <sheetFormatPr defaultRowHeight="15" x14ac:dyDescent="0.25"/>
  <cols>
    <col min="1" max="1" width="44.28515625" customWidth="1"/>
    <col min="2" max="2" width="16.5703125" style="3" customWidth="1"/>
    <col min="3" max="3" width="19.5703125" style="3" customWidth="1"/>
    <col min="4" max="4" width="19" style="3" customWidth="1"/>
    <col min="5" max="5" width="18.42578125" style="3" customWidth="1"/>
    <col min="6" max="6" width="19.85546875" customWidth="1"/>
    <col min="7" max="7" width="16.42578125" customWidth="1"/>
    <col min="8" max="8" width="16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242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243</v>
      </c>
      <c r="B6" s="108"/>
      <c r="C6" s="108">
        <v>678.9</v>
      </c>
      <c r="D6" s="109">
        <v>46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678.9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6" customHeight="1" x14ac:dyDescent="0.25">
      <c r="A11" s="966" t="s">
        <v>7</v>
      </c>
      <c r="B11" s="967"/>
      <c r="C11" s="967"/>
      <c r="D11" s="123">
        <v>13.65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66">
        <v>37038.46</v>
      </c>
      <c r="D18" s="767">
        <v>28004.400000000001</v>
      </c>
      <c r="E18" s="767">
        <v>18161.12</v>
      </c>
      <c r="F18" s="321">
        <v>46881.740000000005</v>
      </c>
      <c r="G18" s="141">
        <v>65042.86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59"/>
      <c r="D19" s="335"/>
      <c r="E19" s="759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326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142750.26</v>
      </c>
      <c r="D22" s="153">
        <v>120066.06999999999</v>
      </c>
      <c r="E22" s="153">
        <v>59389.810000000005</v>
      </c>
      <c r="F22" s="153">
        <v>203426.52000000002</v>
      </c>
      <c r="G22" s="153">
        <v>183330.02000000002</v>
      </c>
      <c r="H22" s="191">
        <v>79486.31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66">
        <v>74537.16</v>
      </c>
      <c r="D23" s="767">
        <v>56249.3</v>
      </c>
      <c r="E23" s="768">
        <v>33298.26</v>
      </c>
      <c r="F23" s="156">
        <v>97488.200000000012</v>
      </c>
      <c r="G23" s="326">
        <v>122655.3</v>
      </c>
      <c r="H23" s="189">
        <v>8131.1600000000035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38660.639999999999</v>
      </c>
      <c r="D24" s="158">
        <v>51279.78</v>
      </c>
      <c r="E24" s="158">
        <v>16005.82</v>
      </c>
      <c r="F24" s="158">
        <v>73934.600000000006</v>
      </c>
      <c r="G24" s="145">
        <v>60674.720000000001</v>
      </c>
      <c r="H24" s="189">
        <v>29265.699999999997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69">
        <v>10937.94</v>
      </c>
      <c r="D25" s="769">
        <v>2356.6799999999998</v>
      </c>
      <c r="E25" s="769">
        <v>3721.26</v>
      </c>
      <c r="F25" s="158">
        <v>9573.36</v>
      </c>
      <c r="G25" s="145"/>
      <c r="H25" s="189">
        <v>13294.62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69">
        <v>18614.52</v>
      </c>
      <c r="D26" s="769">
        <v>10180.31</v>
      </c>
      <c r="E26" s="769">
        <v>6364.47</v>
      </c>
      <c r="F26" s="158">
        <v>22430.36</v>
      </c>
      <c r="G26" s="145"/>
      <c r="H26" s="189">
        <v>28794.83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179788.72</v>
      </c>
      <c r="D30" s="166">
        <v>148070.47</v>
      </c>
      <c r="E30" s="166">
        <v>77550.930000000008</v>
      </c>
      <c r="F30" s="166">
        <v>250308.26</v>
      </c>
      <c r="G30" s="166">
        <v>248372.88</v>
      </c>
      <c r="H30" s="193">
        <v>79486.31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1" orientation="portrait" r:id="rId1"/>
  <colBreaks count="1" manualBreakCount="1">
    <brk id="8" max="67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43" sqref="F43"/>
    </sheetView>
  </sheetViews>
  <sheetFormatPr defaultRowHeight="15" x14ac:dyDescent="0.25"/>
  <cols>
    <col min="1" max="1" width="41.14062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4.5703125" customWidth="1"/>
    <col min="8" max="8" width="14.1406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244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4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245</v>
      </c>
      <c r="B6" s="108"/>
      <c r="C6" s="108">
        <v>421.4</v>
      </c>
      <c r="D6" s="109">
        <v>25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421.4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9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7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375">
        <v>21183.16</v>
      </c>
      <c r="D18" s="376">
        <v>-262.68</v>
      </c>
      <c r="E18" s="377">
        <v>11330.28</v>
      </c>
      <c r="F18" s="321">
        <v>9590.1999999999989</v>
      </c>
      <c r="G18" s="378">
        <v>20920.48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379">
        <v>16475.77</v>
      </c>
      <c r="D19" s="380">
        <v>-204.31</v>
      </c>
      <c r="E19" s="379">
        <v>8989.7999999999993</v>
      </c>
      <c r="F19" s="143">
        <v>7281.6600000000017</v>
      </c>
      <c r="G19" s="323">
        <v>6187.26</v>
      </c>
      <c r="H19" s="189">
        <v>10084.200000000001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381"/>
      <c r="D20" s="146"/>
      <c r="E20" s="381"/>
      <c r="F20" s="143">
        <v>0</v>
      </c>
      <c r="G20" s="145">
        <v>0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89243.33</v>
      </c>
      <c r="D22" s="153">
        <v>-16209.18</v>
      </c>
      <c r="E22" s="153">
        <v>47874.52</v>
      </c>
      <c r="F22" s="153">
        <v>25159.629999999997</v>
      </c>
      <c r="G22" s="153">
        <v>76063.740000000005</v>
      </c>
      <c r="H22" s="191">
        <v>-3029.5900000000111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375">
        <v>66170.81</v>
      </c>
      <c r="D23" s="376">
        <v>-864.32</v>
      </c>
      <c r="E23" s="382">
        <v>33674.61</v>
      </c>
      <c r="F23" s="156">
        <v>31631.879999999997</v>
      </c>
      <c r="G23" s="326">
        <v>75874.710000000006</v>
      </c>
      <c r="H23" s="189">
        <v>-10568.220000000008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/>
      <c r="D24" s="192">
        <v>-11200.27</v>
      </c>
      <c r="E24" s="158">
        <v>1492.88</v>
      </c>
      <c r="F24" s="158">
        <v>-12693.150000000001</v>
      </c>
      <c r="G24" s="145">
        <v>189.03</v>
      </c>
      <c r="H24" s="189">
        <v>-11389.300000000001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379">
        <v>11204.32</v>
      </c>
      <c r="D25" s="379">
        <v>-1149.74</v>
      </c>
      <c r="E25" s="379">
        <v>6417.95</v>
      </c>
      <c r="F25" s="158">
        <v>3636.63</v>
      </c>
      <c r="G25" s="145"/>
      <c r="H25" s="189">
        <v>10054.58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379">
        <v>11868.2</v>
      </c>
      <c r="D26" s="379">
        <v>-2994.85</v>
      </c>
      <c r="E26" s="379">
        <v>6289.08</v>
      </c>
      <c r="F26" s="158">
        <v>2584.2700000000004</v>
      </c>
      <c r="G26" s="145"/>
      <c r="H26" s="189">
        <v>8873.35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126902.26000000001</v>
      </c>
      <c r="D30" s="166">
        <v>-16676.170000000002</v>
      </c>
      <c r="E30" s="166">
        <v>68194.600000000006</v>
      </c>
      <c r="F30" s="166">
        <v>42031.49</v>
      </c>
      <c r="G30" s="166">
        <v>103171.48000000001</v>
      </c>
      <c r="H30" s="193">
        <v>7054.6099999999897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84.75" customHeight="1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211</v>
      </c>
      <c r="B37" s="180"/>
      <c r="C37" s="342">
        <f>197.72+989.54+5000</f>
        <v>6187.26</v>
      </c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6187.26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31.5" x14ac:dyDescent="0.25">
      <c r="A42" s="344" t="s">
        <v>118</v>
      </c>
      <c r="B42" s="93">
        <f>E19-G19</f>
        <v>2802.5399999999991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5" orientation="portrait" r:id="rId1"/>
  <colBreaks count="1" manualBreakCount="1">
    <brk id="8" max="67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E44" sqref="E44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20.28515625" style="3" customWidth="1"/>
    <col min="5" max="5" width="18.42578125" style="3" customWidth="1"/>
    <col min="6" max="6" width="16.28515625" customWidth="1"/>
    <col min="7" max="7" width="17.425781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246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247</v>
      </c>
      <c r="B6" s="108"/>
      <c r="C6" s="108">
        <v>1263.6400000000001</v>
      </c>
      <c r="D6" s="109">
        <v>16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1263.6400000000001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12.84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0.56000000000000005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7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6"/>
      <c r="L17" s="86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16613.602368602093</v>
      </c>
      <c r="C18" s="365">
        <v>53712.3</v>
      </c>
      <c r="D18" s="320"/>
      <c r="E18" s="365">
        <v>63022.466460514232</v>
      </c>
      <c r="F18" s="321">
        <v>7303.4359080878639</v>
      </c>
      <c r="G18" s="141">
        <v>53712.3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3881.6819291858446</v>
      </c>
      <c r="C19" s="365">
        <v>12549.6</v>
      </c>
      <c r="D19" s="320"/>
      <c r="E19" s="365">
        <v>15042.361396921549</v>
      </c>
      <c r="F19" s="143">
        <v>1388.9205322642974</v>
      </c>
      <c r="G19" s="323">
        <v>21886.5</v>
      </c>
      <c r="H19" s="189">
        <v>-9336.9</v>
      </c>
      <c r="L19" s="23"/>
      <c r="M19" s="20"/>
      <c r="N19" s="20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724.57691509467827</v>
      </c>
      <c r="C20" s="365">
        <v>2342.58</v>
      </c>
      <c r="D20" s="146"/>
      <c r="E20" s="365">
        <v>2807.9111124020274</v>
      </c>
      <c r="F20" s="149">
        <v>259.24580269265061</v>
      </c>
      <c r="G20" s="326">
        <v>3250</v>
      </c>
      <c r="H20" s="189">
        <v>-907.42000000000007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>
        <v>14356.640000000001</v>
      </c>
      <c r="D21" s="190"/>
      <c r="E21" s="349"/>
      <c r="F21" s="149">
        <v>14356.640000000001</v>
      </c>
      <c r="G21" s="350"/>
      <c r="H21" s="189">
        <v>14356.640000000001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31927.628787117381</v>
      </c>
      <c r="C22" s="153">
        <v>104623</v>
      </c>
      <c r="D22" s="153">
        <v>-1399.97</v>
      </c>
      <c r="E22" s="153">
        <v>90992.361030162181</v>
      </c>
      <c r="F22" s="153">
        <v>44158.297756955188</v>
      </c>
      <c r="G22" s="153">
        <v>-92805.17</v>
      </c>
      <c r="H22" s="191">
        <v>196028.19999999998</v>
      </c>
      <c r="M22" s="20"/>
      <c r="N22" s="20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24343.11564445879</v>
      </c>
      <c r="C23" s="365">
        <v>78702.06</v>
      </c>
      <c r="D23" s="366"/>
      <c r="E23" s="365">
        <v>63355.462241601621</v>
      </c>
      <c r="F23" s="156">
        <v>39689.713402857175</v>
      </c>
      <c r="G23" s="326">
        <v>89882.36</v>
      </c>
      <c r="H23" s="189">
        <v>-11180.300000000003</v>
      </c>
      <c r="M23" s="20"/>
      <c r="N23" s="20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4440.6124539289431</v>
      </c>
      <c r="C24" s="367">
        <v>15211.41</v>
      </c>
      <c r="D24" s="158">
        <v>-854.77</v>
      </c>
      <c r="E24" s="158">
        <v>16062.114667419395</v>
      </c>
      <c r="F24" s="158">
        <v>2735.1377865095455</v>
      </c>
      <c r="G24" s="145">
        <v>-182687.53</v>
      </c>
      <c r="H24" s="189">
        <v>197044.16999999998</v>
      </c>
      <c r="M24" s="20"/>
      <c r="N24" s="20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1091.5915870136278</v>
      </c>
      <c r="C25" s="368">
        <v>3727.59</v>
      </c>
      <c r="D25" s="369">
        <v>-198.44</v>
      </c>
      <c r="E25" s="368">
        <v>3980.8025674165556</v>
      </c>
      <c r="F25" s="158">
        <v>639.93901959707273</v>
      </c>
      <c r="G25" s="145"/>
      <c r="H25" s="189">
        <v>3529.15</v>
      </c>
      <c r="M25" s="20"/>
      <c r="N25" s="20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>
        <v>2052.3091017160173</v>
      </c>
      <c r="C26" s="368">
        <v>6981.94</v>
      </c>
      <c r="D26" s="369">
        <v>-346.76</v>
      </c>
      <c r="E26" s="368">
        <v>7593.9815537246168</v>
      </c>
      <c r="F26" s="158">
        <v>1093.5075479914003</v>
      </c>
      <c r="G26" s="145"/>
      <c r="H26" s="189">
        <v>6635.1799999999994</v>
      </c>
      <c r="K26" s="52"/>
      <c r="M26" s="20"/>
      <c r="N26" s="20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20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20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53147.49</v>
      </c>
      <c r="C30" s="166">
        <v>187584.12000000002</v>
      </c>
      <c r="D30" s="166">
        <v>-1399.97</v>
      </c>
      <c r="E30" s="166">
        <v>171865.09999999998</v>
      </c>
      <c r="F30" s="166">
        <v>67466.540000000008</v>
      </c>
      <c r="G30" s="166">
        <v>-13956.369999999995</v>
      </c>
      <c r="H30" s="193">
        <v>185783.87999999998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20.25" customHeight="1" x14ac:dyDescent="0.25">
      <c r="A37" s="179" t="s">
        <v>285</v>
      </c>
      <c r="B37" s="180"/>
      <c r="C37" s="342">
        <f>43773*0.5</f>
        <v>21886.5</v>
      </c>
      <c r="D37" s="99"/>
      <c r="E37" s="182"/>
      <c r="F37" s="172"/>
      <c r="G37" s="100"/>
      <c r="H37" s="100"/>
    </row>
    <row r="38" spans="1:8" ht="15.75" x14ac:dyDescent="0.25">
      <c r="A38" s="179"/>
      <c r="B38" s="180"/>
      <c r="C38" s="342"/>
      <c r="D38" s="182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21886.5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344" t="s">
        <v>118</v>
      </c>
      <c r="B42" s="93">
        <f>E19-G19</f>
        <v>-6844.1386030784506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G35" sqref="G35"/>
    </sheetView>
  </sheetViews>
  <sheetFormatPr defaultRowHeight="15" x14ac:dyDescent="0.25"/>
  <cols>
    <col min="1" max="1" width="45.140625" customWidth="1"/>
    <col min="2" max="2" width="16.5703125" style="3" customWidth="1"/>
    <col min="3" max="3" width="19.5703125" style="3" customWidth="1"/>
    <col min="4" max="4" width="19" style="3" customWidth="1"/>
    <col min="5" max="5" width="20.140625" style="3" customWidth="1"/>
    <col min="6" max="6" width="20.85546875" customWidth="1"/>
    <col min="7" max="7" width="15.710937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248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249</v>
      </c>
      <c r="B6" s="108"/>
      <c r="C6" s="108">
        <v>2896.8</v>
      </c>
      <c r="D6" s="109">
        <v>39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2896.8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40.5" customHeight="1" x14ac:dyDescent="0.25">
      <c r="A11" s="966" t="s">
        <v>7</v>
      </c>
      <c r="B11" s="967"/>
      <c r="C11" s="967"/>
      <c r="D11" s="123">
        <v>12.84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3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0.56000000000000005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7"/>
      <c r="L17" s="87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>
        <v>5928.4030500832996</v>
      </c>
      <c r="C18" s="770">
        <v>111584.76</v>
      </c>
      <c r="D18" s="320"/>
      <c r="E18" s="770">
        <v>120946.44181770032</v>
      </c>
      <c r="F18" s="321">
        <v>-3433.2787676170265</v>
      </c>
      <c r="G18" s="141">
        <v>111584.76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1385.1406016317258</v>
      </c>
      <c r="C19" s="770">
        <v>26071.200000000001</v>
      </c>
      <c r="D19" s="320"/>
      <c r="E19" s="770">
        <v>29778.79944579913</v>
      </c>
      <c r="F19" s="143">
        <v>-2322.4588441674023</v>
      </c>
      <c r="G19" s="323">
        <v>7872.5400000000009</v>
      </c>
      <c r="H19" s="189">
        <v>18198.66</v>
      </c>
      <c r="L19" s="23"/>
      <c r="M19" s="20"/>
      <c r="N19" s="20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258.55511612295788</v>
      </c>
      <c r="C20" s="770">
        <v>4866.54</v>
      </c>
      <c r="D20" s="146"/>
      <c r="E20" s="770">
        <v>6164.4918993356378</v>
      </c>
      <c r="F20" s="149">
        <v>-1039.39678321268</v>
      </c>
      <c r="G20" s="326">
        <v>4866.54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>
        <v>30706.080000000002</v>
      </c>
      <c r="D21" s="190"/>
      <c r="E21" s="349"/>
      <c r="F21" s="149">
        <v>30706.080000000002</v>
      </c>
      <c r="G21" s="350"/>
      <c r="H21" s="189">
        <v>30706.080000000002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10380.561232162016</v>
      </c>
      <c r="C22" s="153">
        <v>203621.85</v>
      </c>
      <c r="D22" s="153">
        <v>-8238.2999999999993</v>
      </c>
      <c r="E22" s="153">
        <v>140247.8868371649</v>
      </c>
      <c r="F22" s="153">
        <v>65516.224394997116</v>
      </c>
      <c r="G22" s="153">
        <v>120329.48000000001</v>
      </c>
      <c r="H22" s="191">
        <v>75054.069999999978</v>
      </c>
      <c r="M22" s="20"/>
      <c r="N22" s="20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7570.3981038617085</v>
      </c>
      <c r="C23" s="770">
        <v>142490.49</v>
      </c>
      <c r="D23" s="366"/>
      <c r="E23" s="770">
        <v>84404.035177059224</v>
      </c>
      <c r="F23" s="156">
        <v>65656.852926802487</v>
      </c>
      <c r="G23" s="326">
        <v>187688.16</v>
      </c>
      <c r="H23" s="189">
        <v>-45197.670000000013</v>
      </c>
      <c r="M23" s="20"/>
      <c r="N23" s="20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1682.9576256530477</v>
      </c>
      <c r="C24" s="192">
        <v>36867.1</v>
      </c>
      <c r="D24" s="158">
        <v>-5190.37</v>
      </c>
      <c r="E24" s="158">
        <v>33285.899734389714</v>
      </c>
      <c r="F24" s="158">
        <v>73.787891263331403</v>
      </c>
      <c r="G24" s="145">
        <v>-67358.679999999993</v>
      </c>
      <c r="H24" s="189">
        <v>99035.409999999989</v>
      </c>
      <c r="M24" s="20"/>
      <c r="N24" s="20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376.68724185258003</v>
      </c>
      <c r="C25" s="771">
        <v>8168.17</v>
      </c>
      <c r="D25" s="771">
        <v>-1078.1400000000001</v>
      </c>
      <c r="E25" s="771">
        <v>7640.237456261817</v>
      </c>
      <c r="F25" s="158">
        <v>-173.52021440923727</v>
      </c>
      <c r="G25" s="145"/>
      <c r="H25" s="189">
        <v>7090.03</v>
      </c>
      <c r="M25" s="20"/>
      <c r="N25" s="20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>
        <v>750.51826079467946</v>
      </c>
      <c r="C26" s="771">
        <v>16096.09</v>
      </c>
      <c r="D26" s="771">
        <v>-1969.79</v>
      </c>
      <c r="E26" s="771">
        <v>14917.714469454146</v>
      </c>
      <c r="F26" s="158">
        <v>-40.896208659465628</v>
      </c>
      <c r="G26" s="145"/>
      <c r="H26" s="189">
        <v>14126.3</v>
      </c>
      <c r="K26" s="52"/>
      <c r="M26" s="20"/>
      <c r="N26" s="20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371"/>
      <c r="F27" s="158">
        <v>0</v>
      </c>
      <c r="G27" s="145"/>
      <c r="H27" s="189">
        <v>0</v>
      </c>
      <c r="M27" s="20"/>
      <c r="N27" s="20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20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17952.66</v>
      </c>
      <c r="C30" s="166">
        <v>376850.43</v>
      </c>
      <c r="D30" s="166">
        <v>-8238.2999999999993</v>
      </c>
      <c r="E30" s="166">
        <v>297137.62</v>
      </c>
      <c r="F30" s="166">
        <v>89427.170000000013</v>
      </c>
      <c r="G30" s="166">
        <v>244653.32</v>
      </c>
      <c r="H30" s="193">
        <v>93252.729999999981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142</v>
      </c>
      <c r="B37" s="359"/>
      <c r="C37" s="181">
        <v>1730.44</v>
      </c>
      <c r="D37" s="99"/>
      <c r="E37" s="172"/>
      <c r="F37" s="172"/>
      <c r="G37" s="100"/>
      <c r="H37" s="100"/>
    </row>
    <row r="38" spans="1:8" ht="31.5" x14ac:dyDescent="0.25">
      <c r="A38" s="196" t="s">
        <v>291</v>
      </c>
      <c r="B38" s="180"/>
      <c r="C38" s="342">
        <v>6142.1</v>
      </c>
      <c r="D38" s="182"/>
      <c r="E38" s="18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7872.5400000000009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21906.259445799129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D45" sqref="D45"/>
    </sheetView>
  </sheetViews>
  <sheetFormatPr defaultRowHeight="15" x14ac:dyDescent="0.25"/>
  <cols>
    <col min="1" max="1" width="43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.85546875" customWidth="1"/>
    <col min="8" max="8" width="17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250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1.7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251</v>
      </c>
      <c r="B6" s="108"/>
      <c r="C6" s="108">
        <v>5206.2</v>
      </c>
      <c r="D6" s="109">
        <v>220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5206.2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40.5" customHeight="1" x14ac:dyDescent="0.25">
      <c r="A11" s="966" t="s">
        <v>7</v>
      </c>
      <c r="B11" s="967"/>
      <c r="C11" s="967"/>
      <c r="D11" s="123">
        <v>12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6.2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0.4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72">
        <v>312424.8</v>
      </c>
      <c r="D18" s="773">
        <v>-24</v>
      </c>
      <c r="E18" s="774">
        <v>215123.66</v>
      </c>
      <c r="F18" s="321">
        <v>97277.139999999985</v>
      </c>
      <c r="G18" s="378">
        <v>312400.8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75">
        <v>161419.48000000001</v>
      </c>
      <c r="D19" s="776">
        <v>-12.4</v>
      </c>
      <c r="E19" s="775">
        <v>113447.06</v>
      </c>
      <c r="F19" s="143">
        <v>47960.020000000019</v>
      </c>
      <c r="G19" s="323">
        <v>48856.346000000005</v>
      </c>
      <c r="H19" s="189">
        <v>112550.73400000001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775">
        <v>10414.16</v>
      </c>
      <c r="D20" s="776">
        <v>-0.8</v>
      </c>
      <c r="E20" s="775">
        <v>11922.33</v>
      </c>
      <c r="F20" s="143">
        <v>-1508.9699999999993</v>
      </c>
      <c r="G20" s="145">
        <v>10414.16</v>
      </c>
      <c r="H20" s="189">
        <v>-0.7999999999992724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486"/>
      <c r="D21" s="190"/>
      <c r="E21" s="487"/>
      <c r="F21" s="140">
        <v>0</v>
      </c>
      <c r="G21" s="1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1142190.8199999998</v>
      </c>
      <c r="D22" s="153">
        <v>-71387.66</v>
      </c>
      <c r="E22" s="153">
        <v>775970.59000000008</v>
      </c>
      <c r="F22" s="153">
        <v>294832.57000000007</v>
      </c>
      <c r="G22" s="153">
        <v>687579.55</v>
      </c>
      <c r="H22" s="191">
        <v>383223.61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72">
        <v>731986.23</v>
      </c>
      <c r="D23" s="366"/>
      <c r="E23" s="777">
        <v>498560.99</v>
      </c>
      <c r="F23" s="156">
        <v>233425.24</v>
      </c>
      <c r="G23" s="326">
        <v>318237.43</v>
      </c>
      <c r="H23" s="189">
        <v>413748.8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246251.27000000002</v>
      </c>
      <c r="D24" s="158">
        <v>-43901.020000000004</v>
      </c>
      <c r="E24" s="158">
        <v>165794</v>
      </c>
      <c r="F24" s="158">
        <v>36556.25</v>
      </c>
      <c r="G24" s="145">
        <v>369342.12</v>
      </c>
      <c r="H24" s="189">
        <v>-166991.87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75">
        <v>59889.94</v>
      </c>
      <c r="D25" s="775">
        <v>-9946.24</v>
      </c>
      <c r="E25" s="775">
        <v>42223.54</v>
      </c>
      <c r="F25" s="158">
        <v>7720.1600000000035</v>
      </c>
      <c r="G25" s="145"/>
      <c r="H25" s="189">
        <v>49943.700000000004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75">
        <v>104063.38</v>
      </c>
      <c r="D26" s="775">
        <v>-17540.400000000001</v>
      </c>
      <c r="E26" s="775">
        <v>69392.06</v>
      </c>
      <c r="F26" s="158">
        <v>17130.920000000013</v>
      </c>
      <c r="G26" s="145"/>
      <c r="H26" s="189">
        <v>86522.98000000001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371"/>
      <c r="D27" s="338"/>
      <c r="E27" s="775">
        <v>4980.79</v>
      </c>
      <c r="F27" s="158">
        <v>-4980.79</v>
      </c>
      <c r="G27" s="145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372"/>
      <c r="D28" s="373"/>
      <c r="E28" s="374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1626449.2599999998</v>
      </c>
      <c r="D30" s="166">
        <v>-71424.86</v>
      </c>
      <c r="E30" s="166">
        <v>1121444.4300000002</v>
      </c>
      <c r="F30" s="166">
        <v>433579.97000000009</v>
      </c>
      <c r="G30" s="166">
        <v>1059250.8560000001</v>
      </c>
      <c r="H30" s="193">
        <v>495773.54399999999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115</v>
      </c>
      <c r="B37" s="180"/>
      <c r="C37" s="342">
        <f>8514.86*1.1</f>
        <v>9366.3460000000014</v>
      </c>
      <c r="D37" s="99"/>
      <c r="E37" s="182"/>
      <c r="F37" s="172"/>
      <c r="G37" s="100"/>
      <c r="H37" s="100"/>
    </row>
    <row r="38" spans="1:8" ht="31.5" x14ac:dyDescent="0.25">
      <c r="A38" s="196" t="s">
        <v>252</v>
      </c>
      <c r="B38" s="180"/>
      <c r="C38" s="342">
        <f>20400*1.1</f>
        <v>22440</v>
      </c>
      <c r="D38" s="99"/>
      <c r="E38" s="122"/>
      <c r="F38" s="172"/>
      <c r="G38" s="100"/>
      <c r="H38" s="100"/>
    </row>
    <row r="39" spans="1:8" ht="31.5" x14ac:dyDescent="0.25">
      <c r="A39" s="196" t="s">
        <v>253</v>
      </c>
      <c r="B39" s="180"/>
      <c r="C39" s="342">
        <f>15500*1.1</f>
        <v>17050</v>
      </c>
      <c r="D39" s="99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48856.346000000005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64590.713999999993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J46" sqref="J46"/>
    </sheetView>
  </sheetViews>
  <sheetFormatPr defaultRowHeight="15" x14ac:dyDescent="0.25"/>
  <cols>
    <col min="1" max="1" width="45.85546875" customWidth="1"/>
    <col min="2" max="2" width="16.5703125" style="3" customWidth="1"/>
    <col min="3" max="3" width="19.5703125" style="3" customWidth="1"/>
    <col min="4" max="4" width="16.42578125" style="3" customWidth="1"/>
    <col min="5" max="5" width="18.42578125" style="3" customWidth="1"/>
    <col min="6" max="6" width="16.28515625" customWidth="1"/>
    <col min="7" max="7" width="17" customWidth="1"/>
    <col min="8" max="8" width="17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254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7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255</v>
      </c>
      <c r="B6" s="108"/>
      <c r="C6" s="108">
        <v>5595.5</v>
      </c>
      <c r="D6" s="109">
        <v>52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5595.5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38.25" customHeight="1" x14ac:dyDescent="0.25">
      <c r="A11" s="966" t="s">
        <v>7</v>
      </c>
      <c r="B11" s="967"/>
      <c r="C11" s="967"/>
      <c r="D11" s="123">
        <v>17.93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78">
        <v>433598.54</v>
      </c>
      <c r="D18" s="779">
        <v>-1349.66</v>
      </c>
      <c r="E18" s="780">
        <v>147481.63</v>
      </c>
      <c r="F18" s="321">
        <v>284767.25</v>
      </c>
      <c r="G18" s="141">
        <v>432248.88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75"/>
      <c r="D19" s="335"/>
      <c r="E19" s="775"/>
      <c r="F19" s="143">
        <v>0</v>
      </c>
      <c r="G19" s="323">
        <v>94034.26</v>
      </c>
      <c r="H19" s="189">
        <v>-94034.26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775"/>
      <c r="D20" s="146"/>
      <c r="E20" s="775"/>
      <c r="F20" s="149">
        <v>0</v>
      </c>
      <c r="G20" s="326">
        <v>7900</v>
      </c>
      <c r="H20" s="189">
        <v>-7900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745478.66</v>
      </c>
      <c r="D22" s="153">
        <v>-80102.62</v>
      </c>
      <c r="E22" s="153">
        <v>207211.47</v>
      </c>
      <c r="F22" s="153">
        <v>458164.57</v>
      </c>
      <c r="G22" s="153">
        <v>598768.39999999991</v>
      </c>
      <c r="H22" s="191">
        <v>66607.640000000043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312">
        <v>473146.6</v>
      </c>
      <c r="D23" s="312">
        <v>-1003.97</v>
      </c>
      <c r="E23" s="312">
        <v>116639.35</v>
      </c>
      <c r="F23" s="155">
        <v>355503.28</v>
      </c>
      <c r="G23" s="781">
        <v>264830.46999999997</v>
      </c>
      <c r="H23" s="189">
        <v>207312.16000000003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160868.77000000002</v>
      </c>
      <c r="D24" s="158">
        <v>-54374.14</v>
      </c>
      <c r="E24" s="158">
        <v>52788.450000000004</v>
      </c>
      <c r="F24" s="158">
        <v>53706.180000000015</v>
      </c>
      <c r="G24" s="145">
        <v>333937.93</v>
      </c>
      <c r="H24" s="189">
        <v>-227443.3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82">
        <v>38429.03</v>
      </c>
      <c r="D25" s="782">
        <v>-8079.95</v>
      </c>
      <c r="E25" s="782">
        <v>14541.89</v>
      </c>
      <c r="F25" s="158">
        <v>15807.189999999999</v>
      </c>
      <c r="G25" s="145"/>
      <c r="H25" s="189">
        <v>30349.079999999998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82">
        <v>73034.259999999995</v>
      </c>
      <c r="D26" s="782">
        <v>-16644.560000000001</v>
      </c>
      <c r="E26" s="782">
        <v>23241.78</v>
      </c>
      <c r="F26" s="158">
        <v>33147.919999999998</v>
      </c>
      <c r="G26" s="145"/>
      <c r="H26" s="189">
        <v>56389.7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82">
        <v>68529.009999999995</v>
      </c>
      <c r="D27" s="782">
        <v>-8635.52</v>
      </c>
      <c r="E27" s="782">
        <v>24364.37</v>
      </c>
      <c r="F27" s="158">
        <v>35529.119999999995</v>
      </c>
      <c r="G27" s="145"/>
      <c r="H27" s="189">
        <v>59893.489999999991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44"/>
      <c r="D28" s="555"/>
      <c r="E28" s="745"/>
      <c r="F28" s="158">
        <v>0</v>
      </c>
      <c r="G28" s="337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1247606.21</v>
      </c>
      <c r="D30" s="166">
        <v>-90087.8</v>
      </c>
      <c r="E30" s="166">
        <v>379057.47</v>
      </c>
      <c r="F30" s="166">
        <v>778460.94000000006</v>
      </c>
      <c r="G30" s="166">
        <v>1132951.54</v>
      </c>
      <c r="H30" s="193">
        <v>24566.870000000039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256</v>
      </c>
      <c r="B37" s="180"/>
      <c r="C37" s="342">
        <v>94034.26</v>
      </c>
      <c r="D37" s="99"/>
      <c r="E37" s="182"/>
      <c r="F37" s="172"/>
      <c r="G37" s="100"/>
      <c r="H37" s="100"/>
    </row>
    <row r="38" spans="1:8" ht="15.75" x14ac:dyDescent="0.25">
      <c r="A38" s="196"/>
      <c r="B38" s="180"/>
      <c r="C38" s="342"/>
      <c r="D38" s="99"/>
      <c r="E38" s="122"/>
      <c r="F38" s="172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94034.26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-94034.26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mergeCells count="1">
    <mergeCell ref="A11:C11"/>
  </mergeCells>
  <pageMargins left="0.7" right="0.7" top="0.75" bottom="0.75" header="0.3" footer="0.3"/>
  <pageSetup paperSize="9" scale="52" orientation="portrait" r:id="rId1"/>
  <colBreaks count="1" manualBreakCount="1">
    <brk id="8" max="67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F35" sqref="F35"/>
    </sheetView>
  </sheetViews>
  <sheetFormatPr defaultRowHeight="15" x14ac:dyDescent="0.25"/>
  <cols>
    <col min="1" max="1" width="48" customWidth="1"/>
    <col min="2" max="2" width="16.5703125" style="3" customWidth="1"/>
    <col min="3" max="3" width="19.5703125" style="3" customWidth="1"/>
    <col min="4" max="4" width="18.85546875" style="3" customWidth="1"/>
    <col min="5" max="5" width="20.85546875" style="3" customWidth="1"/>
    <col min="6" max="6" width="19.42578125" customWidth="1"/>
    <col min="7" max="7" width="17" customWidth="1"/>
    <col min="8" max="8" width="17.4257812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257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3.2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258</v>
      </c>
      <c r="B6" s="108"/>
      <c r="C6" s="108">
        <v>1046.2</v>
      </c>
      <c r="D6" s="109">
        <v>87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1046.2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17.68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0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83">
        <v>56031.45</v>
      </c>
      <c r="D18" s="779"/>
      <c r="E18" s="783">
        <v>32920.21</v>
      </c>
      <c r="F18" s="321">
        <v>23111.239999999998</v>
      </c>
      <c r="G18" s="141">
        <v>56031.45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75"/>
      <c r="D19" s="335"/>
      <c r="E19" s="775"/>
      <c r="F19" s="143">
        <v>0</v>
      </c>
      <c r="G19" s="323">
        <v>0</v>
      </c>
      <c r="H19" s="189">
        <v>0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775"/>
      <c r="D20" s="146"/>
      <c r="E20" s="775"/>
      <c r="F20" s="149">
        <v>0</v>
      </c>
      <c r="G20" s="326">
        <v>7550</v>
      </c>
      <c r="H20" s="189">
        <v>-7550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161273.72000000003</v>
      </c>
      <c r="D22" s="153">
        <v>-24824.84</v>
      </c>
      <c r="E22" s="153">
        <v>97644.13</v>
      </c>
      <c r="F22" s="153">
        <v>38804.75</v>
      </c>
      <c r="G22" s="153">
        <v>81940.259999999995</v>
      </c>
      <c r="H22" s="191">
        <v>54508.62000000001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84">
        <v>89107.23</v>
      </c>
      <c r="D23" s="312"/>
      <c r="E23" s="784">
        <v>52149.599999999999</v>
      </c>
      <c r="F23" s="155">
        <v>36957.629999999997</v>
      </c>
      <c r="G23" s="785">
        <v>13250.14</v>
      </c>
      <c r="H23" s="189">
        <v>75857.09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43726.87</v>
      </c>
      <c r="D24" s="158">
        <v>-15698.16</v>
      </c>
      <c r="E24" s="158">
        <v>27438.309999999998</v>
      </c>
      <c r="F24" s="158">
        <v>590.40000000000509</v>
      </c>
      <c r="G24" s="786">
        <v>68690.12</v>
      </c>
      <c r="H24" s="189">
        <v>-40661.409999999989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87">
        <v>10588.86</v>
      </c>
      <c r="D25" s="787">
        <v>-3235.18</v>
      </c>
      <c r="E25" s="787">
        <v>6813.36</v>
      </c>
      <c r="F25" s="158">
        <v>540.32000000000062</v>
      </c>
      <c r="G25" s="145"/>
      <c r="H25" s="189">
        <v>7353.68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87">
        <v>17850.759999999998</v>
      </c>
      <c r="D26" s="787">
        <v>-5891.5</v>
      </c>
      <c r="E26" s="787">
        <v>11242.86</v>
      </c>
      <c r="F26" s="158">
        <v>716.39999999999782</v>
      </c>
      <c r="G26" s="145"/>
      <c r="H26" s="189">
        <v>11959.259999999998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82"/>
      <c r="D27" s="782"/>
      <c r="E27" s="782"/>
      <c r="F27" s="158">
        <v>0</v>
      </c>
      <c r="G27" s="788">
        <v>590.52</v>
      </c>
      <c r="H27" s="189">
        <v>-590.52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83">
        <v>11428.2</v>
      </c>
      <c r="D28" s="555"/>
      <c r="E28" s="783">
        <v>7256.74</v>
      </c>
      <c r="F28" s="158">
        <v>4171.4600000000009</v>
      </c>
      <c r="G28" s="337">
        <v>5805.3919999999998</v>
      </c>
      <c r="H28" s="189">
        <v>5622.8080000000009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228733.37000000005</v>
      </c>
      <c r="D30" s="166">
        <v>-24824.84</v>
      </c>
      <c r="E30" s="166">
        <v>137821.07999999999</v>
      </c>
      <c r="F30" s="166">
        <v>66087.45</v>
      </c>
      <c r="G30" s="166">
        <v>151917.62199999997</v>
      </c>
      <c r="H30" s="193">
        <v>51990.90800000001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96"/>
      <c r="B38" s="180"/>
      <c r="C38" s="342"/>
      <c r="D38" s="99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H19</f>
        <v>0</v>
      </c>
      <c r="C42" s="201" t="s">
        <v>119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customHeight="1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49" orientation="portrait" r:id="rId1"/>
  <colBreaks count="1" manualBreakCount="1">
    <brk id="8" max="67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zoomScaleNormal="75" workbookViewId="0">
      <selection activeCell="K10" sqref="K10"/>
    </sheetView>
  </sheetViews>
  <sheetFormatPr defaultRowHeight="15" x14ac:dyDescent="0.25"/>
  <cols>
    <col min="1" max="1" width="43.7109375" customWidth="1"/>
    <col min="2" max="2" width="16.5703125" style="3" customWidth="1"/>
    <col min="3" max="3" width="19.5703125" style="3" customWidth="1"/>
    <col min="4" max="4" width="18.5703125" style="3" customWidth="1"/>
    <col min="5" max="5" width="18.42578125" style="3" customWidth="1"/>
    <col min="6" max="6" width="19.42578125" customWidth="1"/>
    <col min="7" max="7" width="17" customWidth="1"/>
    <col min="8" max="8" width="18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259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0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260</v>
      </c>
      <c r="B6" s="108"/>
      <c r="C6" s="108">
        <v>2355.1</v>
      </c>
      <c r="D6" s="109">
        <v>95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2355.1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12.75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1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0.2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789">
        <v>60055.26</v>
      </c>
      <c r="D18" s="779"/>
      <c r="E18" s="789">
        <v>17561.169999999998</v>
      </c>
      <c r="F18" s="321">
        <v>42494.090000000004</v>
      </c>
      <c r="G18" s="141">
        <v>60055.26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789">
        <v>4710.2</v>
      </c>
      <c r="D19" s="335"/>
      <c r="E19" s="789">
        <v>1656.14</v>
      </c>
      <c r="F19" s="143">
        <v>3054.0599999999995</v>
      </c>
      <c r="G19" s="323">
        <v>22236.334999999999</v>
      </c>
      <c r="H19" s="189">
        <v>-17526.134999999998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790">
        <v>942.04</v>
      </c>
      <c r="D20" s="146"/>
      <c r="E20" s="790">
        <v>573.25</v>
      </c>
      <c r="F20" s="149">
        <v>368.78999999999996</v>
      </c>
      <c r="G20" s="326">
        <v>942.04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168636.88</v>
      </c>
      <c r="D22" s="153">
        <v>-2237.1</v>
      </c>
      <c r="E22" s="153">
        <v>40992.350000000006</v>
      </c>
      <c r="F22" s="153">
        <v>125407.43</v>
      </c>
      <c r="G22" s="153">
        <v>147098.19</v>
      </c>
      <c r="H22" s="191">
        <v>19301.589999999997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789">
        <v>114213.78</v>
      </c>
      <c r="D23" s="312"/>
      <c r="E23" s="789">
        <v>24701.81</v>
      </c>
      <c r="F23" s="155">
        <v>89511.97</v>
      </c>
      <c r="G23" s="791">
        <v>114250.28</v>
      </c>
      <c r="H23" s="189">
        <v>-36.5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33031.550000000003</v>
      </c>
      <c r="D24" s="158">
        <v>-1365.8899999999999</v>
      </c>
      <c r="E24" s="158">
        <v>10189.02</v>
      </c>
      <c r="F24" s="158">
        <v>21476.640000000003</v>
      </c>
      <c r="G24" s="786">
        <v>32847.910000000003</v>
      </c>
      <c r="H24" s="189">
        <v>-1182.25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792">
        <v>7517.75</v>
      </c>
      <c r="D25" s="313">
        <v>-317.10000000000002</v>
      </c>
      <c r="E25" s="792">
        <v>2299.86</v>
      </c>
      <c r="F25" s="158">
        <v>4900.7899999999991</v>
      </c>
      <c r="G25" s="145"/>
      <c r="H25" s="189">
        <v>7200.65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792">
        <v>13873.8</v>
      </c>
      <c r="D26" s="313">
        <v>-554.11</v>
      </c>
      <c r="E26" s="792">
        <v>3801.66</v>
      </c>
      <c r="F26" s="158">
        <v>9518.0299999999988</v>
      </c>
      <c r="G26" s="145"/>
      <c r="H26" s="189">
        <v>13319.689999999999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92">
        <v>18601.8</v>
      </c>
      <c r="D27" s="313">
        <v>-747.6</v>
      </c>
      <c r="E27" s="792">
        <v>4796.17</v>
      </c>
      <c r="F27" s="158">
        <v>13058.03</v>
      </c>
      <c r="G27" s="793"/>
      <c r="H27" s="189">
        <v>17854.2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84"/>
      <c r="D28" s="555"/>
      <c r="E28" s="784"/>
      <c r="F28" s="155">
        <v>0</v>
      </c>
      <c r="G28" s="160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89">
        <v>0</v>
      </c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252946.18</v>
      </c>
      <c r="D30" s="166">
        <v>-2984.7</v>
      </c>
      <c r="E30" s="166">
        <v>65579.08</v>
      </c>
      <c r="F30" s="166">
        <v>184382.4</v>
      </c>
      <c r="G30" s="166">
        <v>230331.82500000001</v>
      </c>
      <c r="H30" s="193">
        <v>19629.654999999999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 t="s">
        <v>261</v>
      </c>
      <c r="B37" s="180"/>
      <c r="C37" s="342">
        <f>20214.85*1.1</f>
        <v>22236.334999999999</v>
      </c>
      <c r="D37" s="99"/>
      <c r="E37" s="182"/>
      <c r="F37" s="172"/>
      <c r="G37" s="100"/>
      <c r="H37" s="100"/>
    </row>
    <row r="38" spans="1:8" ht="15.75" x14ac:dyDescent="0.25">
      <c r="A38" s="196"/>
      <c r="B38" s="180"/>
      <c r="C38" s="342"/>
      <c r="D38" s="99"/>
      <c r="E38" s="122"/>
      <c r="F38" s="172"/>
      <c r="G38" s="100"/>
      <c r="H38" s="100"/>
    </row>
    <row r="39" spans="1:8" ht="15.75" x14ac:dyDescent="0.25">
      <c r="A39" s="196"/>
      <c r="B39" s="180"/>
      <c r="C39" s="342"/>
      <c r="D39" s="99"/>
      <c r="E39" s="172"/>
      <c r="F39" s="100"/>
      <c r="G39" s="100"/>
      <c r="H39" s="100"/>
    </row>
    <row r="40" spans="1:8" ht="16.5" thickBot="1" x14ac:dyDescent="0.3">
      <c r="A40" s="113" t="s">
        <v>5</v>
      </c>
      <c r="B40" s="114">
        <f>B37</f>
        <v>0</v>
      </c>
      <c r="C40" s="343">
        <f>SUM(C37:C39)</f>
        <v>22236.334999999999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x14ac:dyDescent="0.25">
      <c r="A43" s="92" t="s">
        <v>118</v>
      </c>
      <c r="B43" s="93">
        <f>E19-G19</f>
        <v>-20580.195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15.75" x14ac:dyDescent="0.25">
      <c r="A45" s="197" t="s">
        <v>69</v>
      </c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8"/>
      <c r="B46" s="40"/>
      <c r="C46" s="41"/>
      <c r="D46" s="184"/>
      <c r="E46" s="185"/>
      <c r="F46" s="186"/>
      <c r="G46" s="169"/>
      <c r="H46" s="100"/>
    </row>
    <row r="47" spans="1:8" ht="15.75" x14ac:dyDescent="0.25">
      <c r="A47" s="197" t="s">
        <v>53</v>
      </c>
      <c r="B47" s="40" t="s">
        <v>54</v>
      </c>
      <c r="C47" s="199"/>
      <c r="D47" s="184"/>
      <c r="E47" s="185"/>
      <c r="F47" s="186"/>
      <c r="G47" s="169"/>
      <c r="H47" s="100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x14ac:dyDescent="0.25">
      <c r="D64" s="10"/>
      <c r="E64" s="10"/>
    </row>
    <row r="65" spans="2:6" x14ac:dyDescent="0.25"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4"/>
  <sheetViews>
    <sheetView view="pageBreakPreview" zoomScale="60" zoomScaleNormal="75" workbookViewId="0">
      <selection activeCell="K37" sqref="K37"/>
    </sheetView>
  </sheetViews>
  <sheetFormatPr defaultRowHeight="15" x14ac:dyDescent="0.25"/>
  <cols>
    <col min="1" max="1" width="43.28515625" customWidth="1"/>
    <col min="2" max="2" width="16.5703125" style="3" customWidth="1"/>
    <col min="3" max="3" width="19.5703125" style="3" customWidth="1"/>
    <col min="4" max="4" width="19.28515625" style="3" customWidth="1"/>
    <col min="5" max="5" width="18.42578125" style="3" customWidth="1"/>
    <col min="6" max="6" width="20.85546875" customWidth="1"/>
    <col min="7" max="7" width="16.28515625" customWidth="1"/>
    <col min="8" max="8" width="17.7109375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5" max="15" width="10.28515625" bestFit="1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262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49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6.5" thickBot="1" x14ac:dyDescent="0.3">
      <c r="A6" s="107" t="s">
        <v>263</v>
      </c>
      <c r="B6" s="108"/>
      <c r="C6" s="108">
        <v>1448.2</v>
      </c>
      <c r="D6" s="109">
        <v>27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10"/>
      <c r="B7" s="111"/>
      <c r="C7" s="111"/>
      <c r="D7" s="112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1448.2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8.5299999999999994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4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0.11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65.2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85"/>
      <c r="L17" s="85"/>
      <c r="M17" s="23"/>
      <c r="N17" s="23"/>
      <c r="O17" s="65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318"/>
      <c r="C18" s="956">
        <v>15544.24</v>
      </c>
      <c r="D18" s="779"/>
      <c r="E18" s="789"/>
      <c r="F18" s="321">
        <v>15544.24</v>
      </c>
      <c r="G18" s="141">
        <v>15544.24</v>
      </c>
      <c r="H18" s="189">
        <v>0</v>
      </c>
      <c r="L18" s="20"/>
      <c r="M18" s="20"/>
      <c r="N18" s="20"/>
      <c r="O18" s="23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/>
      <c r="C19" s="956">
        <v>5657.6</v>
      </c>
      <c r="D19" s="335"/>
      <c r="E19" s="789"/>
      <c r="F19" s="143">
        <v>5657.6</v>
      </c>
      <c r="G19" s="323">
        <v>0</v>
      </c>
      <c r="H19" s="189">
        <v>5657.6</v>
      </c>
      <c r="L19" s="23"/>
      <c r="M19" s="20"/>
      <c r="N19" s="23"/>
      <c r="O19" s="20"/>
      <c r="P19" s="55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/>
      <c r="C20" s="957">
        <v>155.6</v>
      </c>
      <c r="D20" s="146"/>
      <c r="E20" s="790"/>
      <c r="F20" s="149">
        <v>155.6</v>
      </c>
      <c r="G20" s="326">
        <v>155.6</v>
      </c>
      <c r="H20" s="189">
        <v>0</v>
      </c>
      <c r="L20" s="20"/>
      <c r="M20" s="20"/>
      <c r="N20" s="20"/>
      <c r="O20" s="20"/>
      <c r="P20" s="55"/>
      <c r="Q20" s="6"/>
      <c r="R20" s="6"/>
      <c r="S20" s="6"/>
      <c r="T20" s="6"/>
      <c r="U20" s="6"/>
      <c r="V20" s="6"/>
    </row>
    <row r="21" spans="1:22" ht="16.5" thickBot="1" x14ac:dyDescent="0.3">
      <c r="A21" s="144" t="s">
        <v>14</v>
      </c>
      <c r="B21" s="149"/>
      <c r="C21" s="348"/>
      <c r="D21" s="190"/>
      <c r="E21" s="349"/>
      <c r="F21" s="149">
        <v>0</v>
      </c>
      <c r="G21" s="350"/>
      <c r="H21" s="189">
        <v>0</v>
      </c>
      <c r="L21" s="20"/>
      <c r="M21" s="20"/>
      <c r="N21" s="20"/>
      <c r="O21" s="20"/>
      <c r="P21" s="55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0</v>
      </c>
      <c r="C22" s="153">
        <v>69859.23</v>
      </c>
      <c r="D22" s="153">
        <v>0</v>
      </c>
      <c r="E22" s="153">
        <v>0</v>
      </c>
      <c r="F22" s="153">
        <v>69859.23</v>
      </c>
      <c r="G22" s="153">
        <v>0</v>
      </c>
      <c r="H22" s="191">
        <v>69859.23</v>
      </c>
      <c r="M22" s="20"/>
      <c r="N22" s="6"/>
      <c r="O22" s="6"/>
      <c r="P22" s="55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/>
      <c r="C23" s="956">
        <v>62818</v>
      </c>
      <c r="D23" s="312"/>
      <c r="E23" s="789"/>
      <c r="F23" s="155">
        <v>62818</v>
      </c>
      <c r="G23" s="791"/>
      <c r="H23" s="189">
        <v>62818</v>
      </c>
      <c r="M23" s="20"/>
      <c r="N23" s="6"/>
      <c r="O23" s="6"/>
      <c r="P23" s="55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/>
      <c r="C24" s="192">
        <v>3802.27</v>
      </c>
      <c r="D24" s="158"/>
      <c r="E24" s="158"/>
      <c r="F24" s="158">
        <v>3802.27</v>
      </c>
      <c r="G24" s="786"/>
      <c r="H24" s="189">
        <v>3802.27</v>
      </c>
      <c r="M24" s="20"/>
      <c r="N24" s="6"/>
      <c r="O24" s="6"/>
      <c r="P24" s="55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/>
      <c r="C25" s="957">
        <v>827.37</v>
      </c>
      <c r="D25" s="313"/>
      <c r="E25" s="792"/>
      <c r="F25" s="158">
        <v>827.37</v>
      </c>
      <c r="G25" s="145"/>
      <c r="H25" s="189">
        <v>827.37</v>
      </c>
      <c r="M25" s="20"/>
      <c r="N25" s="6"/>
      <c r="O25" s="6"/>
      <c r="P25" s="55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370"/>
      <c r="C26" s="956">
        <v>2411.59</v>
      </c>
      <c r="D26" s="313"/>
      <c r="E26" s="792"/>
      <c r="F26" s="158">
        <v>2411.59</v>
      </c>
      <c r="G26" s="145"/>
      <c r="H26" s="189">
        <v>2411.59</v>
      </c>
      <c r="K26" s="52"/>
      <c r="M26" s="20"/>
      <c r="N26" s="6"/>
      <c r="O26" s="6"/>
      <c r="P26" s="55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/>
      <c r="C27" s="792"/>
      <c r="D27" s="313"/>
      <c r="E27" s="792"/>
      <c r="F27" s="158">
        <v>0</v>
      </c>
      <c r="G27" s="793"/>
      <c r="H27" s="189">
        <v>0</v>
      </c>
      <c r="M27" s="20"/>
      <c r="N27" s="6"/>
      <c r="O27" s="6"/>
      <c r="P27" s="55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/>
      <c r="C28" s="784"/>
      <c r="D28" s="555"/>
      <c r="E28" s="784"/>
      <c r="F28" s="155">
        <v>0</v>
      </c>
      <c r="G28" s="160"/>
      <c r="H28" s="189">
        <v>0</v>
      </c>
      <c r="K28" s="8"/>
      <c r="L28" s="3"/>
      <c r="M28" s="20"/>
      <c r="N28" s="6"/>
      <c r="O28" s="6"/>
      <c r="P28" s="55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20"/>
      <c r="N29" s="6"/>
      <c r="O29" s="6"/>
      <c r="P29" s="55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0</v>
      </c>
      <c r="C30" s="166">
        <v>91216.67</v>
      </c>
      <c r="D30" s="166">
        <v>0</v>
      </c>
      <c r="E30" s="166">
        <v>0</v>
      </c>
      <c r="F30" s="166">
        <v>91216.67</v>
      </c>
      <c r="G30" s="166">
        <v>15699.84</v>
      </c>
      <c r="H30" s="193">
        <v>75516.83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78.75" x14ac:dyDescent="0.25">
      <c r="A35" s="173" t="s">
        <v>33</v>
      </c>
      <c r="B35" s="174" t="s">
        <v>25</v>
      </c>
      <c r="C35" s="175" t="s">
        <v>29</v>
      </c>
      <c r="D35" s="122"/>
      <c r="E35" s="122"/>
      <c r="F35" s="172"/>
      <c r="G35" s="100"/>
      <c r="H35" s="100"/>
    </row>
    <row r="36" spans="1:8" ht="15.75" x14ac:dyDescent="0.25">
      <c r="A36" s="176" t="s">
        <v>26</v>
      </c>
      <c r="B36" s="177" t="s">
        <v>24</v>
      </c>
      <c r="C36" s="178" t="s">
        <v>24</v>
      </c>
      <c r="D36" s="122"/>
      <c r="E36" s="122"/>
      <c r="F36" s="172"/>
      <c r="G36" s="100"/>
      <c r="H36" s="100"/>
    </row>
    <row r="37" spans="1:8" ht="15.75" x14ac:dyDescent="0.25">
      <c r="A37" s="179"/>
      <c r="B37" s="180"/>
      <c r="C37" s="342"/>
      <c r="D37" s="99"/>
      <c r="E37" s="182"/>
      <c r="F37" s="172"/>
      <c r="G37" s="100"/>
      <c r="H37" s="100"/>
    </row>
    <row r="38" spans="1:8" ht="15.75" x14ac:dyDescent="0.25">
      <c r="A38" s="196"/>
      <c r="B38" s="180"/>
      <c r="C38" s="342"/>
      <c r="D38" s="99"/>
      <c r="E38" s="172"/>
      <c r="F38" s="100"/>
      <c r="G38" s="100"/>
      <c r="H38" s="100"/>
    </row>
    <row r="39" spans="1:8" ht="16.5" thickBot="1" x14ac:dyDescent="0.3">
      <c r="A39" s="113" t="s">
        <v>5</v>
      </c>
      <c r="B39" s="114">
        <f>B37</f>
        <v>0</v>
      </c>
      <c r="C39" s="343">
        <f>SUM(C37:C38)</f>
        <v>0</v>
      </c>
      <c r="D39" s="116"/>
      <c r="E39" s="116"/>
      <c r="F39" s="116"/>
      <c r="G39" s="169"/>
      <c r="H39" s="100"/>
    </row>
    <row r="40" spans="1:8" ht="15.75" x14ac:dyDescent="0.25">
      <c r="A40" s="92"/>
      <c r="B40" s="93"/>
      <c r="C40" s="94"/>
      <c r="D40" s="184"/>
      <c r="E40" s="185"/>
      <c r="F40" s="18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 t="s">
        <v>118</v>
      </c>
      <c r="B42" s="93">
        <f>E19-G19</f>
        <v>0</v>
      </c>
      <c r="C42" s="94" t="s">
        <v>24</v>
      </c>
      <c r="D42" s="184"/>
      <c r="E42" s="185"/>
      <c r="F42" s="186"/>
      <c r="G42" s="169"/>
      <c r="H42" s="100"/>
    </row>
    <row r="43" spans="1:8" ht="15.75" x14ac:dyDescent="0.25">
      <c r="A43" s="92"/>
      <c r="B43" s="93"/>
      <c r="C43" s="94"/>
      <c r="D43" s="184"/>
      <c r="E43" s="185"/>
      <c r="F43" s="186"/>
      <c r="G43" s="169"/>
      <c r="H43" s="100"/>
    </row>
    <row r="44" spans="1:8" ht="15.75" x14ac:dyDescent="0.25">
      <c r="A44" s="197" t="s">
        <v>69</v>
      </c>
      <c r="B44" s="40"/>
      <c r="C44" s="41"/>
      <c r="D44" s="184"/>
      <c r="E44" s="185"/>
      <c r="F44" s="186"/>
      <c r="G44" s="169"/>
      <c r="H44" s="100"/>
    </row>
    <row r="45" spans="1:8" ht="15.75" x14ac:dyDescent="0.25">
      <c r="A45" s="198"/>
      <c r="B45" s="40"/>
      <c r="C45" s="41"/>
      <c r="D45" s="184"/>
      <c r="E45" s="185"/>
      <c r="F45" s="186"/>
      <c r="G45" s="169"/>
      <c r="H45" s="100"/>
    </row>
    <row r="46" spans="1:8" ht="15.75" x14ac:dyDescent="0.25">
      <c r="A46" s="197" t="s">
        <v>53</v>
      </c>
      <c r="B46" s="40" t="s">
        <v>54</v>
      </c>
      <c r="C46" s="199"/>
      <c r="D46" s="184"/>
      <c r="E46" s="185"/>
      <c r="F46" s="186"/>
      <c r="G46" s="169"/>
      <c r="H46" s="100"/>
    </row>
    <row r="47" spans="1:8" x14ac:dyDescent="0.25">
      <c r="A47" s="31"/>
      <c r="B47" s="28"/>
      <c r="C47" s="36"/>
      <c r="D47" s="19"/>
      <c r="E47" s="17"/>
      <c r="F47" s="18"/>
      <c r="G47" s="15"/>
    </row>
    <row r="48" spans="1:8" x14ac:dyDescent="0.25">
      <c r="A48" s="37"/>
      <c r="B48" s="38"/>
      <c r="C48" s="36"/>
      <c r="D48" s="19"/>
      <c r="E48" s="17"/>
      <c r="F48" s="18"/>
      <c r="G48" s="15"/>
    </row>
    <row r="49" spans="1:6" ht="15.75" x14ac:dyDescent="0.25">
      <c r="A49" s="39" t="s">
        <v>27</v>
      </c>
      <c r="B49" s="40" t="s">
        <v>54</v>
      </c>
      <c r="C49" s="41"/>
      <c r="D49" s="42" t="s">
        <v>28</v>
      </c>
      <c r="E49" s="10"/>
    </row>
    <row r="50" spans="1:6" x14ac:dyDescent="0.25">
      <c r="A50" s="6"/>
      <c r="B50" s="7"/>
      <c r="C50" s="10"/>
      <c r="D50" s="35"/>
      <c r="E50" s="8"/>
    </row>
    <row r="51" spans="1:6" x14ac:dyDescent="0.25">
      <c r="A51" s="6"/>
      <c r="B51" s="7"/>
      <c r="C51" s="10"/>
      <c r="D51" s="34"/>
      <c r="E51" s="8"/>
    </row>
    <row r="52" spans="1:6" x14ac:dyDescent="0.25">
      <c r="A52" s="13"/>
      <c r="B52" s="14"/>
      <c r="C52" s="10"/>
      <c r="D52" s="29"/>
      <c r="E52" s="10"/>
    </row>
    <row r="53" spans="1:6" x14ac:dyDescent="0.25">
      <c r="C53" s="10"/>
      <c r="E53" s="10"/>
    </row>
    <row r="54" spans="1:6" x14ac:dyDescent="0.25">
      <c r="A54" s="6"/>
      <c r="B54" s="7"/>
      <c r="C54" s="8"/>
      <c r="D54" s="11"/>
      <c r="E54" s="10"/>
    </row>
    <row r="55" spans="1:6" x14ac:dyDescent="0.25">
      <c r="A55" s="4"/>
      <c r="B55" s="5"/>
      <c r="C55" s="10"/>
      <c r="D55" s="11"/>
      <c r="E55" s="10"/>
      <c r="F55" s="12"/>
    </row>
    <row r="56" spans="1:6" x14ac:dyDescent="0.25">
      <c r="A56" s="6"/>
      <c r="B56" s="7"/>
      <c r="C56" s="10"/>
      <c r="D56" s="11"/>
      <c r="E56" s="10"/>
    </row>
    <row r="57" spans="1:6" x14ac:dyDescent="0.25">
      <c r="A57" s="6"/>
      <c r="B57" s="7"/>
      <c r="C57" s="7"/>
      <c r="D57" s="9"/>
      <c r="E57" s="10"/>
    </row>
    <row r="58" spans="1:6" x14ac:dyDescent="0.25">
      <c r="A58" s="6"/>
      <c r="B58" s="7"/>
      <c r="C58" s="7"/>
      <c r="D58" s="9"/>
      <c r="E58" s="10"/>
    </row>
    <row r="59" spans="1:6" x14ac:dyDescent="0.25">
      <c r="A59" s="6"/>
      <c r="B59" s="7"/>
      <c r="C59" s="7"/>
      <c r="D59" s="8"/>
      <c r="E59" s="8"/>
      <c r="F59" s="3"/>
    </row>
    <row r="60" spans="1:6" x14ac:dyDescent="0.25">
      <c r="A60" s="6"/>
      <c r="B60" s="7"/>
      <c r="D60" s="8"/>
      <c r="E60" s="10"/>
    </row>
    <row r="61" spans="1:6" x14ac:dyDescent="0.25">
      <c r="D61" s="8"/>
      <c r="E61" s="8"/>
    </row>
    <row r="62" spans="1:6" x14ac:dyDescent="0.25">
      <c r="D62" s="10"/>
      <c r="E62" s="10"/>
    </row>
    <row r="63" spans="1:6" x14ac:dyDescent="0.25">
      <c r="D63" s="10"/>
      <c r="E63" s="10"/>
    </row>
    <row r="64" spans="1:6" x14ac:dyDescent="0.25">
      <c r="D64" s="10"/>
      <c r="E64" s="10"/>
    </row>
    <row r="65" spans="2:6" x14ac:dyDescent="0.25">
      <c r="B65"/>
      <c r="C65"/>
      <c r="D65" s="10"/>
      <c r="E65" s="10"/>
    </row>
    <row r="66" spans="2:6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8"/>
      <c r="E68" s="8"/>
      <c r="F68" s="3"/>
    </row>
    <row r="69" spans="2:6" x14ac:dyDescent="0.25">
      <c r="B69"/>
      <c r="C69"/>
      <c r="D69" s="10"/>
      <c r="E69" s="10"/>
      <c r="F69" s="3"/>
    </row>
    <row r="70" spans="2:6" x14ac:dyDescent="0.25">
      <c r="D70" s="10"/>
      <c r="E70" s="10"/>
    </row>
    <row r="71" spans="2:6" x14ac:dyDescent="0.25">
      <c r="D71" s="7"/>
      <c r="E71" s="7"/>
    </row>
    <row r="72" spans="2:6" x14ac:dyDescent="0.25">
      <c r="B72"/>
      <c r="C72"/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</row>
    <row r="75" spans="2:6" x14ac:dyDescent="0.25">
      <c r="B75"/>
      <c r="C75"/>
    </row>
    <row r="76" spans="2:6" x14ac:dyDescent="0.25">
      <c r="B76"/>
      <c r="C76"/>
      <c r="D76"/>
      <c r="E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  <pageSetup paperSize="9" scale="50" orientation="portrait" r:id="rId1"/>
  <colBreaks count="1" manualBreakCount="1">
    <brk id="8" max="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7"/>
  <sheetViews>
    <sheetView view="pageBreakPreview" zoomScale="60" workbookViewId="0">
      <selection activeCell="F41" sqref="F41"/>
    </sheetView>
  </sheetViews>
  <sheetFormatPr defaultRowHeight="15" x14ac:dyDescent="0.25"/>
  <cols>
    <col min="1" max="1" width="45.85546875" customWidth="1"/>
    <col min="2" max="2" width="16.5703125" style="3" customWidth="1"/>
    <col min="3" max="3" width="19.5703125" style="3" customWidth="1"/>
    <col min="4" max="4" width="18.140625" style="3" customWidth="1"/>
    <col min="5" max="5" width="17.28515625" style="3" customWidth="1"/>
    <col min="6" max="6" width="20.85546875" customWidth="1"/>
    <col min="7" max="7" width="14.5703125" customWidth="1"/>
    <col min="8" max="8" width="17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96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6.5" thickBot="1" x14ac:dyDescent="0.3">
      <c r="A4" s="101" t="s">
        <v>0</v>
      </c>
      <c r="B4" s="102"/>
      <c r="C4" s="102"/>
      <c r="D4" s="102"/>
      <c r="E4" s="99"/>
      <c r="F4" s="100"/>
      <c r="G4" s="100"/>
      <c r="H4" s="100"/>
      <c r="L4" s="20"/>
      <c r="M4" s="20"/>
      <c r="N4" s="20"/>
      <c r="O4" s="20"/>
    </row>
    <row r="5" spans="1:22" ht="55.5" customHeight="1" thickBot="1" x14ac:dyDescent="0.3">
      <c r="A5" s="103" t="s">
        <v>1</v>
      </c>
      <c r="B5" s="104"/>
      <c r="C5" s="105" t="s">
        <v>2</v>
      </c>
      <c r="D5" s="106" t="s">
        <v>3</v>
      </c>
      <c r="E5" s="99"/>
      <c r="F5" s="100"/>
      <c r="G5" s="100"/>
      <c r="H5" s="100"/>
      <c r="L5" s="20"/>
      <c r="M5" s="20"/>
      <c r="N5" s="20"/>
      <c r="O5" s="20"/>
    </row>
    <row r="6" spans="1:22" ht="15.75" x14ac:dyDescent="0.25">
      <c r="A6" s="110" t="s">
        <v>44</v>
      </c>
      <c r="B6" s="965"/>
      <c r="C6" s="345">
        <v>980.7</v>
      </c>
      <c r="D6" s="346">
        <v>38</v>
      </c>
      <c r="E6" s="99"/>
      <c r="F6" s="100"/>
      <c r="G6" s="100"/>
      <c r="H6" s="100"/>
      <c r="L6" s="20"/>
      <c r="M6" s="20"/>
      <c r="N6" s="20"/>
      <c r="O6" s="20"/>
    </row>
    <row r="7" spans="1:22" ht="15.75" x14ac:dyDescent="0.25">
      <c r="A7" s="142"/>
      <c r="B7" s="911"/>
      <c r="C7" s="384"/>
      <c r="D7" s="385"/>
      <c r="E7" s="99"/>
      <c r="F7" s="100"/>
      <c r="G7" s="100"/>
      <c r="H7" s="100"/>
      <c r="L7" s="20"/>
      <c r="M7" s="20"/>
      <c r="N7" s="20"/>
      <c r="O7" s="20"/>
    </row>
    <row r="8" spans="1:22" ht="16.5" thickBot="1" x14ac:dyDescent="0.3">
      <c r="A8" s="113" t="s">
        <v>5</v>
      </c>
      <c r="B8" s="114"/>
      <c r="C8" s="114">
        <f>C6+C7</f>
        <v>980.7</v>
      </c>
      <c r="D8" s="315"/>
      <c r="E8" s="99"/>
      <c r="F8" s="100"/>
      <c r="G8" s="100"/>
      <c r="H8" s="100"/>
      <c r="L8" s="20"/>
      <c r="M8" s="20"/>
      <c r="N8" s="20"/>
      <c r="O8" s="20"/>
    </row>
    <row r="9" spans="1:22" ht="16.5" thickBot="1" x14ac:dyDescent="0.3">
      <c r="A9" s="115"/>
      <c r="B9" s="116"/>
      <c r="C9" s="116"/>
      <c r="D9" s="117"/>
      <c r="E9" s="99"/>
      <c r="F9" s="100"/>
      <c r="G9" s="100"/>
      <c r="H9" s="100"/>
      <c r="L9" s="20"/>
      <c r="M9" s="20"/>
      <c r="N9" s="20"/>
      <c r="O9" s="20"/>
    </row>
    <row r="10" spans="1:22" ht="16.5" thickBot="1" x14ac:dyDescent="0.3">
      <c r="A10" s="118" t="s">
        <v>71</v>
      </c>
      <c r="B10" s="119"/>
      <c r="C10" s="119"/>
      <c r="D10" s="120" t="s">
        <v>6</v>
      </c>
      <c r="E10" s="99"/>
      <c r="F10" s="100"/>
      <c r="G10" s="100"/>
      <c r="H10" s="100"/>
      <c r="L10" s="20"/>
      <c r="M10" s="20"/>
      <c r="N10" s="20"/>
      <c r="O10" s="20"/>
    </row>
    <row r="11" spans="1:22" ht="15.75" x14ac:dyDescent="0.25">
      <c r="A11" s="121" t="s">
        <v>7</v>
      </c>
      <c r="B11" s="122"/>
      <c r="C11" s="122"/>
      <c r="D11" s="123">
        <v>13.95</v>
      </c>
      <c r="E11" s="99"/>
      <c r="F11" s="100"/>
      <c r="G11" s="100"/>
      <c r="H11" s="100"/>
      <c r="L11" s="20"/>
      <c r="M11" s="20"/>
      <c r="N11" s="20"/>
      <c r="O11" s="20"/>
    </row>
    <row r="12" spans="1:22" ht="15.75" x14ac:dyDescent="0.25">
      <c r="A12" s="121" t="s">
        <v>8</v>
      </c>
      <c r="B12" s="122"/>
      <c r="C12" s="122"/>
      <c r="D12" s="123">
        <v>9.1</v>
      </c>
      <c r="E12" s="99"/>
      <c r="F12" s="100"/>
      <c r="G12" s="100"/>
      <c r="H12" s="100"/>
      <c r="L12" s="20"/>
      <c r="M12" s="20"/>
      <c r="N12" s="20"/>
      <c r="O12" s="20"/>
    </row>
    <row r="13" spans="1:22" ht="15.75" x14ac:dyDescent="0.25">
      <c r="A13" s="121" t="s">
        <v>9</v>
      </c>
      <c r="B13" s="122"/>
      <c r="C13" s="122"/>
      <c r="D13" s="124">
        <v>0</v>
      </c>
      <c r="E13" s="99"/>
      <c r="F13" s="100"/>
      <c r="G13" s="100"/>
      <c r="H13" s="100"/>
      <c r="L13" s="20"/>
      <c r="M13" s="20"/>
      <c r="N13" s="20"/>
      <c r="O13" s="20"/>
    </row>
    <row r="14" spans="1:22" ht="16.5" thickBot="1" x14ac:dyDescent="0.3">
      <c r="A14" s="125" t="s">
        <v>10</v>
      </c>
      <c r="B14" s="126"/>
      <c r="C14" s="126"/>
      <c r="D14" s="127">
        <v>0</v>
      </c>
      <c r="E14" s="128"/>
      <c r="F14" s="100"/>
      <c r="G14" s="100"/>
      <c r="H14" s="10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5.75" x14ac:dyDescent="0.25">
      <c r="A15" s="129"/>
      <c r="B15" s="130"/>
      <c r="C15" s="130"/>
      <c r="D15" s="130"/>
      <c r="E15" s="128"/>
      <c r="F15" s="100"/>
      <c r="G15" s="100"/>
      <c r="H15" s="10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6.5" thickBot="1" x14ac:dyDescent="0.3">
      <c r="A16" s="131" t="s">
        <v>72</v>
      </c>
      <c r="B16" s="132"/>
      <c r="C16" s="132"/>
      <c r="D16" s="132"/>
      <c r="E16" s="102"/>
      <c r="F16" s="102"/>
      <c r="G16" s="102"/>
      <c r="H16" s="102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76.5" customHeight="1" thickBot="1" x14ac:dyDescent="0.3">
      <c r="A17" s="316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57"/>
      <c r="L17" s="56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5.75" x14ac:dyDescent="0.25">
      <c r="A18" s="110" t="s">
        <v>12</v>
      </c>
      <c r="B18" s="487">
        <v>30650.23702323297</v>
      </c>
      <c r="C18" s="958">
        <v>159669.57</v>
      </c>
      <c r="D18" s="959">
        <v>-1500.03</v>
      </c>
      <c r="E18" s="834">
        <v>155771.67763438949</v>
      </c>
      <c r="F18" s="321">
        <v>33048.09938884349</v>
      </c>
      <c r="G18" s="141">
        <v>158169.54</v>
      </c>
      <c r="H18" s="189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5.75" x14ac:dyDescent="0.25">
      <c r="A19" s="142" t="s">
        <v>13</v>
      </c>
      <c r="B19" s="322">
        <v>-34132.893337601177</v>
      </c>
      <c r="C19" s="958">
        <v>107092.44</v>
      </c>
      <c r="D19" s="835"/>
      <c r="E19" s="834">
        <v>104989.82614763163</v>
      </c>
      <c r="F19" s="143">
        <v>-32030.279485232808</v>
      </c>
      <c r="G19" s="323">
        <v>94038.360000000015</v>
      </c>
      <c r="H19" s="189">
        <v>13054.079999999987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5.75" x14ac:dyDescent="0.25">
      <c r="A20" s="144" t="s">
        <v>15</v>
      </c>
      <c r="B20" s="149">
        <v>0</v>
      </c>
      <c r="C20" s="348">
        <v>0</v>
      </c>
      <c r="D20" s="836"/>
      <c r="E20" s="838">
        <v>0</v>
      </c>
      <c r="F20" s="149">
        <v>0</v>
      </c>
      <c r="G20" s="794">
        <v>12500</v>
      </c>
      <c r="H20" s="189">
        <v>-12500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6.5" thickBot="1" x14ac:dyDescent="0.3">
      <c r="A21" s="113" t="s">
        <v>14</v>
      </c>
      <c r="B21" s="327">
        <v>-14444.289999999979</v>
      </c>
      <c r="C21" s="328">
        <v>0</v>
      </c>
      <c r="D21" s="391"/>
      <c r="E21" s="329">
        <v>0</v>
      </c>
      <c r="F21" s="149">
        <v>-14444.289999999979</v>
      </c>
      <c r="G21" s="330"/>
      <c r="H21" s="189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6.5" thickBot="1" x14ac:dyDescent="0.3">
      <c r="A22" s="151" t="s">
        <v>16</v>
      </c>
      <c r="B22" s="152">
        <v>95870.112659176346</v>
      </c>
      <c r="C22" s="153">
        <v>386264.61</v>
      </c>
      <c r="D22" s="153">
        <v>-16389.719999999998</v>
      </c>
      <c r="E22" s="153">
        <v>344242.99349190504</v>
      </c>
      <c r="F22" s="153">
        <v>121502.00916727136</v>
      </c>
      <c r="G22" s="153">
        <v>378777.1</v>
      </c>
      <c r="H22" s="191">
        <v>-8902.2100000000137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x14ac:dyDescent="0.25">
      <c r="A23" s="154" t="s">
        <v>17</v>
      </c>
      <c r="B23" s="155">
        <v>63157.3295136628</v>
      </c>
      <c r="C23" s="960">
        <v>205827.21</v>
      </c>
      <c r="D23" s="942">
        <v>-32.97</v>
      </c>
      <c r="E23" s="834">
        <v>179695.46550729038</v>
      </c>
      <c r="F23" s="155">
        <v>89256.10400637245</v>
      </c>
      <c r="G23" s="943">
        <v>231274.93</v>
      </c>
      <c r="H23" s="189">
        <v>-25480.690000000002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x14ac:dyDescent="0.25">
      <c r="A24" s="157" t="s">
        <v>18</v>
      </c>
      <c r="B24" s="158">
        <v>19736.92155631258</v>
      </c>
      <c r="C24" s="938">
        <v>118269.43</v>
      </c>
      <c r="D24" s="158">
        <v>-10293.32</v>
      </c>
      <c r="E24" s="334">
        <v>108127.5060518519</v>
      </c>
      <c r="F24" s="158">
        <v>19585.525504460675</v>
      </c>
      <c r="G24" s="145">
        <v>97813.15</v>
      </c>
      <c r="H24" s="189">
        <v>10162.959999999992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x14ac:dyDescent="0.25">
      <c r="A25" s="157" t="s">
        <v>19</v>
      </c>
      <c r="B25" s="158">
        <v>4907.5484849568038</v>
      </c>
      <c r="C25" s="958">
        <v>19089.87</v>
      </c>
      <c r="D25" s="959">
        <v>-2408.81</v>
      </c>
      <c r="E25" s="840">
        <v>17625.838830944449</v>
      </c>
      <c r="F25" s="158">
        <v>3962.7696540123543</v>
      </c>
      <c r="G25" s="961">
        <v>18666.009999999998</v>
      </c>
      <c r="H25" s="189">
        <v>-1984.9500000000007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x14ac:dyDescent="0.25">
      <c r="A26" s="157" t="s">
        <v>20</v>
      </c>
      <c r="B26" s="158">
        <v>8068.3131042441728</v>
      </c>
      <c r="C26" s="962">
        <v>43078.1</v>
      </c>
      <c r="D26" s="962">
        <v>-3654.62</v>
      </c>
      <c r="E26" s="963">
        <v>38794.183101818293</v>
      </c>
      <c r="F26" s="158">
        <v>8697.6100024258776</v>
      </c>
      <c r="G26" s="961">
        <v>31023.01</v>
      </c>
      <c r="H26" s="189">
        <v>8400.4699999999975</v>
      </c>
      <c r="K26" s="52"/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x14ac:dyDescent="0.25">
      <c r="A27" s="142" t="s">
        <v>31</v>
      </c>
      <c r="B27" s="337">
        <v>0</v>
      </c>
      <c r="C27" s="842">
        <v>0</v>
      </c>
      <c r="D27" s="840">
        <v>0</v>
      </c>
      <c r="E27" s="840">
        <v>0</v>
      </c>
      <c r="F27" s="158">
        <v>0</v>
      </c>
      <c r="G27" s="843"/>
      <c r="H27" s="189">
        <v>0</v>
      </c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x14ac:dyDescent="0.25">
      <c r="A28" s="142" t="s">
        <v>21</v>
      </c>
      <c r="B28" s="143">
        <v>0</v>
      </c>
      <c r="C28" s="962">
        <v>10401.99</v>
      </c>
      <c r="D28" s="840">
        <v>-4022.1</v>
      </c>
      <c r="E28" s="844">
        <v>9540.4427260738739</v>
      </c>
      <c r="F28" s="158">
        <v>-3160.5527260738745</v>
      </c>
      <c r="G28" s="337">
        <v>7632.354180859099</v>
      </c>
      <c r="H28" s="189">
        <v>-1252.4641808590995</v>
      </c>
      <c r="K28" s="8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6.5" hidden="1" thickBot="1" x14ac:dyDescent="0.3">
      <c r="A29" s="113" t="s">
        <v>22</v>
      </c>
      <c r="B29" s="161">
        <v>0</v>
      </c>
      <c r="C29" s="161"/>
      <c r="D29" s="161"/>
      <c r="E29" s="161"/>
      <c r="F29" s="162">
        <v>0</v>
      </c>
      <c r="G29" s="163"/>
      <c r="H29" s="164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6.5" thickBot="1" x14ac:dyDescent="0.3">
      <c r="A30" s="165" t="s">
        <v>23</v>
      </c>
      <c r="B30" s="166">
        <v>77943.166344808153</v>
      </c>
      <c r="C30" s="166">
        <v>663428.61</v>
      </c>
      <c r="D30" s="166">
        <v>-21911.849999999995</v>
      </c>
      <c r="E30" s="166">
        <v>614544.94000000006</v>
      </c>
      <c r="F30" s="166">
        <v>104914.98634480819</v>
      </c>
      <c r="G30" s="166">
        <v>651117.35418085905</v>
      </c>
      <c r="H30" s="193">
        <v>-9600.5941808591269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x14ac:dyDescent="0.25">
      <c r="A31" s="167"/>
      <c r="B31" s="168"/>
      <c r="C31" s="122"/>
      <c r="D31" s="122"/>
      <c r="E31" s="122"/>
      <c r="F31" s="99"/>
      <c r="G31" s="169"/>
      <c r="H31" s="169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x14ac:dyDescent="0.25">
      <c r="A32" s="167"/>
      <c r="B32" s="168"/>
      <c r="C32" s="122"/>
      <c r="D32" s="170"/>
      <c r="E32" s="122"/>
      <c r="F32" s="128"/>
      <c r="G32" s="171"/>
      <c r="H32" s="171"/>
      <c r="I32" s="27"/>
      <c r="J32" s="15"/>
    </row>
    <row r="33" spans="1:8" ht="15.75" x14ac:dyDescent="0.25">
      <c r="A33" s="167"/>
      <c r="B33" s="98"/>
      <c r="C33" s="122"/>
      <c r="D33" s="122"/>
      <c r="E33" s="122"/>
      <c r="F33" s="172"/>
      <c r="G33" s="100"/>
      <c r="H33" s="100"/>
    </row>
    <row r="34" spans="1:8" ht="16.5" thickBot="1" x14ac:dyDescent="0.3">
      <c r="A34" s="167" t="s">
        <v>272</v>
      </c>
      <c r="B34" s="172"/>
      <c r="C34" s="172"/>
      <c r="D34" s="122"/>
      <c r="E34" s="122"/>
      <c r="F34" s="172"/>
      <c r="G34" s="100"/>
      <c r="H34" s="100"/>
    </row>
    <row r="35" spans="1:8" ht="88.5" customHeight="1" thickBot="1" x14ac:dyDescent="0.3">
      <c r="A35" s="845" t="s">
        <v>33</v>
      </c>
      <c r="B35" s="846" t="s">
        <v>25</v>
      </c>
      <c r="C35" s="847" t="s">
        <v>29</v>
      </c>
      <c r="D35" s="122"/>
      <c r="E35" s="122"/>
      <c r="F35" s="172"/>
      <c r="G35" s="100"/>
      <c r="H35" s="100"/>
    </row>
    <row r="36" spans="1:8" ht="15.75" x14ac:dyDescent="0.25">
      <c r="A36" s="848" t="s">
        <v>26</v>
      </c>
      <c r="B36" s="849" t="s">
        <v>24</v>
      </c>
      <c r="C36" s="850" t="s">
        <v>24</v>
      </c>
      <c r="D36" s="122"/>
      <c r="E36" s="122"/>
      <c r="F36" s="172"/>
      <c r="G36" s="100"/>
      <c r="H36" s="100"/>
    </row>
    <row r="37" spans="1:8" ht="15.75" x14ac:dyDescent="0.25">
      <c r="A37" s="358" t="s">
        <v>59</v>
      </c>
      <c r="B37" s="860"/>
      <c r="C37" s="181">
        <v>9335.2800000000007</v>
      </c>
      <c r="D37" s="168"/>
      <c r="E37" s="122"/>
      <c r="F37" s="172"/>
      <c r="G37" s="100"/>
      <c r="H37" s="100"/>
    </row>
    <row r="38" spans="1:8" ht="15.75" x14ac:dyDescent="0.25">
      <c r="A38" s="358" t="s">
        <v>103</v>
      </c>
      <c r="B38" s="860"/>
      <c r="C38" s="181">
        <v>58669.51</v>
      </c>
      <c r="D38" s="964"/>
      <c r="E38" s="172"/>
      <c r="F38" s="100"/>
      <c r="G38" s="100"/>
      <c r="H38" s="100"/>
    </row>
    <row r="39" spans="1:8" ht="15.75" x14ac:dyDescent="0.25">
      <c r="A39" s="472" t="s">
        <v>98</v>
      </c>
      <c r="B39" s="860"/>
      <c r="C39" s="884">
        <v>26033.57</v>
      </c>
      <c r="D39" s="964"/>
      <c r="E39" s="881"/>
      <c r="F39" s="524"/>
      <c r="G39" s="169"/>
      <c r="H39" s="100"/>
    </row>
    <row r="40" spans="1:8" ht="16.5" thickBot="1" x14ac:dyDescent="0.3">
      <c r="A40" s="113" t="s">
        <v>5</v>
      </c>
      <c r="B40" s="114">
        <f>B37</f>
        <v>0</v>
      </c>
      <c r="C40" s="852">
        <f>SUM(C37:C39)</f>
        <v>94038.360000000015</v>
      </c>
      <c r="D40" s="116"/>
      <c r="E40" s="116"/>
      <c r="F40" s="116"/>
      <c r="G40" s="169"/>
      <c r="H40" s="100"/>
    </row>
    <row r="41" spans="1:8" ht="15.75" x14ac:dyDescent="0.25">
      <c r="A41" s="92"/>
      <c r="B41" s="93"/>
      <c r="C41" s="94"/>
      <c r="D41" s="184"/>
      <c r="E41" s="185"/>
      <c r="F41" s="186"/>
      <c r="G41" s="169"/>
      <c r="H41" s="100"/>
    </row>
    <row r="42" spans="1:8" ht="15.75" x14ac:dyDescent="0.25">
      <c r="A42" s="92"/>
      <c r="B42" s="93"/>
      <c r="C42" s="94"/>
      <c r="D42" s="184"/>
      <c r="E42" s="185"/>
      <c r="F42" s="186"/>
      <c r="G42" s="169"/>
      <c r="H42" s="100"/>
    </row>
    <row r="43" spans="1:8" ht="15.75" hidden="1" x14ac:dyDescent="0.25">
      <c r="A43" s="92" t="s">
        <v>118</v>
      </c>
      <c r="B43" s="93">
        <f>8189.01+H19</f>
        <v>21243.089999999989</v>
      </c>
      <c r="C43" s="94" t="s">
        <v>24</v>
      </c>
      <c r="D43" s="184"/>
      <c r="E43" s="185"/>
      <c r="F43" s="186"/>
      <c r="G43" s="169"/>
      <c r="H43" s="100"/>
    </row>
    <row r="44" spans="1:8" ht="15.75" x14ac:dyDescent="0.25">
      <c r="A44" s="92"/>
      <c r="B44" s="93"/>
      <c r="C44" s="94"/>
      <c r="D44" s="184"/>
      <c r="E44" s="185"/>
      <c r="F44" s="186"/>
      <c r="G44" s="169"/>
      <c r="H44" s="100"/>
    </row>
    <row r="45" spans="1:8" ht="31.5" x14ac:dyDescent="0.25">
      <c r="A45" s="344" t="s">
        <v>288</v>
      </c>
      <c r="B45" s="93">
        <f>26759.46+8189.01+E19-G19</f>
        <v>45899.936147631612</v>
      </c>
      <c r="C45" s="94"/>
      <c r="D45" s="184"/>
      <c r="E45" s="185"/>
      <c r="F45" s="186"/>
      <c r="G45" s="169"/>
      <c r="H45" s="100"/>
    </row>
    <row r="46" spans="1:8" ht="15.75" x14ac:dyDescent="0.25">
      <c r="A46" s="92"/>
      <c r="B46" s="93"/>
      <c r="C46" s="94"/>
      <c r="D46" s="184"/>
      <c r="E46" s="185"/>
      <c r="F46" s="186"/>
      <c r="G46" s="169"/>
      <c r="H46" s="100"/>
    </row>
    <row r="47" spans="1:8" ht="15.75" x14ac:dyDescent="0.25">
      <c r="A47" s="197" t="s">
        <v>69</v>
      </c>
      <c r="B47" s="40"/>
      <c r="C47" s="41"/>
      <c r="D47" s="184"/>
      <c r="E47" s="185"/>
      <c r="F47" s="186"/>
      <c r="G47" s="169"/>
      <c r="H47" s="100"/>
    </row>
    <row r="48" spans="1:8" ht="15.75" x14ac:dyDescent="0.25">
      <c r="A48" s="198"/>
      <c r="B48" s="40"/>
      <c r="C48" s="41"/>
      <c r="D48" s="184"/>
      <c r="E48" s="185"/>
      <c r="F48" s="186"/>
      <c r="G48" s="169"/>
      <c r="H48" s="100"/>
    </row>
    <row r="49" spans="1:8" ht="15.75" x14ac:dyDescent="0.25">
      <c r="A49" s="197" t="s">
        <v>53</v>
      </c>
      <c r="B49" s="40" t="s">
        <v>54</v>
      </c>
      <c r="C49" s="199"/>
      <c r="D49" s="184"/>
      <c r="E49" s="185"/>
      <c r="F49" s="186"/>
      <c r="G49" s="169"/>
      <c r="H49" s="100"/>
    </row>
    <row r="50" spans="1:8" ht="15.75" x14ac:dyDescent="0.25">
      <c r="A50" s="197"/>
      <c r="B50" s="40"/>
      <c r="C50" s="199"/>
      <c r="D50" s="200"/>
      <c r="E50" s="185"/>
      <c r="F50" s="186"/>
      <c r="G50" s="169"/>
      <c r="H50" s="100"/>
    </row>
    <row r="51" spans="1:8" x14ac:dyDescent="0.25">
      <c r="A51" s="37"/>
      <c r="B51" s="38"/>
      <c r="C51" s="36"/>
      <c r="D51" s="19"/>
      <c r="E51" s="17"/>
      <c r="F51" s="18"/>
      <c r="G51" s="15"/>
    </row>
    <row r="52" spans="1:8" ht="15.75" x14ac:dyDescent="0.25">
      <c r="A52" s="39" t="s">
        <v>27</v>
      </c>
      <c r="B52" s="40" t="s">
        <v>54</v>
      </c>
      <c r="C52" s="41"/>
      <c r="D52" s="42" t="s">
        <v>28</v>
      </c>
      <c r="E52" s="10"/>
    </row>
    <row r="53" spans="1:8" x14ac:dyDescent="0.25">
      <c r="A53" s="6"/>
      <c r="B53" s="7"/>
      <c r="C53" s="10"/>
      <c r="D53" s="35"/>
      <c r="E53" s="8"/>
    </row>
    <row r="54" spans="1:8" x14ac:dyDescent="0.25">
      <c r="A54" s="6"/>
      <c r="B54" s="7"/>
      <c r="C54" s="10"/>
      <c r="D54" s="34"/>
      <c r="E54" s="8"/>
    </row>
    <row r="55" spans="1:8" x14ac:dyDescent="0.25">
      <c r="A55" s="13"/>
      <c r="B55" s="14"/>
      <c r="C55" s="10"/>
      <c r="D55" s="29"/>
      <c r="E55" s="10"/>
    </row>
    <row r="56" spans="1:8" x14ac:dyDescent="0.25">
      <c r="C56" s="10"/>
      <c r="E56" s="10"/>
    </row>
    <row r="57" spans="1:8" x14ac:dyDescent="0.25">
      <c r="A57" s="6"/>
      <c r="B57" s="7"/>
      <c r="C57" s="8"/>
      <c r="D57" s="11"/>
      <c r="E57" s="10"/>
    </row>
    <row r="58" spans="1:8" x14ac:dyDescent="0.25">
      <c r="A58" s="4"/>
      <c r="B58" s="5"/>
      <c r="C58" s="10"/>
      <c r="D58" s="11"/>
      <c r="E58" s="10"/>
      <c r="F58" s="12"/>
    </row>
    <row r="59" spans="1:8" x14ac:dyDescent="0.25">
      <c r="A59" s="6"/>
      <c r="B59" s="7"/>
      <c r="C59" s="10"/>
      <c r="D59" s="11"/>
      <c r="E59" s="10"/>
    </row>
    <row r="60" spans="1:8" x14ac:dyDescent="0.25">
      <c r="A60" s="6"/>
      <c r="B60" s="7"/>
      <c r="C60" s="7"/>
      <c r="D60" s="9"/>
      <c r="E60" s="10"/>
    </row>
    <row r="61" spans="1:8" x14ac:dyDescent="0.25">
      <c r="A61" s="6"/>
      <c r="B61" s="7"/>
      <c r="C61" s="7"/>
      <c r="D61" s="9"/>
      <c r="E61" s="10"/>
    </row>
    <row r="62" spans="1:8" x14ac:dyDescent="0.25">
      <c r="A62" s="6"/>
      <c r="B62" s="7"/>
      <c r="C62" s="7"/>
      <c r="D62" s="8"/>
      <c r="E62" s="8"/>
      <c r="F62" s="3"/>
    </row>
    <row r="63" spans="1:8" x14ac:dyDescent="0.25">
      <c r="A63" s="6"/>
      <c r="B63" s="7"/>
      <c r="D63" s="8"/>
      <c r="E63" s="10"/>
    </row>
    <row r="64" spans="1:8" x14ac:dyDescent="0.25">
      <c r="D64" s="8"/>
      <c r="E64" s="8"/>
    </row>
    <row r="65" spans="2:6" x14ac:dyDescent="0.25">
      <c r="D65" s="10"/>
      <c r="E65" s="10"/>
    </row>
    <row r="66" spans="2:6" x14ac:dyDescent="0.25">
      <c r="D66" s="10"/>
      <c r="E66" s="10"/>
    </row>
    <row r="67" spans="2:6" x14ac:dyDescent="0.25"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10"/>
      <c r="E69" s="10"/>
    </row>
    <row r="70" spans="2:6" x14ac:dyDescent="0.25">
      <c r="B70"/>
      <c r="C70"/>
      <c r="D70" s="10"/>
      <c r="E70" s="10"/>
    </row>
    <row r="71" spans="2:6" x14ac:dyDescent="0.25">
      <c r="B71"/>
      <c r="C71"/>
      <c r="D71" s="8"/>
      <c r="E71" s="8"/>
      <c r="F71" s="3"/>
    </row>
    <row r="72" spans="2:6" x14ac:dyDescent="0.25">
      <c r="B72"/>
      <c r="C72"/>
      <c r="D72" s="10"/>
      <c r="E72" s="10"/>
      <c r="F72" s="3"/>
    </row>
    <row r="73" spans="2:6" x14ac:dyDescent="0.25">
      <c r="D73" s="10"/>
      <c r="E73" s="10"/>
    </row>
    <row r="74" spans="2:6" x14ac:dyDescent="0.25">
      <c r="D74" s="7"/>
      <c r="E74" s="7"/>
    </row>
    <row r="75" spans="2:6" x14ac:dyDescent="0.25">
      <c r="B75"/>
      <c r="C75"/>
      <c r="D75" s="7"/>
      <c r="E75" s="7"/>
    </row>
    <row r="76" spans="2:6" x14ac:dyDescent="0.25">
      <c r="B76"/>
      <c r="C76"/>
      <c r="D76" s="7"/>
      <c r="E76" s="7"/>
    </row>
    <row r="77" spans="2:6" x14ac:dyDescent="0.25">
      <c r="B77"/>
      <c r="C77"/>
    </row>
    <row r="78" spans="2:6" x14ac:dyDescent="0.25">
      <c r="B78"/>
      <c r="C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D93"/>
      <c r="E93"/>
    </row>
    <row r="94" spans="2:5" x14ac:dyDescent="0.25"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95"/>
  <sheetViews>
    <sheetView view="pageBreakPreview" zoomScale="60" workbookViewId="0">
      <selection activeCell="F7" sqref="F7"/>
    </sheetView>
  </sheetViews>
  <sheetFormatPr defaultRowHeight="15" x14ac:dyDescent="0.25"/>
  <cols>
    <col min="1" max="1" width="50.42578125" customWidth="1"/>
    <col min="2" max="2" width="16.5703125" style="3" customWidth="1"/>
    <col min="3" max="3" width="19.5703125" style="3" customWidth="1"/>
    <col min="4" max="4" width="20" style="3" customWidth="1"/>
    <col min="5" max="5" width="20.5703125" style="3" customWidth="1"/>
    <col min="6" max="6" width="23.140625" customWidth="1"/>
    <col min="7" max="7" width="16.42578125" customWidth="1"/>
    <col min="8" max="8" width="16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16" max="16" width="14.4257812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ht="18" x14ac:dyDescent="0.25">
      <c r="A2" s="187" t="s">
        <v>99</v>
      </c>
      <c r="B2" s="2"/>
      <c r="C2" s="2"/>
      <c r="D2" s="2"/>
      <c r="E2" s="25"/>
    </row>
    <row r="3" spans="1:22" x14ac:dyDescent="0.25">
      <c r="A3" s="1"/>
      <c r="B3" s="2"/>
      <c r="C3" s="2"/>
      <c r="D3" s="2"/>
      <c r="E3" s="25"/>
      <c r="L3" s="20"/>
      <c r="M3" s="20"/>
      <c r="N3" s="20"/>
      <c r="O3" s="20"/>
    </row>
    <row r="4" spans="1:22" ht="19.5" thickBot="1" x14ac:dyDescent="0.35">
      <c r="A4" s="624" t="s">
        <v>0</v>
      </c>
      <c r="B4" s="625"/>
      <c r="C4" s="625"/>
      <c r="D4" s="625"/>
      <c r="E4" s="626"/>
      <c r="F4" s="627"/>
      <c r="G4" s="627"/>
      <c r="H4" s="627"/>
      <c r="L4" s="20"/>
      <c r="M4" s="20"/>
      <c r="N4" s="20"/>
      <c r="O4" s="20"/>
    </row>
    <row r="5" spans="1:22" ht="53.25" customHeight="1" thickBot="1" x14ac:dyDescent="0.35">
      <c r="A5" s="628" t="s">
        <v>1</v>
      </c>
      <c r="B5" s="629"/>
      <c r="C5" s="630" t="s">
        <v>2</v>
      </c>
      <c r="D5" s="631" t="s">
        <v>3</v>
      </c>
      <c r="E5" s="626"/>
      <c r="F5" s="627"/>
      <c r="G5" s="627"/>
      <c r="H5" s="627"/>
      <c r="L5" s="20"/>
      <c r="M5" s="20"/>
      <c r="N5" s="20"/>
      <c r="O5" s="20"/>
    </row>
    <row r="6" spans="1:22" ht="19.5" thickBot="1" x14ac:dyDescent="0.35">
      <c r="A6" s="632" t="s">
        <v>51</v>
      </c>
      <c r="B6" s="633"/>
      <c r="C6" s="633">
        <v>508.4</v>
      </c>
      <c r="D6" s="634">
        <v>24</v>
      </c>
      <c r="E6" s="626"/>
      <c r="F6" s="627"/>
      <c r="G6" s="627"/>
      <c r="H6" s="627"/>
      <c r="L6" s="20"/>
      <c r="M6" s="20"/>
      <c r="N6" s="20"/>
      <c r="O6" s="20"/>
    </row>
    <row r="7" spans="1:22" ht="18.75" x14ac:dyDescent="0.3">
      <c r="A7" s="661"/>
      <c r="B7" s="636"/>
      <c r="C7" s="795"/>
      <c r="D7" s="796"/>
      <c r="E7" s="626"/>
      <c r="F7" s="627"/>
      <c r="G7" s="627"/>
      <c r="H7" s="627"/>
      <c r="L7" s="20"/>
      <c r="M7" s="20"/>
      <c r="N7" s="20"/>
      <c r="O7" s="20"/>
    </row>
    <row r="8" spans="1:22" ht="19.5" thickBot="1" x14ac:dyDescent="0.35">
      <c r="A8" s="637" t="s">
        <v>5</v>
      </c>
      <c r="B8" s="638"/>
      <c r="C8" s="638">
        <f>C6+C7</f>
        <v>508.4</v>
      </c>
      <c r="D8" s="639"/>
      <c r="E8" s="626"/>
      <c r="F8" s="627"/>
      <c r="G8" s="627"/>
      <c r="H8" s="627"/>
      <c r="L8" s="20"/>
      <c r="M8" s="20"/>
      <c r="N8" s="20"/>
      <c r="O8" s="20"/>
    </row>
    <row r="9" spans="1:22" ht="19.5" thickBot="1" x14ac:dyDescent="0.35">
      <c r="A9" s="640"/>
      <c r="B9" s="641"/>
      <c r="C9" s="641"/>
      <c r="D9" s="642"/>
      <c r="E9" s="626"/>
      <c r="F9" s="627"/>
      <c r="G9" s="627"/>
      <c r="H9" s="627"/>
      <c r="L9" s="20"/>
      <c r="M9" s="20"/>
      <c r="N9" s="20"/>
      <c r="O9" s="20"/>
    </row>
    <row r="10" spans="1:22" ht="19.5" thickBot="1" x14ac:dyDescent="0.35">
      <c r="A10" s="643" t="s">
        <v>71</v>
      </c>
      <c r="B10" s="644"/>
      <c r="C10" s="644"/>
      <c r="D10" s="645" t="s">
        <v>6</v>
      </c>
      <c r="E10" s="626"/>
      <c r="F10" s="627"/>
      <c r="G10" s="627"/>
      <c r="H10" s="627"/>
      <c r="L10" s="20"/>
      <c r="M10" s="20"/>
      <c r="N10" s="20"/>
      <c r="O10" s="20"/>
    </row>
    <row r="11" spans="1:22" ht="18.75" x14ac:dyDescent="0.3">
      <c r="A11" s="646" t="s">
        <v>7</v>
      </c>
      <c r="B11" s="647"/>
      <c r="C11" s="647"/>
      <c r="D11" s="648">
        <v>11.94</v>
      </c>
      <c r="E11" s="626"/>
      <c r="F11" s="627"/>
      <c r="G11" s="627"/>
      <c r="H11" s="627"/>
      <c r="L11" s="20"/>
      <c r="M11" s="20"/>
      <c r="N11" s="20"/>
      <c r="O11" s="20"/>
    </row>
    <row r="12" spans="1:22" ht="18.75" x14ac:dyDescent="0.3">
      <c r="A12" s="646" t="s">
        <v>8</v>
      </c>
      <c r="B12" s="647"/>
      <c r="C12" s="647"/>
      <c r="D12" s="648">
        <v>5.77</v>
      </c>
      <c r="E12" s="626"/>
      <c r="F12" s="627"/>
      <c r="G12" s="627"/>
      <c r="H12" s="627"/>
      <c r="L12" s="20"/>
      <c r="M12" s="20"/>
      <c r="N12" s="20"/>
      <c r="O12" s="20"/>
    </row>
    <row r="13" spans="1:22" ht="18.75" x14ac:dyDescent="0.3">
      <c r="A13" s="646" t="s">
        <v>9</v>
      </c>
      <c r="B13" s="647"/>
      <c r="C13" s="647"/>
      <c r="D13" s="649">
        <v>0</v>
      </c>
      <c r="E13" s="626"/>
      <c r="F13" s="627"/>
      <c r="G13" s="627"/>
      <c r="H13" s="627"/>
      <c r="L13" s="20"/>
      <c r="M13" s="20"/>
      <c r="N13" s="20"/>
      <c r="O13" s="20"/>
    </row>
    <row r="14" spans="1:22" ht="19.5" thickBot="1" x14ac:dyDescent="0.35">
      <c r="A14" s="650" t="s">
        <v>10</v>
      </c>
      <c r="B14" s="651"/>
      <c r="C14" s="651"/>
      <c r="D14" s="652">
        <v>0</v>
      </c>
      <c r="E14" s="653"/>
      <c r="F14" s="627"/>
      <c r="G14" s="627"/>
      <c r="H14" s="627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spans="1:22" ht="18.75" x14ac:dyDescent="0.3">
      <c r="A15" s="654"/>
      <c r="B15" s="655"/>
      <c r="C15" s="655"/>
      <c r="D15" s="655"/>
      <c r="E15" s="653"/>
      <c r="F15" s="627"/>
      <c r="G15" s="627"/>
      <c r="H15" s="627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spans="1:22" ht="19.5" thickBot="1" x14ac:dyDescent="0.35">
      <c r="A16" s="656" t="s">
        <v>72</v>
      </c>
      <c r="B16" s="657"/>
      <c r="C16" s="657"/>
      <c r="D16" s="657"/>
      <c r="E16" s="625"/>
      <c r="F16" s="625"/>
      <c r="G16" s="625"/>
      <c r="H16" s="625"/>
      <c r="L16" s="20"/>
      <c r="M16" s="21"/>
      <c r="N16" s="21"/>
      <c r="O16" s="20"/>
      <c r="P16" s="6"/>
      <c r="Q16" s="6"/>
      <c r="R16" s="6"/>
      <c r="S16" s="6"/>
      <c r="T16" s="6"/>
      <c r="U16" s="6"/>
      <c r="V16" s="6"/>
    </row>
    <row r="17" spans="1:22" ht="89.25" customHeight="1" thickBot="1" x14ac:dyDescent="0.3">
      <c r="A17" s="658" t="s">
        <v>11</v>
      </c>
      <c r="B17" s="134" t="s">
        <v>73</v>
      </c>
      <c r="C17" s="135" t="s">
        <v>74</v>
      </c>
      <c r="D17" s="135" t="s">
        <v>84</v>
      </c>
      <c r="E17" s="135" t="s">
        <v>75</v>
      </c>
      <c r="F17" s="317" t="s">
        <v>76</v>
      </c>
      <c r="G17" s="137" t="s">
        <v>77</v>
      </c>
      <c r="H17" s="138" t="s">
        <v>78</v>
      </c>
      <c r="J17" s="58"/>
      <c r="L17" s="58"/>
      <c r="M17" s="23"/>
      <c r="N17" s="23"/>
      <c r="O17" s="20"/>
      <c r="P17" s="6"/>
      <c r="Q17" s="6"/>
      <c r="R17" s="6"/>
      <c r="S17" s="6"/>
      <c r="T17" s="6"/>
      <c r="U17" s="6"/>
      <c r="V17" s="6"/>
    </row>
    <row r="18" spans="1:22" ht="18" x14ac:dyDescent="0.25">
      <c r="A18" s="635" t="s">
        <v>12</v>
      </c>
      <c r="B18" s="797">
        <v>9102.9077869951725</v>
      </c>
      <c r="C18" s="798">
        <v>72843.48</v>
      </c>
      <c r="D18" s="798"/>
      <c r="E18" s="799">
        <v>75990.860133179696</v>
      </c>
      <c r="F18" s="659">
        <v>5955.5276538154721</v>
      </c>
      <c r="G18" s="660">
        <v>72843.48</v>
      </c>
      <c r="H18" s="800">
        <v>0</v>
      </c>
      <c r="L18" s="20"/>
      <c r="M18" s="20"/>
      <c r="N18" s="20"/>
      <c r="O18" s="20"/>
      <c r="P18" s="55"/>
      <c r="Q18" s="6"/>
      <c r="R18" s="6"/>
      <c r="S18" s="6"/>
      <c r="T18" s="6"/>
      <c r="U18" s="6"/>
      <c r="V18" s="6"/>
    </row>
    <row r="19" spans="1:22" ht="18" x14ac:dyDescent="0.25">
      <c r="A19" s="661" t="s">
        <v>13</v>
      </c>
      <c r="B19" s="662">
        <v>4399.0119276957785</v>
      </c>
      <c r="C19" s="801">
        <v>35201.879999999997</v>
      </c>
      <c r="D19" s="801"/>
      <c r="E19" s="799">
        <v>36706.870068166652</v>
      </c>
      <c r="F19" s="663">
        <v>2894.0218595291226</v>
      </c>
      <c r="G19" s="664">
        <v>0</v>
      </c>
      <c r="H19" s="800">
        <v>35201.879999999997</v>
      </c>
      <c r="L19" s="23"/>
      <c r="M19" s="20"/>
      <c r="N19" s="23"/>
      <c r="O19" s="20"/>
      <c r="P19" s="6"/>
      <c r="Q19" s="6"/>
      <c r="R19" s="6"/>
      <c r="S19" s="6"/>
      <c r="T19" s="6"/>
      <c r="U19" s="6"/>
      <c r="V19" s="6"/>
    </row>
    <row r="20" spans="1:22" ht="18" x14ac:dyDescent="0.25">
      <c r="A20" s="665" t="s">
        <v>15</v>
      </c>
      <c r="B20" s="666"/>
      <c r="C20" s="667"/>
      <c r="D20" s="802"/>
      <c r="E20" s="803"/>
      <c r="F20" s="666">
        <v>0</v>
      </c>
      <c r="G20" s="804">
        <v>0</v>
      </c>
      <c r="H20" s="800">
        <v>0</v>
      </c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spans="1:22" ht="18.75" thickBot="1" x14ac:dyDescent="0.3">
      <c r="A21" s="637" t="s">
        <v>14</v>
      </c>
      <c r="B21" s="805"/>
      <c r="C21" s="806"/>
      <c r="D21" s="807"/>
      <c r="E21" s="808"/>
      <c r="F21" s="666">
        <v>0</v>
      </c>
      <c r="G21" s="809"/>
      <c r="H21" s="800">
        <v>0</v>
      </c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spans="1:22" ht="18.75" thickBot="1" x14ac:dyDescent="0.3">
      <c r="A22" s="668" t="s">
        <v>16</v>
      </c>
      <c r="B22" s="669">
        <v>3474.6011278058613</v>
      </c>
      <c r="C22" s="670">
        <v>35862.550000000003</v>
      </c>
      <c r="D22" s="670">
        <v>0</v>
      </c>
      <c r="E22" s="670">
        <v>38020.139798653647</v>
      </c>
      <c r="F22" s="670">
        <v>1317.0113291522102</v>
      </c>
      <c r="G22" s="670">
        <v>53337.11</v>
      </c>
      <c r="H22" s="810">
        <v>-17474.560000000001</v>
      </c>
      <c r="M22" s="20"/>
      <c r="N22" s="6"/>
      <c r="O22" s="6"/>
      <c r="P22" s="6"/>
      <c r="Q22" s="6"/>
      <c r="R22" s="6"/>
      <c r="S22" s="6"/>
      <c r="T22" s="6"/>
      <c r="U22" s="6"/>
      <c r="V22" s="6"/>
    </row>
    <row r="23" spans="1:22" ht="18.75" x14ac:dyDescent="0.3">
      <c r="A23" s="671" t="s">
        <v>17</v>
      </c>
      <c r="B23" s="672"/>
      <c r="C23" s="811"/>
      <c r="D23" s="812"/>
      <c r="E23" s="813"/>
      <c r="F23" s="672">
        <v>0</v>
      </c>
      <c r="G23" s="814"/>
      <c r="H23" s="800">
        <v>0</v>
      </c>
      <c r="M23" s="20"/>
      <c r="N23" s="6"/>
      <c r="O23" s="6"/>
      <c r="P23" s="6"/>
      <c r="Q23" s="6"/>
      <c r="R23" s="6"/>
      <c r="S23" s="6"/>
      <c r="T23" s="6"/>
      <c r="U23" s="6"/>
      <c r="V23" s="6"/>
    </row>
    <row r="24" spans="1:22" ht="18.75" x14ac:dyDescent="0.3">
      <c r="A24" s="673" t="s">
        <v>18</v>
      </c>
      <c r="B24" s="674"/>
      <c r="C24" s="815"/>
      <c r="D24" s="674"/>
      <c r="E24" s="816"/>
      <c r="F24" s="674">
        <v>0</v>
      </c>
      <c r="G24" s="675"/>
      <c r="H24" s="800">
        <v>0</v>
      </c>
      <c r="M24" s="20"/>
      <c r="N24" s="6"/>
      <c r="O24" s="6"/>
      <c r="P24" s="6"/>
      <c r="Q24" s="6"/>
      <c r="R24" s="6"/>
      <c r="S24" s="6"/>
      <c r="T24" s="6"/>
      <c r="U24" s="6"/>
      <c r="V24" s="6"/>
    </row>
    <row r="25" spans="1:22" ht="18.75" x14ac:dyDescent="0.3">
      <c r="A25" s="673" t="s">
        <v>19</v>
      </c>
      <c r="B25" s="674">
        <v>1304.9715505819597</v>
      </c>
      <c r="C25" s="798">
        <v>17760.79</v>
      </c>
      <c r="D25" s="798"/>
      <c r="E25" s="799">
        <v>18785.014408306986</v>
      </c>
      <c r="F25" s="674">
        <v>280.74714227497316</v>
      </c>
      <c r="G25" s="817">
        <v>25141.46</v>
      </c>
      <c r="H25" s="800">
        <v>-7380.6699999999983</v>
      </c>
      <c r="M25" s="20"/>
      <c r="N25" s="6"/>
      <c r="O25" s="6"/>
      <c r="P25" s="6"/>
      <c r="Q25" s="6"/>
      <c r="R25" s="6"/>
      <c r="S25" s="6"/>
      <c r="T25" s="6"/>
      <c r="U25" s="6"/>
      <c r="V25" s="6"/>
    </row>
    <row r="26" spans="1:22" ht="18.75" x14ac:dyDescent="0.3">
      <c r="A26" s="673" t="s">
        <v>20</v>
      </c>
      <c r="B26" s="674">
        <v>2169.6295772239014</v>
      </c>
      <c r="C26" s="798">
        <v>18101.759999999998</v>
      </c>
      <c r="D26" s="801"/>
      <c r="E26" s="799">
        <v>19235.125390346664</v>
      </c>
      <c r="F26" s="674">
        <v>1036.2641868772371</v>
      </c>
      <c r="G26" s="817">
        <v>28195.65</v>
      </c>
      <c r="H26" s="800">
        <v>-10093.890000000003</v>
      </c>
      <c r="K26" s="52"/>
      <c r="M26" s="20"/>
      <c r="N26" s="6"/>
      <c r="O26" s="6"/>
      <c r="P26" s="6"/>
      <c r="Q26" s="6"/>
      <c r="R26" s="6"/>
      <c r="S26" s="6"/>
      <c r="T26" s="6"/>
      <c r="U26" s="6"/>
      <c r="V26" s="6"/>
    </row>
    <row r="27" spans="1:22" ht="18" x14ac:dyDescent="0.25">
      <c r="A27" s="661" t="s">
        <v>31</v>
      </c>
      <c r="B27" s="676"/>
      <c r="C27" s="818"/>
      <c r="D27" s="819"/>
      <c r="E27" s="819"/>
      <c r="F27" s="674">
        <v>0</v>
      </c>
      <c r="G27" s="820"/>
      <c r="H27" s="800">
        <v>0</v>
      </c>
      <c r="M27" s="20"/>
      <c r="N27" s="6"/>
      <c r="O27" s="6"/>
      <c r="P27" s="6"/>
      <c r="Q27" s="6"/>
      <c r="R27" s="6"/>
      <c r="S27" s="6"/>
      <c r="T27" s="6"/>
      <c r="U27" s="6"/>
      <c r="V27" s="6"/>
    </row>
    <row r="28" spans="1:22" ht="18" x14ac:dyDescent="0.25">
      <c r="A28" s="661" t="s">
        <v>21</v>
      </c>
      <c r="B28" s="663"/>
      <c r="C28" s="801">
        <v>2685.76</v>
      </c>
      <c r="D28" s="801">
        <v>-2685.76</v>
      </c>
      <c r="E28" s="799">
        <v>2401.52</v>
      </c>
      <c r="F28" s="674">
        <v>-2401.52</v>
      </c>
      <c r="G28" s="676">
        <v>1921.2159999999999</v>
      </c>
      <c r="H28" s="800">
        <v>-1921.2159999999999</v>
      </c>
      <c r="K28" s="8"/>
      <c r="L28" s="3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9.5" hidden="1" thickBot="1" x14ac:dyDescent="0.35">
      <c r="A29" s="637" t="s">
        <v>22</v>
      </c>
      <c r="B29" s="677">
        <v>0</v>
      </c>
      <c r="C29" s="677"/>
      <c r="D29" s="677"/>
      <c r="E29" s="677"/>
      <c r="F29" s="678">
        <v>0</v>
      </c>
      <c r="G29" s="679"/>
      <c r="H29" s="680"/>
      <c r="K29" s="3"/>
      <c r="L29" s="3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8.75" thickBot="1" x14ac:dyDescent="0.3">
      <c r="A30" s="681" t="s">
        <v>23</v>
      </c>
      <c r="B30" s="682">
        <v>16976.520842496811</v>
      </c>
      <c r="C30" s="682">
        <v>146593.66999999998</v>
      </c>
      <c r="D30" s="682">
        <v>-2685.76</v>
      </c>
      <c r="E30" s="682">
        <v>153119.38999999998</v>
      </c>
      <c r="F30" s="682">
        <v>7765.0408424968045</v>
      </c>
      <c r="G30" s="682">
        <v>128101.806</v>
      </c>
      <c r="H30" s="821">
        <v>15806.103999999996</v>
      </c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8.75" x14ac:dyDescent="0.3">
      <c r="A31" s="683"/>
      <c r="B31" s="684"/>
      <c r="C31" s="647"/>
      <c r="D31" s="647"/>
      <c r="E31" s="647"/>
      <c r="F31" s="626"/>
      <c r="G31" s="685"/>
      <c r="H31" s="685"/>
      <c r="I31" s="15"/>
      <c r="J31" s="15"/>
      <c r="K31" s="3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8.75" x14ac:dyDescent="0.3">
      <c r="A32" s="683"/>
      <c r="B32" s="684"/>
      <c r="C32" s="647"/>
      <c r="D32" s="686"/>
      <c r="E32" s="647"/>
      <c r="F32" s="653"/>
      <c r="G32" s="687"/>
      <c r="H32" s="687"/>
      <c r="I32" s="27"/>
      <c r="J32" s="15"/>
    </row>
    <row r="33" spans="1:8" ht="18.75" x14ac:dyDescent="0.3">
      <c r="A33" s="683"/>
      <c r="B33" s="688"/>
      <c r="C33" s="647"/>
      <c r="D33" s="647"/>
      <c r="E33" s="647"/>
      <c r="F33" s="689"/>
      <c r="G33" s="627"/>
      <c r="H33" s="627"/>
    </row>
    <row r="34" spans="1:8" ht="19.5" thickBot="1" x14ac:dyDescent="0.35">
      <c r="A34" s="683" t="s">
        <v>272</v>
      </c>
      <c r="B34" s="689"/>
      <c r="C34" s="689"/>
      <c r="D34" s="647"/>
      <c r="E34" s="647"/>
      <c r="F34" s="689"/>
      <c r="G34" s="627"/>
      <c r="H34" s="627"/>
    </row>
    <row r="35" spans="1:8" ht="108.75" thickBot="1" x14ac:dyDescent="0.35">
      <c r="A35" s="822" t="s">
        <v>33</v>
      </c>
      <c r="B35" s="823" t="s">
        <v>25</v>
      </c>
      <c r="C35" s="824" t="s">
        <v>29</v>
      </c>
      <c r="D35" s="647"/>
      <c r="E35" s="647"/>
      <c r="F35" s="689"/>
      <c r="G35" s="627"/>
      <c r="H35" s="627"/>
    </row>
    <row r="36" spans="1:8" ht="18.75" x14ac:dyDescent="0.3">
      <c r="A36" s="825" t="s">
        <v>26</v>
      </c>
      <c r="B36" s="826" t="s">
        <v>24</v>
      </c>
      <c r="C36" s="827" t="s">
        <v>24</v>
      </c>
      <c r="D36" s="647"/>
      <c r="E36" s="647"/>
      <c r="F36" s="689"/>
      <c r="G36" s="627"/>
      <c r="H36" s="627"/>
    </row>
    <row r="37" spans="1:8" ht="18.75" x14ac:dyDescent="0.3">
      <c r="A37" s="828"/>
      <c r="B37" s="829"/>
      <c r="C37" s="830"/>
      <c r="D37" s="690"/>
      <c r="E37" s="831"/>
      <c r="F37" s="832"/>
      <c r="G37" s="685"/>
      <c r="H37" s="627"/>
    </row>
    <row r="38" spans="1:8" ht="19.5" thickBot="1" x14ac:dyDescent="0.35">
      <c r="A38" s="637" t="s">
        <v>5</v>
      </c>
      <c r="B38" s="638">
        <v>0</v>
      </c>
      <c r="C38" s="833">
        <f>SUM(C37:C37)</f>
        <v>0</v>
      </c>
      <c r="D38" s="641"/>
      <c r="E38" s="641"/>
      <c r="F38" s="641"/>
      <c r="G38" s="685"/>
      <c r="H38" s="627"/>
    </row>
    <row r="39" spans="1:8" ht="18.75" x14ac:dyDescent="0.3">
      <c r="A39" s="691"/>
      <c r="B39" s="95"/>
      <c r="C39" s="96"/>
      <c r="D39" s="692"/>
      <c r="E39" s="693"/>
      <c r="F39" s="694"/>
      <c r="G39" s="685"/>
      <c r="H39" s="627"/>
    </row>
    <row r="40" spans="1:8" ht="18.75" x14ac:dyDescent="0.3">
      <c r="A40" s="691"/>
      <c r="B40" s="95"/>
      <c r="C40" s="96"/>
      <c r="D40" s="692"/>
      <c r="E40" s="693"/>
      <c r="F40" s="694"/>
      <c r="G40" s="685"/>
      <c r="H40" s="627"/>
    </row>
    <row r="41" spans="1:8" ht="18.75" hidden="1" x14ac:dyDescent="0.3">
      <c r="A41" s="691" t="s">
        <v>118</v>
      </c>
      <c r="B41" s="95">
        <f>17135.88+H19</f>
        <v>52337.759999999995</v>
      </c>
      <c r="C41" s="96" t="s">
        <v>24</v>
      </c>
      <c r="D41" s="692"/>
      <c r="E41" s="693"/>
      <c r="F41" s="694"/>
      <c r="G41" s="685"/>
      <c r="H41" s="627"/>
    </row>
    <row r="42" spans="1:8" ht="18.75" x14ac:dyDescent="0.3">
      <c r="A42" s="691"/>
      <c r="B42" s="95"/>
      <c r="C42" s="96"/>
      <c r="D42" s="692"/>
      <c r="E42" s="693"/>
      <c r="F42" s="694"/>
      <c r="G42" s="685"/>
      <c r="H42" s="627"/>
    </row>
    <row r="43" spans="1:8" ht="37.5" x14ac:dyDescent="0.3">
      <c r="A43" s="97" t="s">
        <v>288</v>
      </c>
      <c r="B43" s="95">
        <f>16181.52+17135.88+E19-G19</f>
        <v>70024.270068166661</v>
      </c>
      <c r="C43" s="96" t="s">
        <v>24</v>
      </c>
      <c r="D43" s="692"/>
      <c r="E43" s="693"/>
      <c r="F43" s="694"/>
      <c r="G43" s="685"/>
      <c r="H43" s="627"/>
    </row>
    <row r="44" spans="1:8" ht="18.75" x14ac:dyDescent="0.3">
      <c r="A44" s="691"/>
      <c r="B44" s="95"/>
      <c r="C44" s="96"/>
      <c r="D44" s="692"/>
      <c r="E44" s="693"/>
      <c r="F44" s="694"/>
      <c r="G44" s="685"/>
      <c r="H44" s="627"/>
    </row>
    <row r="45" spans="1:8" ht="18.75" x14ac:dyDescent="0.3">
      <c r="A45" s="695" t="s">
        <v>69</v>
      </c>
      <c r="B45" s="696"/>
      <c r="C45" s="697"/>
      <c r="D45" s="692"/>
      <c r="E45" s="693"/>
      <c r="F45" s="694"/>
      <c r="G45" s="685"/>
      <c r="H45" s="627"/>
    </row>
    <row r="46" spans="1:8" ht="18.75" x14ac:dyDescent="0.3">
      <c r="A46" s="698"/>
      <c r="B46" s="696"/>
      <c r="C46" s="697"/>
      <c r="D46" s="692"/>
      <c r="E46" s="693"/>
      <c r="F46" s="694"/>
      <c r="G46" s="685"/>
      <c r="H46" s="627"/>
    </row>
    <row r="47" spans="1:8" ht="18.75" x14ac:dyDescent="0.3">
      <c r="A47" s="695" t="s">
        <v>53</v>
      </c>
      <c r="B47" s="696" t="s">
        <v>54</v>
      </c>
      <c r="C47" s="699"/>
      <c r="D47" s="692"/>
      <c r="E47" s="693"/>
      <c r="F47" s="694"/>
      <c r="G47" s="685"/>
      <c r="H47" s="627"/>
    </row>
    <row r="48" spans="1:8" x14ac:dyDescent="0.25">
      <c r="A48" s="31"/>
      <c r="B48" s="28"/>
      <c r="C48" s="36"/>
      <c r="D48" s="19"/>
      <c r="E48" s="17"/>
      <c r="F48" s="18"/>
      <c r="G48" s="15"/>
    </row>
    <row r="49" spans="1:7" x14ac:dyDescent="0.25">
      <c r="A49" s="37"/>
      <c r="B49" s="38"/>
      <c r="C49" s="36"/>
      <c r="D49" s="19"/>
      <c r="E49" s="17"/>
      <c r="F49" s="18"/>
      <c r="G49" s="15"/>
    </row>
    <row r="50" spans="1:7" ht="15.75" x14ac:dyDescent="0.25">
      <c r="A50" s="39" t="s">
        <v>27</v>
      </c>
      <c r="B50" s="40" t="s">
        <v>54</v>
      </c>
      <c r="C50" s="41"/>
      <c r="D50" s="42" t="s">
        <v>28</v>
      </c>
      <c r="E50" s="10"/>
    </row>
    <row r="51" spans="1:7" x14ac:dyDescent="0.25">
      <c r="A51" s="6"/>
      <c r="B51" s="7"/>
      <c r="C51" s="10"/>
      <c r="D51" s="35"/>
      <c r="E51" s="8"/>
    </row>
    <row r="52" spans="1:7" x14ac:dyDescent="0.25">
      <c r="A52" s="6"/>
      <c r="B52" s="7"/>
      <c r="C52" s="10"/>
      <c r="D52" s="34"/>
      <c r="E52" s="8"/>
    </row>
    <row r="53" spans="1:7" x14ac:dyDescent="0.25">
      <c r="A53" s="13"/>
      <c r="B53" s="14"/>
      <c r="C53" s="10"/>
      <c r="D53" s="29"/>
      <c r="E53" s="10"/>
    </row>
    <row r="54" spans="1:7" x14ac:dyDescent="0.25">
      <c r="C54" s="10"/>
      <c r="E54" s="10"/>
    </row>
    <row r="55" spans="1:7" x14ac:dyDescent="0.25">
      <c r="A55" s="6"/>
      <c r="B55" s="7"/>
      <c r="C55" s="8"/>
      <c r="D55" s="11"/>
      <c r="E55" s="10"/>
    </row>
    <row r="56" spans="1:7" x14ac:dyDescent="0.25">
      <c r="A56" s="4"/>
      <c r="B56" s="5"/>
      <c r="C56" s="10"/>
      <c r="D56" s="11"/>
      <c r="E56" s="10"/>
      <c r="F56" s="12"/>
    </row>
    <row r="57" spans="1:7" x14ac:dyDescent="0.25">
      <c r="A57" s="6"/>
      <c r="B57" s="7"/>
      <c r="C57" s="10"/>
      <c r="D57" s="11"/>
      <c r="E57" s="10"/>
    </row>
    <row r="58" spans="1:7" x14ac:dyDescent="0.25">
      <c r="A58" s="6"/>
      <c r="B58" s="7"/>
      <c r="C58" s="7"/>
      <c r="D58" s="9"/>
      <c r="E58" s="10"/>
    </row>
    <row r="59" spans="1:7" x14ac:dyDescent="0.25">
      <c r="A59" s="6"/>
      <c r="B59" s="7"/>
      <c r="C59" s="7"/>
      <c r="D59" s="9"/>
      <c r="E59" s="10"/>
    </row>
    <row r="60" spans="1:7" x14ac:dyDescent="0.25">
      <c r="A60" s="6"/>
      <c r="B60" s="7"/>
      <c r="C60" s="7"/>
      <c r="D60" s="8"/>
      <c r="E60" s="8"/>
      <c r="F60" s="3"/>
    </row>
    <row r="61" spans="1:7" x14ac:dyDescent="0.25">
      <c r="A61" s="6"/>
      <c r="B61" s="7"/>
      <c r="D61" s="8"/>
      <c r="E61" s="10"/>
    </row>
    <row r="62" spans="1:7" x14ac:dyDescent="0.25">
      <c r="D62" s="8"/>
      <c r="E62" s="8"/>
    </row>
    <row r="63" spans="1:7" x14ac:dyDescent="0.25">
      <c r="D63" s="10"/>
      <c r="E63" s="10"/>
    </row>
    <row r="64" spans="1:7" hidden="1" x14ac:dyDescent="0.25">
      <c r="D64" s="10"/>
      <c r="E64" s="10"/>
    </row>
    <row r="65" spans="2:6" hidden="1" x14ac:dyDescent="0.25">
      <c r="D65" s="10"/>
      <c r="E65" s="10"/>
    </row>
    <row r="66" spans="2:6" hidden="1" x14ac:dyDescent="0.25">
      <c r="B66"/>
      <c r="C66"/>
      <c r="D66" s="10"/>
      <c r="E66" s="10"/>
    </row>
    <row r="67" spans="2:6" x14ac:dyDescent="0.25">
      <c r="B67"/>
      <c r="C67"/>
      <c r="D67" s="10"/>
      <c r="E67" s="10"/>
    </row>
    <row r="68" spans="2:6" x14ac:dyDescent="0.25">
      <c r="B68"/>
      <c r="C68"/>
      <c r="D68" s="10"/>
      <c r="E68" s="10"/>
    </row>
    <row r="69" spans="2:6" x14ac:dyDescent="0.25">
      <c r="B69"/>
      <c r="C69"/>
      <c r="D69" s="8"/>
      <c r="E69" s="8"/>
      <c r="F69" s="3"/>
    </row>
    <row r="70" spans="2:6" x14ac:dyDescent="0.25">
      <c r="B70"/>
      <c r="C70"/>
      <c r="D70" s="10"/>
      <c r="E70" s="10"/>
      <c r="F70" s="3"/>
    </row>
    <row r="71" spans="2:6" x14ac:dyDescent="0.25">
      <c r="D71" s="10"/>
      <c r="E71" s="10"/>
    </row>
    <row r="72" spans="2:6" x14ac:dyDescent="0.25">
      <c r="D72" s="7"/>
      <c r="E72" s="7"/>
    </row>
    <row r="73" spans="2:6" x14ac:dyDescent="0.25">
      <c r="B73"/>
      <c r="C73"/>
      <c r="D73" s="7"/>
      <c r="E73" s="7"/>
    </row>
    <row r="74" spans="2:6" x14ac:dyDescent="0.25">
      <c r="B74"/>
      <c r="C74"/>
      <c r="D74" s="7"/>
      <c r="E74" s="7"/>
    </row>
    <row r="75" spans="2:6" x14ac:dyDescent="0.25">
      <c r="B75"/>
      <c r="C75"/>
    </row>
    <row r="76" spans="2:6" x14ac:dyDescent="0.25">
      <c r="B76"/>
      <c r="C76"/>
    </row>
    <row r="77" spans="2:6" x14ac:dyDescent="0.25">
      <c r="B77"/>
      <c r="C77"/>
      <c r="D77"/>
      <c r="E77"/>
    </row>
    <row r="78" spans="2:6" x14ac:dyDescent="0.25">
      <c r="B78"/>
      <c r="C78"/>
      <c r="D78"/>
      <c r="E78"/>
    </row>
    <row r="79" spans="2:6" x14ac:dyDescent="0.25">
      <c r="B79"/>
      <c r="C79"/>
      <c r="D79"/>
      <c r="E79"/>
    </row>
    <row r="80" spans="2:6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D86"/>
      <c r="E86"/>
    </row>
    <row r="87" spans="2:5" x14ac:dyDescent="0.25">
      <c r="D87"/>
      <c r="E87"/>
    </row>
    <row r="88" spans="2:5" x14ac:dyDescent="0.25">
      <c r="D88"/>
      <c r="E88"/>
    </row>
    <row r="89" spans="2:5" x14ac:dyDescent="0.25">
      <c r="D89"/>
      <c r="E89"/>
    </row>
    <row r="90" spans="2:5" x14ac:dyDescent="0.25">
      <c r="D90"/>
      <c r="E90"/>
    </row>
    <row r="91" spans="2:5" x14ac:dyDescent="0.25">
      <c r="D91"/>
      <c r="E91"/>
    </row>
    <row r="92" spans="2:5" x14ac:dyDescent="0.25"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</sheetData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78</vt:i4>
      </vt:variant>
    </vt:vector>
  </HeadingPairs>
  <TitlesOfParts>
    <vt:vector size="156" baseType="lpstr">
      <vt:lpstr>4 жд, 46б</vt:lpstr>
      <vt:lpstr>гоголя, 42б</vt:lpstr>
      <vt:lpstr>Лапина,17</vt:lpstr>
      <vt:lpstr>мичурина,7</vt:lpstr>
      <vt:lpstr>мичурина,7-1</vt:lpstr>
      <vt:lpstr>Мичурина, 7-2</vt:lpstr>
      <vt:lpstr>Роза Люксембург, 5</vt:lpstr>
      <vt:lpstr>чайковского,14</vt:lpstr>
      <vt:lpstr>шмидта,32</vt:lpstr>
      <vt:lpstr>2 жд, 4</vt:lpstr>
      <vt:lpstr>4 жд, 14а</vt:lpstr>
      <vt:lpstr>Горького 29</vt:lpstr>
      <vt:lpstr>Джамбула 4</vt:lpstr>
      <vt:lpstr>Пушкина,13</vt:lpstr>
      <vt:lpstr>Российская,25</vt:lpstr>
      <vt:lpstr>Румянцева,15а</vt:lpstr>
      <vt:lpstr>Воронежская,23</vt:lpstr>
      <vt:lpstr>чайковского,9</vt:lpstr>
      <vt:lpstr>свердлова,1</vt:lpstr>
      <vt:lpstr>гашека, 4а</vt:lpstr>
      <vt:lpstr>гашека,7</vt:lpstr>
      <vt:lpstr>румянцева, 26</vt:lpstr>
      <vt:lpstr>Пушкина, 6</vt:lpstr>
      <vt:lpstr>Профсоюзная,15</vt:lpstr>
      <vt:lpstr>Карла Маркса, 32</vt:lpstr>
      <vt:lpstr>Воронежская, 13</vt:lpstr>
      <vt:lpstr>Воронежская, 17</vt:lpstr>
      <vt:lpstr>Воронежская, 19</vt:lpstr>
      <vt:lpstr>Севастопольская,145</vt:lpstr>
      <vt:lpstr>Севастопольская,147</vt:lpstr>
      <vt:lpstr>Профсоюзная, 4</vt:lpstr>
      <vt:lpstr>15-ый Советский, 17</vt:lpstr>
      <vt:lpstr>1-ый Советский, 1</vt:lpstr>
      <vt:lpstr>1-ый Советский, 2</vt:lpstr>
      <vt:lpstr>1-ый Советский, 3</vt:lpstr>
      <vt:lpstr>1-ый советский, 4</vt:lpstr>
      <vt:lpstr>1-ый Советский, 5</vt:lpstr>
      <vt:lpstr>1-ый Советский, 6</vt:lpstr>
      <vt:lpstr>1-ый Советский, 7</vt:lpstr>
      <vt:lpstr>Грязнова, 15а</vt:lpstr>
      <vt:lpstr>Грязнова, 15в</vt:lpstr>
      <vt:lpstr>Грязнова, 18</vt:lpstr>
      <vt:lpstr>Грязнова, 26</vt:lpstr>
      <vt:lpstr>Р. Штаба, 18а</vt:lpstr>
      <vt:lpstr>Р. Штаба, 18б</vt:lpstr>
      <vt:lpstr>Р. Штаба, 18д</vt:lpstr>
      <vt:lpstr>Свердлова, 38</vt:lpstr>
      <vt:lpstr>4-я Железнодорожная, 23ж</vt:lpstr>
      <vt:lpstr>Р. Люксембург, 80</vt:lpstr>
      <vt:lpstr>Р. Люксембург, 78</vt:lpstr>
      <vt:lpstr>Р. Люксембург, 72</vt:lpstr>
      <vt:lpstr>Р. Люксембург, 70</vt:lpstr>
      <vt:lpstr>Р. люксембург, 154</vt:lpstr>
      <vt:lpstr>Р. Люксембург, 136а</vt:lpstr>
      <vt:lpstr>Р. Люксембург, 136б</vt:lpstr>
      <vt:lpstr>Р. Люксембург, 136в</vt:lpstr>
      <vt:lpstr>Чайковского, 10</vt:lpstr>
      <vt:lpstr>Чайковского, 16-1</vt:lpstr>
      <vt:lpstr>Баумана, 162</vt:lpstr>
      <vt:lpstr>Терешковой, 49</vt:lpstr>
      <vt:lpstr>Баррикад, 17</vt:lpstr>
      <vt:lpstr>Первомайская, 38а</vt:lpstr>
      <vt:lpstr>Киренская, 2а</vt:lpstr>
      <vt:lpstr>Полярная, 74</vt:lpstr>
      <vt:lpstr>Полярная, 76</vt:lpstr>
      <vt:lpstr>Полярная, 78</vt:lpstr>
      <vt:lpstr>Полярная, 86</vt:lpstr>
      <vt:lpstr>Пушкина, 4</vt:lpstr>
      <vt:lpstr>Р.-Крестьянская, 2</vt:lpstr>
      <vt:lpstr>Р.-Крестьянская, 3</vt:lpstr>
      <vt:lpstr>Воронежская, 21</vt:lpstr>
      <vt:lpstr>Профсоюзная, 6а</vt:lpstr>
      <vt:lpstr>Профсоюзная, 6е</vt:lpstr>
      <vt:lpstr>Ямская, 13</vt:lpstr>
      <vt:lpstr>Радужный, 74</vt:lpstr>
      <vt:lpstr>Баумана, 235а1</vt:lpstr>
      <vt:lpstr>3-я Железнодорожная, 66</vt:lpstr>
      <vt:lpstr>4-я Железнодорожная, 46а</vt:lpstr>
      <vt:lpstr>'15-ый Советский, 17'!Область_печати</vt:lpstr>
      <vt:lpstr>'1-ый Советский, 1'!Область_печати</vt:lpstr>
      <vt:lpstr>'1-ый Советский, 2'!Область_печати</vt:lpstr>
      <vt:lpstr>'1-ый Советский, 3'!Область_печати</vt:lpstr>
      <vt:lpstr>'1-ый советский, 4'!Область_печати</vt:lpstr>
      <vt:lpstr>'1-ый Советский, 5'!Область_печати</vt:lpstr>
      <vt:lpstr>'1-ый Советский, 6'!Область_печати</vt:lpstr>
      <vt:lpstr>'1-ый Советский, 7'!Область_печати</vt:lpstr>
      <vt:lpstr>'2 жд, 4'!Область_печати</vt:lpstr>
      <vt:lpstr>'3-я Железнодорожная, 66'!Область_печати</vt:lpstr>
      <vt:lpstr>'4 жд, 14а'!Область_печати</vt:lpstr>
      <vt:lpstr>'4 жд, 46б'!Область_печати</vt:lpstr>
      <vt:lpstr>'4-я Железнодорожная, 23ж'!Область_печати</vt:lpstr>
      <vt:lpstr>'4-я Железнодорожная, 46а'!Область_печати</vt:lpstr>
      <vt:lpstr>'Баррикад, 17'!Область_печати</vt:lpstr>
      <vt:lpstr>'Баумана, 162'!Область_печати</vt:lpstr>
      <vt:lpstr>'Баумана, 235а1'!Область_печати</vt:lpstr>
      <vt:lpstr>'Воронежская, 13'!Область_печати</vt:lpstr>
      <vt:lpstr>'Воронежская, 17'!Область_печати</vt:lpstr>
      <vt:lpstr>'Воронежская, 19'!Область_печати</vt:lpstr>
      <vt:lpstr>'Воронежская, 21'!Область_печати</vt:lpstr>
      <vt:lpstr>'Воронежская,23'!Область_печати</vt:lpstr>
      <vt:lpstr>'гашека, 4а'!Область_печати</vt:lpstr>
      <vt:lpstr>'гашека,7'!Область_печати</vt:lpstr>
      <vt:lpstr>'гоголя, 42б'!Область_печати</vt:lpstr>
      <vt:lpstr>'Горького 29'!Область_печати</vt:lpstr>
      <vt:lpstr>'Грязнова, 15а'!Область_печати</vt:lpstr>
      <vt:lpstr>'Грязнова, 15в'!Область_печати</vt:lpstr>
      <vt:lpstr>'Грязнова, 18'!Область_печати</vt:lpstr>
      <vt:lpstr>'Грязнова, 26'!Область_печати</vt:lpstr>
      <vt:lpstr>'Джамбула 4'!Область_печати</vt:lpstr>
      <vt:lpstr>'Карла Маркса, 32'!Область_печати</vt:lpstr>
      <vt:lpstr>'Киренская, 2а'!Область_печати</vt:lpstr>
      <vt:lpstr>'Лапина,17'!Область_печати</vt:lpstr>
      <vt:lpstr>'Мичурина, 7-2'!Область_печати</vt:lpstr>
      <vt:lpstr>'мичурина,7'!Область_печати</vt:lpstr>
      <vt:lpstr>'мичурина,7-1'!Область_печати</vt:lpstr>
      <vt:lpstr>'Первомайская, 38а'!Область_печати</vt:lpstr>
      <vt:lpstr>'Полярная, 74'!Область_печати</vt:lpstr>
      <vt:lpstr>'Полярная, 76'!Область_печати</vt:lpstr>
      <vt:lpstr>'Полярная, 78'!Область_печати</vt:lpstr>
      <vt:lpstr>'Полярная, 86'!Область_печати</vt:lpstr>
      <vt:lpstr>'Профсоюзная, 4'!Область_печати</vt:lpstr>
      <vt:lpstr>'Профсоюзная, 6а'!Область_печати</vt:lpstr>
      <vt:lpstr>'Профсоюзная, 6е'!Область_печати</vt:lpstr>
      <vt:lpstr>'Профсоюзная,15'!Область_печати</vt:lpstr>
      <vt:lpstr>'Пушкина, 4'!Область_печати</vt:lpstr>
      <vt:lpstr>'Пушкина, 6'!Область_печати</vt:lpstr>
      <vt:lpstr>'Пушкина,13'!Область_печати</vt:lpstr>
      <vt:lpstr>'Р. Люксембург, 136а'!Область_печати</vt:lpstr>
      <vt:lpstr>'Р. Люксембург, 136б'!Область_печати</vt:lpstr>
      <vt:lpstr>'Р. Люксембург, 136в'!Область_печати</vt:lpstr>
      <vt:lpstr>'Р. люксембург, 154'!Область_печати</vt:lpstr>
      <vt:lpstr>'Р. Люксембург, 70'!Область_печати</vt:lpstr>
      <vt:lpstr>'Р. Люксембург, 72'!Область_печати</vt:lpstr>
      <vt:lpstr>'Р. Люксембург, 78'!Область_печати</vt:lpstr>
      <vt:lpstr>'Р. Люксембург, 80'!Область_печати</vt:lpstr>
      <vt:lpstr>'Р. Штаба, 18а'!Область_печати</vt:lpstr>
      <vt:lpstr>'Р. Штаба, 18б'!Область_печати</vt:lpstr>
      <vt:lpstr>'Р. Штаба, 18д'!Область_печати</vt:lpstr>
      <vt:lpstr>'Р.-Крестьянская, 2'!Область_печати</vt:lpstr>
      <vt:lpstr>'Р.-Крестьянская, 3'!Область_печати</vt:lpstr>
      <vt:lpstr>'Радужный, 74'!Область_печати</vt:lpstr>
      <vt:lpstr>'Роза Люксембург, 5'!Область_печати</vt:lpstr>
      <vt:lpstr>'Российская,25'!Область_печати</vt:lpstr>
      <vt:lpstr>'румянцева, 26'!Область_печати</vt:lpstr>
      <vt:lpstr>'Румянцева,15а'!Область_печати</vt:lpstr>
      <vt:lpstr>'Свердлова, 38'!Область_печати</vt:lpstr>
      <vt:lpstr>'свердлова,1'!Область_печати</vt:lpstr>
      <vt:lpstr>'Севастопольская,145'!Область_печати</vt:lpstr>
      <vt:lpstr>'Севастопольская,147'!Область_печати</vt:lpstr>
      <vt:lpstr>'Терешковой, 49'!Область_печати</vt:lpstr>
      <vt:lpstr>'Чайковского, 10'!Область_печати</vt:lpstr>
      <vt:lpstr>'Чайковского, 16-1'!Область_печати</vt:lpstr>
      <vt:lpstr>'чайковского,14'!Область_печати</vt:lpstr>
      <vt:lpstr>'чайковского,9'!Область_печати</vt:lpstr>
      <vt:lpstr>'шмидта,32'!Область_печати</vt:lpstr>
      <vt:lpstr>'Ямская, 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user020</cp:lastModifiedBy>
  <cp:lastPrinted>2015-04-13T08:40:54Z</cp:lastPrinted>
  <dcterms:created xsi:type="dcterms:W3CDTF">2013-03-19T04:45:22Z</dcterms:created>
  <dcterms:modified xsi:type="dcterms:W3CDTF">2015-04-14T01:38:20Z</dcterms:modified>
</cp:coreProperties>
</file>