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595" windowHeight="97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85" i="1" l="1"/>
  <c r="B90" i="1" s="1"/>
  <c r="B83" i="1"/>
  <c r="B84" i="1"/>
  <c r="D38" i="1" l="1"/>
  <c r="D61" i="1"/>
  <c r="D49" i="1"/>
  <c r="D52" i="1"/>
  <c r="D44" i="1"/>
  <c r="D39" i="1"/>
  <c r="D51" i="1"/>
  <c r="D43" i="1"/>
  <c r="D37" i="1" l="1"/>
  <c r="D36" i="1" l="1"/>
  <c r="D34" i="1" s="1"/>
  <c r="B39" i="1" l="1"/>
  <c r="B35" i="1" s="1"/>
  <c r="D18" i="1"/>
  <c r="C18" i="1"/>
  <c r="B18" i="1"/>
  <c r="D24" i="1"/>
  <c r="B24" i="1"/>
  <c r="D23" i="1"/>
  <c r="C23" i="1"/>
  <c r="B23" i="1"/>
  <c r="D25" i="1"/>
  <c r="B25" i="1"/>
  <c r="D22" i="1"/>
  <c r="B22" i="1"/>
  <c r="D26" i="1"/>
  <c r="B26" i="1"/>
  <c r="D19" i="1"/>
  <c r="D17" i="1"/>
  <c r="B16" i="1"/>
  <c r="D16" i="1"/>
  <c r="C16" i="1"/>
  <c r="D74" i="1" l="1"/>
  <c r="D73" i="1"/>
  <c r="D72" i="1"/>
  <c r="D69" i="1"/>
  <c r="D68" i="1"/>
  <c r="D67" i="1"/>
  <c r="D55" i="1"/>
  <c r="D60" i="1" s="1"/>
  <c r="C55" i="1"/>
  <c r="D66" i="1"/>
  <c r="E27" i="1"/>
  <c r="E26" i="1"/>
  <c r="F26" i="1" s="1"/>
  <c r="E25" i="1"/>
  <c r="E24" i="1"/>
  <c r="F24" i="1" s="1"/>
  <c r="E23" i="1"/>
  <c r="E22" i="1"/>
  <c r="C21" i="1"/>
  <c r="B21" i="1"/>
  <c r="F20" i="1"/>
  <c r="E19" i="1"/>
  <c r="E18" i="1"/>
  <c r="F18" i="1" s="1"/>
  <c r="E17" i="1"/>
  <c r="E16" i="1"/>
  <c r="D29" i="1"/>
  <c r="C11" i="1"/>
  <c r="B11" i="1"/>
  <c r="C52" i="1" l="1"/>
  <c r="C38" i="1"/>
  <c r="C37" i="1"/>
  <c r="C36" i="1"/>
  <c r="C44" i="1"/>
  <c r="D70" i="1"/>
  <c r="F28" i="1"/>
  <c r="E29" i="1"/>
  <c r="F19" i="1"/>
  <c r="F17" i="1"/>
  <c r="F22" i="1"/>
  <c r="F23" i="1"/>
  <c r="F25" i="1"/>
  <c r="C29" i="1"/>
  <c r="C43" i="1"/>
  <c r="C51" i="1"/>
  <c r="F16" i="1"/>
  <c r="D21" i="1"/>
  <c r="B29" i="1"/>
  <c r="C39" i="1"/>
  <c r="D62" i="1" l="1"/>
  <c r="D64" i="1" s="1"/>
  <c r="F29" i="1"/>
  <c r="E21" i="1"/>
  <c r="F21" i="1" s="1"/>
  <c r="C34" i="1"/>
  <c r="C60" i="1" s="1"/>
</calcChain>
</file>

<file path=xl/sharedStrings.xml><?xml version="1.0" encoding="utf-8"?>
<sst xmlns="http://schemas.openxmlformats.org/spreadsheetml/2006/main" count="101" uniqueCount="92">
  <si>
    <t>Отчет ФХД за 2012год по ТСЖ "Железнодорожник"</t>
  </si>
  <si>
    <t>Адрес</t>
  </si>
  <si>
    <t>кол-во проживающих чел.</t>
  </si>
  <si>
    <t>Площадь ,м2</t>
  </si>
  <si>
    <t>Терешковой 55(1-32)</t>
  </si>
  <si>
    <t>Терешковой 55(33-68)</t>
  </si>
  <si>
    <t>Терешковой 55(69-98)</t>
  </si>
  <si>
    <t>Терешковой 55(99-124)</t>
  </si>
  <si>
    <t>Терешковой 55(125-151)</t>
  </si>
  <si>
    <t xml:space="preserve">Итого </t>
  </si>
  <si>
    <t>Статьи</t>
  </si>
  <si>
    <t>Задолженность жителей на отчетный период</t>
  </si>
  <si>
    <t>1.Содержание общего имущества</t>
  </si>
  <si>
    <t>2.Текущий ремонт</t>
  </si>
  <si>
    <t>3.Домофон</t>
  </si>
  <si>
    <t>4.Содержание приборов учета</t>
  </si>
  <si>
    <t>5.Аренда</t>
  </si>
  <si>
    <t>6.Коммунальные ,всего</t>
  </si>
  <si>
    <t>6.1.Отопление</t>
  </si>
  <si>
    <t>6.2.ГВС</t>
  </si>
  <si>
    <t>6.3.ХВС</t>
  </si>
  <si>
    <t>6.4.Стоки</t>
  </si>
  <si>
    <t>7.Электроэнергия</t>
  </si>
  <si>
    <t>8.Сальдо на 01.01.09г</t>
  </si>
  <si>
    <t xml:space="preserve">9.Пени </t>
  </si>
  <si>
    <t xml:space="preserve">Наименование </t>
  </si>
  <si>
    <t>ПЛАН, руб</t>
  </si>
  <si>
    <t>ФАКТ,руб</t>
  </si>
  <si>
    <t>Управление</t>
  </si>
  <si>
    <t>Уборка лестничных клеток</t>
  </si>
  <si>
    <t>Техническое обслуживание</t>
  </si>
  <si>
    <t>Обслуживание лифта</t>
  </si>
  <si>
    <t>Налог на окружающую среду</t>
  </si>
  <si>
    <t>МОП</t>
  </si>
  <si>
    <t>ТБО</t>
  </si>
  <si>
    <t>Госпошлина</t>
  </si>
  <si>
    <t xml:space="preserve">Расходы председателя </t>
  </si>
  <si>
    <t>Система Город</t>
  </si>
  <si>
    <t>РКО</t>
  </si>
  <si>
    <t>Заработная плата председателя</t>
  </si>
  <si>
    <t>3.Текущий ремонт общего имущества</t>
  </si>
  <si>
    <t>4.Капитальный ремонт</t>
  </si>
  <si>
    <t>5.Электроэнергия</t>
  </si>
  <si>
    <t>6.Коммунальные, всего</t>
  </si>
  <si>
    <t>Отопление</t>
  </si>
  <si>
    <t>ГВС</t>
  </si>
  <si>
    <t>ХВС</t>
  </si>
  <si>
    <t>Стоки</t>
  </si>
  <si>
    <t>Прямые затраты</t>
  </si>
  <si>
    <t>Налог УСН</t>
  </si>
  <si>
    <t>Результат по статьям затрат</t>
  </si>
  <si>
    <t>2.Текущий ремонт общего имущества</t>
  </si>
  <si>
    <t>3.Обслуживание приборов учета</t>
  </si>
  <si>
    <t>4.Электроэнергия</t>
  </si>
  <si>
    <t>5Коммунальные услуги</t>
  </si>
  <si>
    <t>6.Аренда</t>
  </si>
  <si>
    <t>7.Пени</t>
  </si>
  <si>
    <t>8.Налог</t>
  </si>
  <si>
    <t>руб.</t>
  </si>
  <si>
    <t>Итого</t>
  </si>
  <si>
    <t>Директор УК "Ангара"</t>
  </si>
  <si>
    <t>Гладковская О.П.</t>
  </si>
  <si>
    <t>Шведик А.В.</t>
  </si>
  <si>
    <t>Оплачено жителями  в 2012г.,руб.</t>
  </si>
  <si>
    <t>Задолженность жителей на 01.01.2012г., руб.</t>
  </si>
  <si>
    <t>Доходы ТСЖ, в руб.</t>
  </si>
  <si>
    <t>Задолженность жителей на отчетный период, в руб.</t>
  </si>
  <si>
    <t>4. Выполнение работ по текущему ремонту за период с  01.01.2012г.по 31.12.2012г.</t>
  </si>
  <si>
    <t>1. Техническая характеристика</t>
  </si>
  <si>
    <t>2. Информация по начислению</t>
  </si>
  <si>
    <t>3. Расходы ТСЖ</t>
  </si>
  <si>
    <t>тариф с 01.11.12руб./м2</t>
  </si>
  <si>
    <t>Домофоны:                                                     30р. б/с 2,3,4,5</t>
  </si>
  <si>
    <t>2.Содержание приборов учета</t>
  </si>
  <si>
    <t>Комиссия, почтовые, нотариальные</t>
  </si>
  <si>
    <t>Финансовый результат 2012года</t>
  </si>
  <si>
    <t>Финансовый результат  2011года</t>
  </si>
  <si>
    <t>Прочие расходы ТСЖ</t>
  </si>
  <si>
    <t>Финансовый результат по ТСЖ за 2012 год с учетом результата 2011года</t>
  </si>
  <si>
    <t>Сброс и вывоз снега</t>
  </si>
  <si>
    <t>Реконструкция системы вентиляции на чердках жилых многоквартирных домов б/с 1,2,3 по ул Терешковой,55</t>
  </si>
  <si>
    <t>ремонт прибора тепловычислителя  Взлет</t>
  </si>
  <si>
    <t>Д.А. Днепровский</t>
  </si>
  <si>
    <t>Автотранспортные услуги- доставка пгс (песч.грав.смесь)</t>
  </si>
  <si>
    <t>Утепление стены Терешковой,55, возмещение затрат по форме ООО "РосСпецСтрой" 1 от 27.01.12-      2 б/с</t>
  </si>
  <si>
    <t>Преобразователь частоты и установка, 1б/с</t>
  </si>
  <si>
    <t>Утепление перекрытия в чердачном помещении- 4 б/с</t>
  </si>
  <si>
    <t>Установка электр.платы на лифт -1 б/с</t>
  </si>
  <si>
    <t>Перемотка двигателя лифта- 2б/с</t>
  </si>
  <si>
    <t>текущий ремонт подъездов- 1,2,4,5 б/с</t>
  </si>
  <si>
    <t>Поверка теплосчетчика, установка терморегуляторов - 1б/с, 4б/с, 5б/с</t>
  </si>
  <si>
    <t>Перекладка канализации-2 б/с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</si>
</sst>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Helv"/>
      <charset val="204"/>
    </font>
    <font>
      <sz val="9"/>
      <name val="Helv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Helv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4" fontId="0" fillId="0" borderId="0" xfId="0" applyNumberFormat="1"/>
    <xf numFmtId="0" fontId="3" fillId="0" borderId="1" xfId="0" applyFont="1" applyBorder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4" fontId="0" fillId="0" borderId="0" xfId="0" applyNumberFormat="1" applyBorder="1"/>
    <xf numFmtId="0" fontId="3" fillId="0" borderId="16" xfId="0" applyFont="1" applyBorder="1"/>
    <xf numFmtId="4" fontId="3" fillId="0" borderId="1" xfId="0" applyNumberFormat="1" applyFont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0" fontId="0" fillId="0" borderId="19" xfId="0" applyBorder="1"/>
    <xf numFmtId="4" fontId="7" fillId="0" borderId="20" xfId="0" applyNumberFormat="1" applyFont="1" applyBorder="1"/>
    <xf numFmtId="4" fontId="7" fillId="0" borderId="21" xfId="0" applyNumberFormat="1" applyFont="1" applyBorder="1"/>
    <xf numFmtId="0" fontId="0" fillId="0" borderId="7" xfId="0" applyBorder="1"/>
    <xf numFmtId="4" fontId="7" fillId="0" borderId="8" xfId="0" applyNumberFormat="1" applyFont="1" applyFill="1" applyBorder="1"/>
    <xf numFmtId="4" fontId="7" fillId="0" borderId="8" xfId="0" applyNumberFormat="1" applyFont="1" applyBorder="1"/>
    <xf numFmtId="4" fontId="7" fillId="0" borderId="22" xfId="0" applyNumberFormat="1" applyFont="1" applyBorder="1"/>
    <xf numFmtId="0" fontId="3" fillId="0" borderId="7" xfId="0" applyFont="1" applyBorder="1"/>
    <xf numFmtId="4" fontId="6" fillId="0" borderId="8" xfId="0" applyNumberFormat="1" applyFont="1" applyFill="1" applyBorder="1"/>
    <xf numFmtId="4" fontId="6" fillId="0" borderId="8" xfId="0" applyNumberFormat="1" applyFont="1" applyBorder="1"/>
    <xf numFmtId="4" fontId="6" fillId="0" borderId="22" xfId="0" applyNumberFormat="1" applyFont="1" applyBorder="1"/>
    <xf numFmtId="0" fontId="3" fillId="0" borderId="23" xfId="0" applyFont="1" applyBorder="1"/>
    <xf numFmtId="4" fontId="7" fillId="0" borderId="24" xfId="0" applyNumberFormat="1" applyFont="1" applyBorder="1"/>
    <xf numFmtId="0" fontId="3" fillId="0" borderId="1" xfId="0" applyFont="1" applyFill="1" applyBorder="1"/>
    <xf numFmtId="4" fontId="6" fillId="0" borderId="25" xfId="0" applyNumberFormat="1" applyFont="1" applyBorder="1"/>
    <xf numFmtId="4" fontId="6" fillId="0" borderId="2" xfId="0" applyNumberFormat="1" applyFont="1" applyBorder="1"/>
    <xf numFmtId="4" fontId="6" fillId="0" borderId="3" xfId="0" applyNumberFormat="1" applyFont="1" applyBorder="1"/>
    <xf numFmtId="0" fontId="3" fillId="0" borderId="27" xfId="0" applyFont="1" applyBorder="1"/>
    <xf numFmtId="4" fontId="3" fillId="0" borderId="0" xfId="0" applyNumberFormat="1" applyFont="1" applyBorder="1"/>
    <xf numFmtId="0" fontId="3" fillId="0" borderId="31" xfId="0" applyFont="1" applyBorder="1"/>
    <xf numFmtId="4" fontId="7" fillId="0" borderId="33" xfId="0" applyNumberFormat="1" applyFont="1" applyFill="1" applyBorder="1"/>
    <xf numFmtId="4" fontId="7" fillId="0" borderId="34" xfId="0" applyNumberFormat="1" applyFont="1" applyFill="1" applyBorder="1"/>
    <xf numFmtId="4" fontId="7" fillId="0" borderId="0" xfId="0" applyNumberFormat="1" applyFont="1" applyFill="1" applyBorder="1"/>
    <xf numFmtId="4" fontId="7" fillId="0" borderId="0" xfId="0" applyNumberFormat="1" applyFont="1" applyBorder="1"/>
    <xf numFmtId="0" fontId="0" fillId="0" borderId="35" xfId="0" applyBorder="1"/>
    <xf numFmtId="0" fontId="0" fillId="0" borderId="36" xfId="0" applyBorder="1" applyAlignment="1">
      <alignment horizontal="center"/>
    </xf>
    <xf numFmtId="4" fontId="7" fillId="0" borderId="37" xfId="0" applyNumberFormat="1" applyFont="1" applyFill="1" applyBorder="1"/>
    <xf numFmtId="4" fontId="7" fillId="0" borderId="35" xfId="0" applyNumberFormat="1" applyFont="1" applyFill="1" applyBorder="1"/>
    <xf numFmtId="0" fontId="0" fillId="0" borderId="36" xfId="0" applyBorder="1"/>
    <xf numFmtId="0" fontId="3" fillId="0" borderId="35" xfId="0" applyFont="1" applyBorder="1"/>
    <xf numFmtId="0" fontId="3" fillId="0" borderId="36" xfId="0" applyFont="1" applyBorder="1" applyAlignment="1">
      <alignment horizontal="center"/>
    </xf>
    <xf numFmtId="4" fontId="6" fillId="0" borderId="37" xfId="0" applyNumberFormat="1" applyFont="1" applyFill="1" applyBorder="1"/>
    <xf numFmtId="4" fontId="6" fillId="0" borderId="35" xfId="0" applyNumberFormat="1" applyFont="1" applyFill="1" applyBorder="1"/>
    <xf numFmtId="4" fontId="6" fillId="0" borderId="0" xfId="0" applyNumberFormat="1" applyFont="1" applyFill="1" applyBorder="1"/>
    <xf numFmtId="0" fontId="3" fillId="0" borderId="36" xfId="0" applyFont="1" applyBorder="1"/>
    <xf numFmtId="4" fontId="7" fillId="0" borderId="38" xfId="0" applyNumberFormat="1" applyFont="1" applyFill="1" applyBorder="1"/>
    <xf numFmtId="0" fontId="0" fillId="0" borderId="39" xfId="0" applyBorder="1"/>
    <xf numFmtId="0" fontId="0" fillId="0" borderId="40" xfId="0" applyBorder="1"/>
    <xf numFmtId="4" fontId="7" fillId="0" borderId="41" xfId="0" applyNumberFormat="1" applyFont="1" applyFill="1" applyBorder="1"/>
    <xf numFmtId="0" fontId="3" fillId="0" borderId="29" xfId="0" applyFont="1" applyBorder="1"/>
    <xf numFmtId="4" fontId="6" fillId="0" borderId="28" xfId="0" applyNumberFormat="1" applyFont="1" applyBorder="1"/>
    <xf numFmtId="4" fontId="6" fillId="0" borderId="18" xfId="0" applyNumberFormat="1" applyFont="1" applyBorder="1"/>
    <xf numFmtId="0" fontId="3" fillId="0" borderId="4" xfId="0" applyFont="1" applyBorder="1"/>
    <xf numFmtId="0" fontId="3" fillId="0" borderId="42" xfId="0" applyFont="1" applyBorder="1"/>
    <xf numFmtId="4" fontId="6" fillId="0" borderId="5" xfId="0" applyNumberFormat="1" applyFont="1" applyBorder="1"/>
    <xf numFmtId="4" fontId="6" fillId="0" borderId="6" xfId="0" applyNumberFormat="1" applyFont="1" applyBorder="1"/>
    <xf numFmtId="0" fontId="3" fillId="0" borderId="19" xfId="0" applyFont="1" applyBorder="1"/>
    <xf numFmtId="0" fontId="3" fillId="0" borderId="43" xfId="0" applyFont="1" applyBorder="1"/>
    <xf numFmtId="4" fontId="6" fillId="0" borderId="20" xfId="0" applyNumberFormat="1" applyFont="1" applyBorder="1"/>
    <xf numFmtId="4" fontId="6" fillId="0" borderId="44" xfId="0" applyNumberFormat="1" applyFont="1" applyBorder="1"/>
    <xf numFmtId="0" fontId="3" fillId="0" borderId="7" xfId="0" applyFont="1" applyFill="1" applyBorder="1"/>
    <xf numFmtId="0" fontId="3" fillId="0" borderId="45" xfId="0" applyFont="1" applyFill="1" applyBorder="1"/>
    <xf numFmtId="4" fontId="3" fillId="0" borderId="8" xfId="0" applyNumberFormat="1" applyFont="1" applyBorder="1"/>
    <xf numFmtId="4" fontId="3" fillId="0" borderId="9" xfId="0" applyNumberFormat="1" applyFont="1" applyBorder="1"/>
    <xf numFmtId="0" fontId="3" fillId="0" borderId="10" xfId="0" applyFont="1" applyFill="1" applyBorder="1"/>
    <xf numFmtId="0" fontId="3" fillId="0" borderId="46" xfId="0" applyFont="1" applyFill="1" applyBorder="1"/>
    <xf numFmtId="4" fontId="0" fillId="0" borderId="11" xfId="0" applyNumberFormat="1" applyBorder="1"/>
    <xf numFmtId="4" fontId="3" fillId="0" borderId="12" xfId="0" applyNumberFormat="1" applyFont="1" applyBorder="1"/>
    <xf numFmtId="0" fontId="3" fillId="3" borderId="26" xfId="0" applyFont="1" applyFill="1" applyBorder="1"/>
    <xf numFmtId="0" fontId="3" fillId="3" borderId="27" xfId="0" applyFont="1" applyFill="1" applyBorder="1"/>
    <xf numFmtId="4" fontId="0" fillId="3" borderId="27" xfId="0" applyNumberFormat="1" applyFill="1" applyBorder="1"/>
    <xf numFmtId="4" fontId="0" fillId="3" borderId="47" xfId="0" applyNumberFormat="1" applyFill="1" applyBorder="1"/>
    <xf numFmtId="4" fontId="0" fillId="0" borderId="0" xfId="0" applyNumberFormat="1" applyFill="1" applyBorder="1"/>
    <xf numFmtId="0" fontId="3" fillId="0" borderId="4" xfId="0" applyFont="1" applyFill="1" applyBorder="1"/>
    <xf numFmtId="0" fontId="3" fillId="0" borderId="5" xfId="0" applyFont="1" applyFill="1" applyBorder="1"/>
    <xf numFmtId="4" fontId="0" fillId="0" borderId="5" xfId="0" applyNumberFormat="1" applyBorder="1"/>
    <xf numFmtId="4" fontId="0" fillId="0" borderId="6" xfId="0" applyNumberFormat="1" applyBorder="1"/>
    <xf numFmtId="0" fontId="3" fillId="0" borderId="8" xfId="0" applyFont="1" applyFill="1" applyBorder="1"/>
    <xf numFmtId="4" fontId="0" fillId="0" borderId="8" xfId="0" applyNumberFormat="1" applyBorder="1"/>
    <xf numFmtId="4" fontId="0" fillId="0" borderId="9" xfId="0" applyNumberFormat="1" applyBorder="1"/>
    <xf numFmtId="0" fontId="3" fillId="0" borderId="11" xfId="0" applyFont="1" applyFill="1" applyBorder="1"/>
    <xf numFmtId="4" fontId="0" fillId="0" borderId="12" xfId="0" applyNumberFormat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0" applyNumberFormat="1" applyFont="1" applyFill="1"/>
    <xf numFmtId="4" fontId="0" fillId="0" borderId="0" xfId="0" applyNumberFormat="1" applyFill="1"/>
    <xf numFmtId="4" fontId="3" fillId="0" borderId="0" xfId="0" applyNumberFormat="1" applyFont="1"/>
    <xf numFmtId="4" fontId="5" fillId="0" borderId="6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3" fillId="0" borderId="14" xfId="0" applyNumberFormat="1" applyFont="1" applyBorder="1"/>
    <xf numFmtId="3" fontId="5" fillId="2" borderId="5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3" fontId="5" fillId="2" borderId="11" xfId="0" applyNumberFormat="1" applyFont="1" applyFill="1" applyBorder="1" applyAlignment="1">
      <alignment horizontal="center"/>
    </xf>
    <xf numFmtId="3" fontId="3" fillId="0" borderId="13" xfId="0" applyNumberFormat="1" applyFont="1" applyBorder="1"/>
    <xf numFmtId="0" fontId="3" fillId="0" borderId="15" xfId="0" applyFont="1" applyBorder="1"/>
    <xf numFmtId="3" fontId="3" fillId="0" borderId="0" xfId="0" applyNumberFormat="1" applyFont="1" applyBorder="1"/>
    <xf numFmtId="0" fontId="9" fillId="4" borderId="16" xfId="0" applyFont="1" applyFill="1" applyBorder="1"/>
    <xf numFmtId="0" fontId="3" fillId="4" borderId="30" xfId="0" applyFont="1" applyFill="1" applyBorder="1"/>
    <xf numFmtId="4" fontId="0" fillId="4" borderId="30" xfId="0" applyNumberFormat="1" applyFill="1" applyBorder="1"/>
    <xf numFmtId="4" fontId="0" fillId="4" borderId="14" xfId="0" applyNumberFormat="1" applyFill="1" applyBorder="1"/>
    <xf numFmtId="4" fontId="3" fillId="0" borderId="18" xfId="0" applyNumberFormat="1" applyFont="1" applyBorder="1" applyAlignment="1">
      <alignment horizontal="center"/>
    </xf>
    <xf numFmtId="4" fontId="6" fillId="0" borderId="17" xfId="0" applyNumberFormat="1" applyFon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2" fontId="8" fillId="0" borderId="32" xfId="0" applyNumberFormat="1" applyFont="1" applyBorder="1" applyAlignment="1">
      <alignment horizontal="center"/>
    </xf>
    <xf numFmtId="0" fontId="1" fillId="0" borderId="10" xfId="0" applyFont="1" applyFill="1" applyBorder="1"/>
    <xf numFmtId="0" fontId="11" fillId="0" borderId="5" xfId="0" applyFont="1" applyBorder="1" applyAlignment="1">
      <alignment vertical="center" wrapText="1"/>
    </xf>
    <xf numFmtId="0" fontId="11" fillId="0" borderId="37" xfId="0" applyFont="1" applyBorder="1" applyAlignment="1">
      <alignment horizontal="left" vertical="center" wrapText="1"/>
    </xf>
    <xf numFmtId="4" fontId="12" fillId="0" borderId="5" xfId="0" applyNumberFormat="1" applyFont="1" applyBorder="1"/>
    <xf numFmtId="4" fontId="12" fillId="0" borderId="20" xfId="0" applyNumberFormat="1" applyFont="1" applyBorder="1"/>
    <xf numFmtId="0" fontId="14" fillId="0" borderId="8" xfId="0" applyFont="1" applyBorder="1" applyAlignment="1">
      <alignment horizontal="lef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Fill="1" applyBorder="1"/>
    <xf numFmtId="2" fontId="1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9" fillId="4" borderId="16" xfId="0" applyFont="1" applyFill="1" applyBorder="1" applyAlignment="1">
      <alignment horizontal="left"/>
    </xf>
    <xf numFmtId="0" fontId="9" fillId="4" borderId="30" xfId="0" applyFont="1" applyFill="1" applyBorder="1" applyAlignment="1">
      <alignment horizontal="left"/>
    </xf>
    <xf numFmtId="0" fontId="9" fillId="4" borderId="14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97"/>
  <sheetViews>
    <sheetView tabSelected="1" workbookViewId="0">
      <selection activeCell="D90" sqref="D90"/>
    </sheetView>
  </sheetViews>
  <sheetFormatPr defaultRowHeight="15" x14ac:dyDescent="0.25"/>
  <cols>
    <col min="1" max="1" width="48.42578125" customWidth="1"/>
    <col min="2" max="2" width="15" customWidth="1"/>
    <col min="3" max="3" width="15.7109375" style="1" customWidth="1"/>
    <col min="4" max="4" width="15.42578125" style="1" customWidth="1"/>
    <col min="5" max="5" width="16.42578125" style="1" customWidth="1"/>
    <col min="6" max="6" width="17.42578125" style="1" hidden="1" customWidth="1"/>
    <col min="7" max="7" width="12.5703125" customWidth="1"/>
    <col min="8" max="8" width="11.7109375" customWidth="1"/>
    <col min="257" max="257" width="48.42578125" customWidth="1"/>
    <col min="258" max="258" width="13" customWidth="1"/>
    <col min="259" max="259" width="15.7109375" customWidth="1"/>
    <col min="260" max="260" width="15.42578125" customWidth="1"/>
    <col min="261" max="261" width="16.42578125" customWidth="1"/>
    <col min="262" max="262" width="0" hidden="1" customWidth="1"/>
    <col min="263" max="263" width="12.5703125" customWidth="1"/>
    <col min="264" max="264" width="11.7109375" customWidth="1"/>
    <col min="513" max="513" width="48.42578125" customWidth="1"/>
    <col min="514" max="514" width="13" customWidth="1"/>
    <col min="515" max="515" width="15.7109375" customWidth="1"/>
    <col min="516" max="516" width="15.42578125" customWidth="1"/>
    <col min="517" max="517" width="16.42578125" customWidth="1"/>
    <col min="518" max="518" width="0" hidden="1" customWidth="1"/>
    <col min="519" max="519" width="12.5703125" customWidth="1"/>
    <col min="520" max="520" width="11.7109375" customWidth="1"/>
    <col min="769" max="769" width="48.42578125" customWidth="1"/>
    <col min="770" max="770" width="13" customWidth="1"/>
    <col min="771" max="771" width="15.7109375" customWidth="1"/>
    <col min="772" max="772" width="15.42578125" customWidth="1"/>
    <col min="773" max="773" width="16.42578125" customWidth="1"/>
    <col min="774" max="774" width="0" hidden="1" customWidth="1"/>
    <col min="775" max="775" width="12.5703125" customWidth="1"/>
    <col min="776" max="776" width="11.7109375" customWidth="1"/>
    <col min="1025" max="1025" width="48.42578125" customWidth="1"/>
    <col min="1026" max="1026" width="13" customWidth="1"/>
    <col min="1027" max="1027" width="15.7109375" customWidth="1"/>
    <col min="1028" max="1028" width="15.42578125" customWidth="1"/>
    <col min="1029" max="1029" width="16.42578125" customWidth="1"/>
    <col min="1030" max="1030" width="0" hidden="1" customWidth="1"/>
    <col min="1031" max="1031" width="12.5703125" customWidth="1"/>
    <col min="1032" max="1032" width="11.7109375" customWidth="1"/>
    <col min="1281" max="1281" width="48.42578125" customWidth="1"/>
    <col min="1282" max="1282" width="13" customWidth="1"/>
    <col min="1283" max="1283" width="15.7109375" customWidth="1"/>
    <col min="1284" max="1284" width="15.42578125" customWidth="1"/>
    <col min="1285" max="1285" width="16.42578125" customWidth="1"/>
    <col min="1286" max="1286" width="0" hidden="1" customWidth="1"/>
    <col min="1287" max="1287" width="12.5703125" customWidth="1"/>
    <col min="1288" max="1288" width="11.7109375" customWidth="1"/>
    <col min="1537" max="1537" width="48.42578125" customWidth="1"/>
    <col min="1538" max="1538" width="13" customWidth="1"/>
    <col min="1539" max="1539" width="15.7109375" customWidth="1"/>
    <col min="1540" max="1540" width="15.42578125" customWidth="1"/>
    <col min="1541" max="1541" width="16.42578125" customWidth="1"/>
    <col min="1542" max="1542" width="0" hidden="1" customWidth="1"/>
    <col min="1543" max="1543" width="12.5703125" customWidth="1"/>
    <col min="1544" max="1544" width="11.7109375" customWidth="1"/>
    <col min="1793" max="1793" width="48.42578125" customWidth="1"/>
    <col min="1794" max="1794" width="13" customWidth="1"/>
    <col min="1795" max="1795" width="15.7109375" customWidth="1"/>
    <col min="1796" max="1796" width="15.42578125" customWidth="1"/>
    <col min="1797" max="1797" width="16.42578125" customWidth="1"/>
    <col min="1798" max="1798" width="0" hidden="1" customWidth="1"/>
    <col min="1799" max="1799" width="12.5703125" customWidth="1"/>
    <col min="1800" max="1800" width="11.7109375" customWidth="1"/>
    <col min="2049" max="2049" width="48.42578125" customWidth="1"/>
    <col min="2050" max="2050" width="13" customWidth="1"/>
    <col min="2051" max="2051" width="15.7109375" customWidth="1"/>
    <col min="2052" max="2052" width="15.42578125" customWidth="1"/>
    <col min="2053" max="2053" width="16.42578125" customWidth="1"/>
    <col min="2054" max="2054" width="0" hidden="1" customWidth="1"/>
    <col min="2055" max="2055" width="12.5703125" customWidth="1"/>
    <col min="2056" max="2056" width="11.7109375" customWidth="1"/>
    <col min="2305" max="2305" width="48.42578125" customWidth="1"/>
    <col min="2306" max="2306" width="13" customWidth="1"/>
    <col min="2307" max="2307" width="15.7109375" customWidth="1"/>
    <col min="2308" max="2308" width="15.42578125" customWidth="1"/>
    <col min="2309" max="2309" width="16.42578125" customWidth="1"/>
    <col min="2310" max="2310" width="0" hidden="1" customWidth="1"/>
    <col min="2311" max="2311" width="12.5703125" customWidth="1"/>
    <col min="2312" max="2312" width="11.7109375" customWidth="1"/>
    <col min="2561" max="2561" width="48.42578125" customWidth="1"/>
    <col min="2562" max="2562" width="13" customWidth="1"/>
    <col min="2563" max="2563" width="15.7109375" customWidth="1"/>
    <col min="2564" max="2564" width="15.42578125" customWidth="1"/>
    <col min="2565" max="2565" width="16.42578125" customWidth="1"/>
    <col min="2566" max="2566" width="0" hidden="1" customWidth="1"/>
    <col min="2567" max="2567" width="12.5703125" customWidth="1"/>
    <col min="2568" max="2568" width="11.7109375" customWidth="1"/>
    <col min="2817" max="2817" width="48.42578125" customWidth="1"/>
    <col min="2818" max="2818" width="13" customWidth="1"/>
    <col min="2819" max="2819" width="15.7109375" customWidth="1"/>
    <col min="2820" max="2820" width="15.42578125" customWidth="1"/>
    <col min="2821" max="2821" width="16.42578125" customWidth="1"/>
    <col min="2822" max="2822" width="0" hidden="1" customWidth="1"/>
    <col min="2823" max="2823" width="12.5703125" customWidth="1"/>
    <col min="2824" max="2824" width="11.7109375" customWidth="1"/>
    <col min="3073" max="3073" width="48.42578125" customWidth="1"/>
    <col min="3074" max="3074" width="13" customWidth="1"/>
    <col min="3075" max="3075" width="15.7109375" customWidth="1"/>
    <col min="3076" max="3076" width="15.42578125" customWidth="1"/>
    <col min="3077" max="3077" width="16.42578125" customWidth="1"/>
    <col min="3078" max="3078" width="0" hidden="1" customWidth="1"/>
    <col min="3079" max="3079" width="12.5703125" customWidth="1"/>
    <col min="3080" max="3080" width="11.7109375" customWidth="1"/>
    <col min="3329" max="3329" width="48.42578125" customWidth="1"/>
    <col min="3330" max="3330" width="13" customWidth="1"/>
    <col min="3331" max="3331" width="15.7109375" customWidth="1"/>
    <col min="3332" max="3332" width="15.42578125" customWidth="1"/>
    <col min="3333" max="3333" width="16.42578125" customWidth="1"/>
    <col min="3334" max="3334" width="0" hidden="1" customWidth="1"/>
    <col min="3335" max="3335" width="12.5703125" customWidth="1"/>
    <col min="3336" max="3336" width="11.7109375" customWidth="1"/>
    <col min="3585" max="3585" width="48.42578125" customWidth="1"/>
    <col min="3586" max="3586" width="13" customWidth="1"/>
    <col min="3587" max="3587" width="15.7109375" customWidth="1"/>
    <col min="3588" max="3588" width="15.42578125" customWidth="1"/>
    <col min="3589" max="3589" width="16.42578125" customWidth="1"/>
    <col min="3590" max="3590" width="0" hidden="1" customWidth="1"/>
    <col min="3591" max="3591" width="12.5703125" customWidth="1"/>
    <col min="3592" max="3592" width="11.7109375" customWidth="1"/>
    <col min="3841" max="3841" width="48.42578125" customWidth="1"/>
    <col min="3842" max="3842" width="13" customWidth="1"/>
    <col min="3843" max="3843" width="15.7109375" customWidth="1"/>
    <col min="3844" max="3844" width="15.42578125" customWidth="1"/>
    <col min="3845" max="3845" width="16.42578125" customWidth="1"/>
    <col min="3846" max="3846" width="0" hidden="1" customWidth="1"/>
    <col min="3847" max="3847" width="12.5703125" customWidth="1"/>
    <col min="3848" max="3848" width="11.7109375" customWidth="1"/>
    <col min="4097" max="4097" width="48.42578125" customWidth="1"/>
    <col min="4098" max="4098" width="13" customWidth="1"/>
    <col min="4099" max="4099" width="15.7109375" customWidth="1"/>
    <col min="4100" max="4100" width="15.42578125" customWidth="1"/>
    <col min="4101" max="4101" width="16.42578125" customWidth="1"/>
    <col min="4102" max="4102" width="0" hidden="1" customWidth="1"/>
    <col min="4103" max="4103" width="12.5703125" customWidth="1"/>
    <col min="4104" max="4104" width="11.7109375" customWidth="1"/>
    <col min="4353" max="4353" width="48.42578125" customWidth="1"/>
    <col min="4354" max="4354" width="13" customWidth="1"/>
    <col min="4355" max="4355" width="15.7109375" customWidth="1"/>
    <col min="4356" max="4356" width="15.42578125" customWidth="1"/>
    <col min="4357" max="4357" width="16.42578125" customWidth="1"/>
    <col min="4358" max="4358" width="0" hidden="1" customWidth="1"/>
    <col min="4359" max="4359" width="12.5703125" customWidth="1"/>
    <col min="4360" max="4360" width="11.7109375" customWidth="1"/>
    <col min="4609" max="4609" width="48.42578125" customWidth="1"/>
    <col min="4610" max="4610" width="13" customWidth="1"/>
    <col min="4611" max="4611" width="15.7109375" customWidth="1"/>
    <col min="4612" max="4612" width="15.42578125" customWidth="1"/>
    <col min="4613" max="4613" width="16.42578125" customWidth="1"/>
    <col min="4614" max="4614" width="0" hidden="1" customWidth="1"/>
    <col min="4615" max="4615" width="12.5703125" customWidth="1"/>
    <col min="4616" max="4616" width="11.7109375" customWidth="1"/>
    <col min="4865" max="4865" width="48.42578125" customWidth="1"/>
    <col min="4866" max="4866" width="13" customWidth="1"/>
    <col min="4867" max="4867" width="15.7109375" customWidth="1"/>
    <col min="4868" max="4868" width="15.42578125" customWidth="1"/>
    <col min="4869" max="4869" width="16.42578125" customWidth="1"/>
    <col min="4870" max="4870" width="0" hidden="1" customWidth="1"/>
    <col min="4871" max="4871" width="12.5703125" customWidth="1"/>
    <col min="4872" max="4872" width="11.7109375" customWidth="1"/>
    <col min="5121" max="5121" width="48.42578125" customWidth="1"/>
    <col min="5122" max="5122" width="13" customWidth="1"/>
    <col min="5123" max="5123" width="15.7109375" customWidth="1"/>
    <col min="5124" max="5124" width="15.42578125" customWidth="1"/>
    <col min="5125" max="5125" width="16.42578125" customWidth="1"/>
    <col min="5126" max="5126" width="0" hidden="1" customWidth="1"/>
    <col min="5127" max="5127" width="12.5703125" customWidth="1"/>
    <col min="5128" max="5128" width="11.7109375" customWidth="1"/>
    <col min="5377" max="5377" width="48.42578125" customWidth="1"/>
    <col min="5378" max="5378" width="13" customWidth="1"/>
    <col min="5379" max="5379" width="15.7109375" customWidth="1"/>
    <col min="5380" max="5380" width="15.42578125" customWidth="1"/>
    <col min="5381" max="5381" width="16.42578125" customWidth="1"/>
    <col min="5382" max="5382" width="0" hidden="1" customWidth="1"/>
    <col min="5383" max="5383" width="12.5703125" customWidth="1"/>
    <col min="5384" max="5384" width="11.7109375" customWidth="1"/>
    <col min="5633" max="5633" width="48.42578125" customWidth="1"/>
    <col min="5634" max="5634" width="13" customWidth="1"/>
    <col min="5635" max="5635" width="15.7109375" customWidth="1"/>
    <col min="5636" max="5636" width="15.42578125" customWidth="1"/>
    <col min="5637" max="5637" width="16.42578125" customWidth="1"/>
    <col min="5638" max="5638" width="0" hidden="1" customWidth="1"/>
    <col min="5639" max="5639" width="12.5703125" customWidth="1"/>
    <col min="5640" max="5640" width="11.7109375" customWidth="1"/>
    <col min="5889" max="5889" width="48.42578125" customWidth="1"/>
    <col min="5890" max="5890" width="13" customWidth="1"/>
    <col min="5891" max="5891" width="15.7109375" customWidth="1"/>
    <col min="5892" max="5892" width="15.42578125" customWidth="1"/>
    <col min="5893" max="5893" width="16.42578125" customWidth="1"/>
    <col min="5894" max="5894" width="0" hidden="1" customWidth="1"/>
    <col min="5895" max="5895" width="12.5703125" customWidth="1"/>
    <col min="5896" max="5896" width="11.7109375" customWidth="1"/>
    <col min="6145" max="6145" width="48.42578125" customWidth="1"/>
    <col min="6146" max="6146" width="13" customWidth="1"/>
    <col min="6147" max="6147" width="15.7109375" customWidth="1"/>
    <col min="6148" max="6148" width="15.42578125" customWidth="1"/>
    <col min="6149" max="6149" width="16.42578125" customWidth="1"/>
    <col min="6150" max="6150" width="0" hidden="1" customWidth="1"/>
    <col min="6151" max="6151" width="12.5703125" customWidth="1"/>
    <col min="6152" max="6152" width="11.7109375" customWidth="1"/>
    <col min="6401" max="6401" width="48.42578125" customWidth="1"/>
    <col min="6402" max="6402" width="13" customWidth="1"/>
    <col min="6403" max="6403" width="15.7109375" customWidth="1"/>
    <col min="6404" max="6404" width="15.42578125" customWidth="1"/>
    <col min="6405" max="6405" width="16.42578125" customWidth="1"/>
    <col min="6406" max="6406" width="0" hidden="1" customWidth="1"/>
    <col min="6407" max="6407" width="12.5703125" customWidth="1"/>
    <col min="6408" max="6408" width="11.7109375" customWidth="1"/>
    <col min="6657" max="6657" width="48.42578125" customWidth="1"/>
    <col min="6658" max="6658" width="13" customWidth="1"/>
    <col min="6659" max="6659" width="15.7109375" customWidth="1"/>
    <col min="6660" max="6660" width="15.42578125" customWidth="1"/>
    <col min="6661" max="6661" width="16.42578125" customWidth="1"/>
    <col min="6662" max="6662" width="0" hidden="1" customWidth="1"/>
    <col min="6663" max="6663" width="12.5703125" customWidth="1"/>
    <col min="6664" max="6664" width="11.7109375" customWidth="1"/>
    <col min="6913" max="6913" width="48.42578125" customWidth="1"/>
    <col min="6914" max="6914" width="13" customWidth="1"/>
    <col min="6915" max="6915" width="15.7109375" customWidth="1"/>
    <col min="6916" max="6916" width="15.42578125" customWidth="1"/>
    <col min="6917" max="6917" width="16.42578125" customWidth="1"/>
    <col min="6918" max="6918" width="0" hidden="1" customWidth="1"/>
    <col min="6919" max="6919" width="12.5703125" customWidth="1"/>
    <col min="6920" max="6920" width="11.7109375" customWidth="1"/>
    <col min="7169" max="7169" width="48.42578125" customWidth="1"/>
    <col min="7170" max="7170" width="13" customWidth="1"/>
    <col min="7171" max="7171" width="15.7109375" customWidth="1"/>
    <col min="7172" max="7172" width="15.42578125" customWidth="1"/>
    <col min="7173" max="7173" width="16.42578125" customWidth="1"/>
    <col min="7174" max="7174" width="0" hidden="1" customWidth="1"/>
    <col min="7175" max="7175" width="12.5703125" customWidth="1"/>
    <col min="7176" max="7176" width="11.7109375" customWidth="1"/>
    <col min="7425" max="7425" width="48.42578125" customWidth="1"/>
    <col min="7426" max="7426" width="13" customWidth="1"/>
    <col min="7427" max="7427" width="15.7109375" customWidth="1"/>
    <col min="7428" max="7428" width="15.42578125" customWidth="1"/>
    <col min="7429" max="7429" width="16.42578125" customWidth="1"/>
    <col min="7430" max="7430" width="0" hidden="1" customWidth="1"/>
    <col min="7431" max="7431" width="12.5703125" customWidth="1"/>
    <col min="7432" max="7432" width="11.7109375" customWidth="1"/>
    <col min="7681" max="7681" width="48.42578125" customWidth="1"/>
    <col min="7682" max="7682" width="13" customWidth="1"/>
    <col min="7683" max="7683" width="15.7109375" customWidth="1"/>
    <col min="7684" max="7684" width="15.42578125" customWidth="1"/>
    <col min="7685" max="7685" width="16.42578125" customWidth="1"/>
    <col min="7686" max="7686" width="0" hidden="1" customWidth="1"/>
    <col min="7687" max="7687" width="12.5703125" customWidth="1"/>
    <col min="7688" max="7688" width="11.7109375" customWidth="1"/>
    <col min="7937" max="7937" width="48.42578125" customWidth="1"/>
    <col min="7938" max="7938" width="13" customWidth="1"/>
    <col min="7939" max="7939" width="15.7109375" customWidth="1"/>
    <col min="7940" max="7940" width="15.42578125" customWidth="1"/>
    <col min="7941" max="7941" width="16.42578125" customWidth="1"/>
    <col min="7942" max="7942" width="0" hidden="1" customWidth="1"/>
    <col min="7943" max="7943" width="12.5703125" customWidth="1"/>
    <col min="7944" max="7944" width="11.7109375" customWidth="1"/>
    <col min="8193" max="8193" width="48.42578125" customWidth="1"/>
    <col min="8194" max="8194" width="13" customWidth="1"/>
    <col min="8195" max="8195" width="15.7109375" customWidth="1"/>
    <col min="8196" max="8196" width="15.42578125" customWidth="1"/>
    <col min="8197" max="8197" width="16.42578125" customWidth="1"/>
    <col min="8198" max="8198" width="0" hidden="1" customWidth="1"/>
    <col min="8199" max="8199" width="12.5703125" customWidth="1"/>
    <col min="8200" max="8200" width="11.7109375" customWidth="1"/>
    <col min="8449" max="8449" width="48.42578125" customWidth="1"/>
    <col min="8450" max="8450" width="13" customWidth="1"/>
    <col min="8451" max="8451" width="15.7109375" customWidth="1"/>
    <col min="8452" max="8452" width="15.42578125" customWidth="1"/>
    <col min="8453" max="8453" width="16.42578125" customWidth="1"/>
    <col min="8454" max="8454" width="0" hidden="1" customWidth="1"/>
    <col min="8455" max="8455" width="12.5703125" customWidth="1"/>
    <col min="8456" max="8456" width="11.7109375" customWidth="1"/>
    <col min="8705" max="8705" width="48.42578125" customWidth="1"/>
    <col min="8706" max="8706" width="13" customWidth="1"/>
    <col min="8707" max="8707" width="15.7109375" customWidth="1"/>
    <col min="8708" max="8708" width="15.42578125" customWidth="1"/>
    <col min="8709" max="8709" width="16.42578125" customWidth="1"/>
    <col min="8710" max="8710" width="0" hidden="1" customWidth="1"/>
    <col min="8711" max="8711" width="12.5703125" customWidth="1"/>
    <col min="8712" max="8712" width="11.7109375" customWidth="1"/>
    <col min="8961" max="8961" width="48.42578125" customWidth="1"/>
    <col min="8962" max="8962" width="13" customWidth="1"/>
    <col min="8963" max="8963" width="15.7109375" customWidth="1"/>
    <col min="8964" max="8964" width="15.42578125" customWidth="1"/>
    <col min="8965" max="8965" width="16.42578125" customWidth="1"/>
    <col min="8966" max="8966" width="0" hidden="1" customWidth="1"/>
    <col min="8967" max="8967" width="12.5703125" customWidth="1"/>
    <col min="8968" max="8968" width="11.7109375" customWidth="1"/>
    <col min="9217" max="9217" width="48.42578125" customWidth="1"/>
    <col min="9218" max="9218" width="13" customWidth="1"/>
    <col min="9219" max="9219" width="15.7109375" customWidth="1"/>
    <col min="9220" max="9220" width="15.42578125" customWidth="1"/>
    <col min="9221" max="9221" width="16.42578125" customWidth="1"/>
    <col min="9222" max="9222" width="0" hidden="1" customWidth="1"/>
    <col min="9223" max="9223" width="12.5703125" customWidth="1"/>
    <col min="9224" max="9224" width="11.7109375" customWidth="1"/>
    <col min="9473" max="9473" width="48.42578125" customWidth="1"/>
    <col min="9474" max="9474" width="13" customWidth="1"/>
    <col min="9475" max="9475" width="15.7109375" customWidth="1"/>
    <col min="9476" max="9476" width="15.42578125" customWidth="1"/>
    <col min="9477" max="9477" width="16.42578125" customWidth="1"/>
    <col min="9478" max="9478" width="0" hidden="1" customWidth="1"/>
    <col min="9479" max="9479" width="12.5703125" customWidth="1"/>
    <col min="9480" max="9480" width="11.7109375" customWidth="1"/>
    <col min="9729" max="9729" width="48.42578125" customWidth="1"/>
    <col min="9730" max="9730" width="13" customWidth="1"/>
    <col min="9731" max="9731" width="15.7109375" customWidth="1"/>
    <col min="9732" max="9732" width="15.42578125" customWidth="1"/>
    <col min="9733" max="9733" width="16.42578125" customWidth="1"/>
    <col min="9734" max="9734" width="0" hidden="1" customWidth="1"/>
    <col min="9735" max="9735" width="12.5703125" customWidth="1"/>
    <col min="9736" max="9736" width="11.7109375" customWidth="1"/>
    <col min="9985" max="9985" width="48.42578125" customWidth="1"/>
    <col min="9986" max="9986" width="13" customWidth="1"/>
    <col min="9987" max="9987" width="15.7109375" customWidth="1"/>
    <col min="9988" max="9988" width="15.42578125" customWidth="1"/>
    <col min="9989" max="9989" width="16.42578125" customWidth="1"/>
    <col min="9990" max="9990" width="0" hidden="1" customWidth="1"/>
    <col min="9991" max="9991" width="12.5703125" customWidth="1"/>
    <col min="9992" max="9992" width="11.7109375" customWidth="1"/>
    <col min="10241" max="10241" width="48.42578125" customWidth="1"/>
    <col min="10242" max="10242" width="13" customWidth="1"/>
    <col min="10243" max="10243" width="15.7109375" customWidth="1"/>
    <col min="10244" max="10244" width="15.42578125" customWidth="1"/>
    <col min="10245" max="10245" width="16.42578125" customWidth="1"/>
    <col min="10246" max="10246" width="0" hidden="1" customWidth="1"/>
    <col min="10247" max="10247" width="12.5703125" customWidth="1"/>
    <col min="10248" max="10248" width="11.7109375" customWidth="1"/>
    <col min="10497" max="10497" width="48.42578125" customWidth="1"/>
    <col min="10498" max="10498" width="13" customWidth="1"/>
    <col min="10499" max="10499" width="15.7109375" customWidth="1"/>
    <col min="10500" max="10500" width="15.42578125" customWidth="1"/>
    <col min="10501" max="10501" width="16.42578125" customWidth="1"/>
    <col min="10502" max="10502" width="0" hidden="1" customWidth="1"/>
    <col min="10503" max="10503" width="12.5703125" customWidth="1"/>
    <col min="10504" max="10504" width="11.7109375" customWidth="1"/>
    <col min="10753" max="10753" width="48.42578125" customWidth="1"/>
    <col min="10754" max="10754" width="13" customWidth="1"/>
    <col min="10755" max="10755" width="15.7109375" customWidth="1"/>
    <col min="10756" max="10756" width="15.42578125" customWidth="1"/>
    <col min="10757" max="10757" width="16.42578125" customWidth="1"/>
    <col min="10758" max="10758" width="0" hidden="1" customWidth="1"/>
    <col min="10759" max="10759" width="12.5703125" customWidth="1"/>
    <col min="10760" max="10760" width="11.7109375" customWidth="1"/>
    <col min="11009" max="11009" width="48.42578125" customWidth="1"/>
    <col min="11010" max="11010" width="13" customWidth="1"/>
    <col min="11011" max="11011" width="15.7109375" customWidth="1"/>
    <col min="11012" max="11012" width="15.42578125" customWidth="1"/>
    <col min="11013" max="11013" width="16.42578125" customWidth="1"/>
    <col min="11014" max="11014" width="0" hidden="1" customWidth="1"/>
    <col min="11015" max="11015" width="12.5703125" customWidth="1"/>
    <col min="11016" max="11016" width="11.7109375" customWidth="1"/>
    <col min="11265" max="11265" width="48.42578125" customWidth="1"/>
    <col min="11266" max="11266" width="13" customWidth="1"/>
    <col min="11267" max="11267" width="15.7109375" customWidth="1"/>
    <col min="11268" max="11268" width="15.42578125" customWidth="1"/>
    <col min="11269" max="11269" width="16.42578125" customWidth="1"/>
    <col min="11270" max="11270" width="0" hidden="1" customWidth="1"/>
    <col min="11271" max="11271" width="12.5703125" customWidth="1"/>
    <col min="11272" max="11272" width="11.7109375" customWidth="1"/>
    <col min="11521" max="11521" width="48.42578125" customWidth="1"/>
    <col min="11522" max="11522" width="13" customWidth="1"/>
    <col min="11523" max="11523" width="15.7109375" customWidth="1"/>
    <col min="11524" max="11524" width="15.42578125" customWidth="1"/>
    <col min="11525" max="11525" width="16.42578125" customWidth="1"/>
    <col min="11526" max="11526" width="0" hidden="1" customWidth="1"/>
    <col min="11527" max="11527" width="12.5703125" customWidth="1"/>
    <col min="11528" max="11528" width="11.7109375" customWidth="1"/>
    <col min="11777" max="11777" width="48.42578125" customWidth="1"/>
    <col min="11778" max="11778" width="13" customWidth="1"/>
    <col min="11779" max="11779" width="15.7109375" customWidth="1"/>
    <col min="11780" max="11780" width="15.42578125" customWidth="1"/>
    <col min="11781" max="11781" width="16.42578125" customWidth="1"/>
    <col min="11782" max="11782" width="0" hidden="1" customWidth="1"/>
    <col min="11783" max="11783" width="12.5703125" customWidth="1"/>
    <col min="11784" max="11784" width="11.7109375" customWidth="1"/>
    <col min="12033" max="12033" width="48.42578125" customWidth="1"/>
    <col min="12034" max="12034" width="13" customWidth="1"/>
    <col min="12035" max="12035" width="15.7109375" customWidth="1"/>
    <col min="12036" max="12036" width="15.42578125" customWidth="1"/>
    <col min="12037" max="12037" width="16.42578125" customWidth="1"/>
    <col min="12038" max="12038" width="0" hidden="1" customWidth="1"/>
    <col min="12039" max="12039" width="12.5703125" customWidth="1"/>
    <col min="12040" max="12040" width="11.7109375" customWidth="1"/>
    <col min="12289" max="12289" width="48.42578125" customWidth="1"/>
    <col min="12290" max="12290" width="13" customWidth="1"/>
    <col min="12291" max="12291" width="15.7109375" customWidth="1"/>
    <col min="12292" max="12292" width="15.42578125" customWidth="1"/>
    <col min="12293" max="12293" width="16.42578125" customWidth="1"/>
    <col min="12294" max="12294" width="0" hidden="1" customWidth="1"/>
    <col min="12295" max="12295" width="12.5703125" customWidth="1"/>
    <col min="12296" max="12296" width="11.7109375" customWidth="1"/>
    <col min="12545" max="12545" width="48.42578125" customWidth="1"/>
    <col min="12546" max="12546" width="13" customWidth="1"/>
    <col min="12547" max="12547" width="15.7109375" customWidth="1"/>
    <col min="12548" max="12548" width="15.42578125" customWidth="1"/>
    <col min="12549" max="12549" width="16.42578125" customWidth="1"/>
    <col min="12550" max="12550" width="0" hidden="1" customWidth="1"/>
    <col min="12551" max="12551" width="12.5703125" customWidth="1"/>
    <col min="12552" max="12552" width="11.7109375" customWidth="1"/>
    <col min="12801" max="12801" width="48.42578125" customWidth="1"/>
    <col min="12802" max="12802" width="13" customWidth="1"/>
    <col min="12803" max="12803" width="15.7109375" customWidth="1"/>
    <col min="12804" max="12804" width="15.42578125" customWidth="1"/>
    <col min="12805" max="12805" width="16.42578125" customWidth="1"/>
    <col min="12806" max="12806" width="0" hidden="1" customWidth="1"/>
    <col min="12807" max="12807" width="12.5703125" customWidth="1"/>
    <col min="12808" max="12808" width="11.7109375" customWidth="1"/>
    <col min="13057" max="13057" width="48.42578125" customWidth="1"/>
    <col min="13058" max="13058" width="13" customWidth="1"/>
    <col min="13059" max="13059" width="15.7109375" customWidth="1"/>
    <col min="13060" max="13060" width="15.42578125" customWidth="1"/>
    <col min="13061" max="13061" width="16.42578125" customWidth="1"/>
    <col min="13062" max="13062" width="0" hidden="1" customWidth="1"/>
    <col min="13063" max="13063" width="12.5703125" customWidth="1"/>
    <col min="13064" max="13064" width="11.7109375" customWidth="1"/>
    <col min="13313" max="13313" width="48.42578125" customWidth="1"/>
    <col min="13314" max="13314" width="13" customWidth="1"/>
    <col min="13315" max="13315" width="15.7109375" customWidth="1"/>
    <col min="13316" max="13316" width="15.42578125" customWidth="1"/>
    <col min="13317" max="13317" width="16.42578125" customWidth="1"/>
    <col min="13318" max="13318" width="0" hidden="1" customWidth="1"/>
    <col min="13319" max="13319" width="12.5703125" customWidth="1"/>
    <col min="13320" max="13320" width="11.7109375" customWidth="1"/>
    <col min="13569" max="13569" width="48.42578125" customWidth="1"/>
    <col min="13570" max="13570" width="13" customWidth="1"/>
    <col min="13571" max="13571" width="15.7109375" customWidth="1"/>
    <col min="13572" max="13572" width="15.42578125" customWidth="1"/>
    <col min="13573" max="13573" width="16.42578125" customWidth="1"/>
    <col min="13574" max="13574" width="0" hidden="1" customWidth="1"/>
    <col min="13575" max="13575" width="12.5703125" customWidth="1"/>
    <col min="13576" max="13576" width="11.7109375" customWidth="1"/>
    <col min="13825" max="13825" width="48.42578125" customWidth="1"/>
    <col min="13826" max="13826" width="13" customWidth="1"/>
    <col min="13827" max="13827" width="15.7109375" customWidth="1"/>
    <col min="13828" max="13828" width="15.42578125" customWidth="1"/>
    <col min="13829" max="13829" width="16.42578125" customWidth="1"/>
    <col min="13830" max="13830" width="0" hidden="1" customWidth="1"/>
    <col min="13831" max="13831" width="12.5703125" customWidth="1"/>
    <col min="13832" max="13832" width="11.7109375" customWidth="1"/>
    <col min="14081" max="14081" width="48.42578125" customWidth="1"/>
    <col min="14082" max="14082" width="13" customWidth="1"/>
    <col min="14083" max="14083" width="15.7109375" customWidth="1"/>
    <col min="14084" max="14084" width="15.42578125" customWidth="1"/>
    <col min="14085" max="14085" width="16.42578125" customWidth="1"/>
    <col min="14086" max="14086" width="0" hidden="1" customWidth="1"/>
    <col min="14087" max="14087" width="12.5703125" customWidth="1"/>
    <col min="14088" max="14088" width="11.7109375" customWidth="1"/>
    <col min="14337" max="14337" width="48.42578125" customWidth="1"/>
    <col min="14338" max="14338" width="13" customWidth="1"/>
    <col min="14339" max="14339" width="15.7109375" customWidth="1"/>
    <col min="14340" max="14340" width="15.42578125" customWidth="1"/>
    <col min="14341" max="14341" width="16.42578125" customWidth="1"/>
    <col min="14342" max="14342" width="0" hidden="1" customWidth="1"/>
    <col min="14343" max="14343" width="12.5703125" customWidth="1"/>
    <col min="14344" max="14344" width="11.7109375" customWidth="1"/>
    <col min="14593" max="14593" width="48.42578125" customWidth="1"/>
    <col min="14594" max="14594" width="13" customWidth="1"/>
    <col min="14595" max="14595" width="15.7109375" customWidth="1"/>
    <col min="14596" max="14596" width="15.42578125" customWidth="1"/>
    <col min="14597" max="14597" width="16.42578125" customWidth="1"/>
    <col min="14598" max="14598" width="0" hidden="1" customWidth="1"/>
    <col min="14599" max="14599" width="12.5703125" customWidth="1"/>
    <col min="14600" max="14600" width="11.7109375" customWidth="1"/>
    <col min="14849" max="14849" width="48.42578125" customWidth="1"/>
    <col min="14850" max="14850" width="13" customWidth="1"/>
    <col min="14851" max="14851" width="15.7109375" customWidth="1"/>
    <col min="14852" max="14852" width="15.42578125" customWidth="1"/>
    <col min="14853" max="14853" width="16.42578125" customWidth="1"/>
    <col min="14854" max="14854" width="0" hidden="1" customWidth="1"/>
    <col min="14855" max="14855" width="12.5703125" customWidth="1"/>
    <col min="14856" max="14856" width="11.7109375" customWidth="1"/>
    <col min="15105" max="15105" width="48.42578125" customWidth="1"/>
    <col min="15106" max="15106" width="13" customWidth="1"/>
    <col min="15107" max="15107" width="15.7109375" customWidth="1"/>
    <col min="15108" max="15108" width="15.42578125" customWidth="1"/>
    <col min="15109" max="15109" width="16.42578125" customWidth="1"/>
    <col min="15110" max="15110" width="0" hidden="1" customWidth="1"/>
    <col min="15111" max="15111" width="12.5703125" customWidth="1"/>
    <col min="15112" max="15112" width="11.7109375" customWidth="1"/>
    <col min="15361" max="15361" width="48.42578125" customWidth="1"/>
    <col min="15362" max="15362" width="13" customWidth="1"/>
    <col min="15363" max="15363" width="15.7109375" customWidth="1"/>
    <col min="15364" max="15364" width="15.42578125" customWidth="1"/>
    <col min="15365" max="15365" width="16.42578125" customWidth="1"/>
    <col min="15366" max="15366" width="0" hidden="1" customWidth="1"/>
    <col min="15367" max="15367" width="12.5703125" customWidth="1"/>
    <col min="15368" max="15368" width="11.7109375" customWidth="1"/>
    <col min="15617" max="15617" width="48.42578125" customWidth="1"/>
    <col min="15618" max="15618" width="13" customWidth="1"/>
    <col min="15619" max="15619" width="15.7109375" customWidth="1"/>
    <col min="15620" max="15620" width="15.42578125" customWidth="1"/>
    <col min="15621" max="15621" width="16.42578125" customWidth="1"/>
    <col min="15622" max="15622" width="0" hidden="1" customWidth="1"/>
    <col min="15623" max="15623" width="12.5703125" customWidth="1"/>
    <col min="15624" max="15624" width="11.7109375" customWidth="1"/>
    <col min="15873" max="15873" width="48.42578125" customWidth="1"/>
    <col min="15874" max="15874" width="13" customWidth="1"/>
    <col min="15875" max="15875" width="15.7109375" customWidth="1"/>
    <col min="15876" max="15876" width="15.42578125" customWidth="1"/>
    <col min="15877" max="15877" width="16.42578125" customWidth="1"/>
    <col min="15878" max="15878" width="0" hidden="1" customWidth="1"/>
    <col min="15879" max="15879" width="12.5703125" customWidth="1"/>
    <col min="15880" max="15880" width="11.7109375" customWidth="1"/>
    <col min="16129" max="16129" width="48.42578125" customWidth="1"/>
    <col min="16130" max="16130" width="13" customWidth="1"/>
    <col min="16131" max="16131" width="15.7109375" customWidth="1"/>
    <col min="16132" max="16132" width="15.42578125" customWidth="1"/>
    <col min="16133" max="16133" width="16.42578125" customWidth="1"/>
    <col min="16134" max="16134" width="0" hidden="1" customWidth="1"/>
    <col min="16135" max="16135" width="12.5703125" customWidth="1"/>
    <col min="16136" max="16136" width="11.7109375" customWidth="1"/>
  </cols>
  <sheetData>
    <row r="2" spans="1:7" x14ac:dyDescent="0.25">
      <c r="A2" s="125" t="s">
        <v>0</v>
      </c>
      <c r="B2" s="126"/>
      <c r="C2" s="126"/>
      <c r="D2" s="126"/>
      <c r="E2" s="126"/>
    </row>
    <row r="3" spans="1:7" ht="15.75" thickBot="1" x14ac:dyDescent="0.3">
      <c r="A3" s="126"/>
      <c r="B3" s="126"/>
      <c r="C3" s="126"/>
      <c r="D3" s="126"/>
      <c r="E3" s="126"/>
    </row>
    <row r="4" spans="1:7" ht="15.75" thickBot="1" x14ac:dyDescent="0.3">
      <c r="A4" s="129" t="s">
        <v>68</v>
      </c>
      <c r="B4" s="130"/>
      <c r="C4" s="131"/>
    </row>
    <row r="5" spans="1:7" ht="39" thickBot="1" x14ac:dyDescent="0.3">
      <c r="A5" s="2" t="s">
        <v>1</v>
      </c>
      <c r="B5" s="3" t="s">
        <v>2</v>
      </c>
      <c r="C5" s="4" t="s">
        <v>3</v>
      </c>
      <c r="D5" s="5"/>
      <c r="E5" s="5"/>
      <c r="F5" s="6"/>
    </row>
    <row r="6" spans="1:7" x14ac:dyDescent="0.25">
      <c r="A6" s="7" t="s">
        <v>4</v>
      </c>
      <c r="B6" s="102">
        <v>104</v>
      </c>
      <c r="C6" s="98">
        <v>2353.4</v>
      </c>
      <c r="D6" s="8"/>
      <c r="E6" s="9"/>
      <c r="F6" s="10"/>
    </row>
    <row r="7" spans="1:7" x14ac:dyDescent="0.25">
      <c r="A7" s="11" t="s">
        <v>5</v>
      </c>
      <c r="B7" s="103">
        <v>97</v>
      </c>
      <c r="C7" s="99">
        <v>2608.5</v>
      </c>
      <c r="D7" s="8"/>
      <c r="E7" s="5"/>
      <c r="F7" s="10"/>
    </row>
    <row r="8" spans="1:7" x14ac:dyDescent="0.25">
      <c r="A8" s="11" t="s">
        <v>6</v>
      </c>
      <c r="B8" s="103">
        <v>66</v>
      </c>
      <c r="C8" s="99">
        <v>2250.6999999999998</v>
      </c>
      <c r="D8" s="8"/>
      <c r="E8" s="5"/>
      <c r="F8" s="10"/>
    </row>
    <row r="9" spans="1:7" x14ac:dyDescent="0.25">
      <c r="A9" s="11" t="s">
        <v>7</v>
      </c>
      <c r="B9" s="103">
        <v>54</v>
      </c>
      <c r="C9" s="99">
        <v>1864.2</v>
      </c>
      <c r="D9" s="8"/>
      <c r="E9" s="5"/>
      <c r="F9" s="10"/>
    </row>
    <row r="10" spans="1:7" ht="15.75" thickBot="1" x14ac:dyDescent="0.3">
      <c r="A10" s="12" t="s">
        <v>8</v>
      </c>
      <c r="B10" s="104">
        <v>65</v>
      </c>
      <c r="C10" s="100">
        <v>2094.8000000000002</v>
      </c>
      <c r="D10" s="8"/>
      <c r="E10" s="6"/>
      <c r="F10" s="10"/>
    </row>
    <row r="11" spans="1:7" ht="15.75" thickBot="1" x14ac:dyDescent="0.3">
      <c r="A11" s="2" t="s">
        <v>9</v>
      </c>
      <c r="B11" s="105">
        <f>B10+B9+B8+B7+B6</f>
        <v>386</v>
      </c>
      <c r="C11" s="101">
        <f>C10+C9+C8+C7+C6</f>
        <v>11171.6</v>
      </c>
      <c r="D11" s="13"/>
      <c r="E11" s="14"/>
      <c r="F11" s="15"/>
    </row>
    <row r="12" spans="1:7" x14ac:dyDescent="0.25">
      <c r="A12" s="106"/>
      <c r="B12" s="107"/>
      <c r="C12" s="39"/>
      <c r="D12" s="13"/>
      <c r="E12" s="14"/>
      <c r="F12" s="15"/>
    </row>
    <row r="13" spans="1:7" ht="15.75" thickBot="1" x14ac:dyDescent="0.3">
      <c r="A13" s="106"/>
      <c r="B13" s="107"/>
      <c r="C13" s="39"/>
      <c r="D13" s="13"/>
      <c r="E13" s="14"/>
      <c r="F13" s="15"/>
    </row>
    <row r="14" spans="1:7" ht="15.75" thickBot="1" x14ac:dyDescent="0.3">
      <c r="A14" s="129" t="s">
        <v>69</v>
      </c>
      <c r="B14" s="130"/>
      <c r="C14" s="130"/>
      <c r="D14" s="130"/>
      <c r="E14" s="131"/>
    </row>
    <row r="15" spans="1:7" ht="51.75" thickBot="1" x14ac:dyDescent="0.3">
      <c r="A15" s="17" t="s">
        <v>10</v>
      </c>
      <c r="B15" s="18" t="s">
        <v>65</v>
      </c>
      <c r="C15" s="19" t="s">
        <v>64</v>
      </c>
      <c r="D15" s="3" t="s">
        <v>63</v>
      </c>
      <c r="E15" s="19" t="s">
        <v>66</v>
      </c>
      <c r="F15" s="20" t="s">
        <v>11</v>
      </c>
    </row>
    <row r="16" spans="1:7" x14ac:dyDescent="0.25">
      <c r="A16" s="21" t="s">
        <v>12</v>
      </c>
      <c r="B16" s="22">
        <f>1658323.36+583.52</f>
        <v>1658906.8800000001</v>
      </c>
      <c r="C16" s="22">
        <f>369049.74</f>
        <v>369049.74</v>
      </c>
      <c r="D16" s="22">
        <f>1582832.64+93612.98</f>
        <v>1676445.6199999999</v>
      </c>
      <c r="E16" s="22">
        <f>C16-D16+B16</f>
        <v>351511.00000000023</v>
      </c>
      <c r="F16" s="23">
        <f>D16-E16+B16</f>
        <v>2983841.5</v>
      </c>
      <c r="G16" s="1"/>
    </row>
    <row r="17" spans="1:7" x14ac:dyDescent="0.25">
      <c r="A17" s="24" t="s">
        <v>13</v>
      </c>
      <c r="B17" s="25">
        <v>469224</v>
      </c>
      <c r="C17" s="25">
        <v>98058.94</v>
      </c>
      <c r="D17" s="25">
        <f>439158.5+27711.51</f>
        <v>466870.01</v>
      </c>
      <c r="E17" s="26">
        <f t="shared" ref="E17:E27" si="0">C17-D17+B17</f>
        <v>100412.93</v>
      </c>
      <c r="F17" s="27">
        <f>D17-E17+B17</f>
        <v>835681.08000000007</v>
      </c>
    </row>
    <row r="18" spans="1:7" x14ac:dyDescent="0.25">
      <c r="A18" s="24" t="s">
        <v>14</v>
      </c>
      <c r="B18" s="25">
        <f>22320+480</f>
        <v>22800</v>
      </c>
      <c r="C18" s="26">
        <f>6177.91-161.5</f>
        <v>6016.41</v>
      </c>
      <c r="D18" s="25">
        <f>22919.36+937.16+613.97</f>
        <v>24470.49</v>
      </c>
      <c r="E18" s="26">
        <f t="shared" si="0"/>
        <v>4345.9199999999983</v>
      </c>
      <c r="F18" s="27">
        <f>D18-E18+B18</f>
        <v>42924.570000000007</v>
      </c>
    </row>
    <row r="19" spans="1:7" x14ac:dyDescent="0.25">
      <c r="A19" s="24" t="s">
        <v>15</v>
      </c>
      <c r="B19" s="25">
        <v>26812.799999999999</v>
      </c>
      <c r="C19" s="26">
        <v>5607.07</v>
      </c>
      <c r="D19" s="25">
        <f>25097.92+1573.83</f>
        <v>26671.75</v>
      </c>
      <c r="E19" s="26">
        <f t="shared" si="0"/>
        <v>5748.119999999999</v>
      </c>
      <c r="F19" s="27">
        <f>D19-E19+B19</f>
        <v>47736.43</v>
      </c>
    </row>
    <row r="20" spans="1:7" x14ac:dyDescent="0.25">
      <c r="A20" s="24" t="s">
        <v>16</v>
      </c>
      <c r="B20" s="25">
        <v>24000</v>
      </c>
      <c r="C20" s="26"/>
      <c r="D20" s="25"/>
      <c r="E20" s="26">
        <v>0</v>
      </c>
      <c r="F20" s="27">
        <f>D20-E20+B20</f>
        <v>24000</v>
      </c>
    </row>
    <row r="21" spans="1:7" x14ac:dyDescent="0.25">
      <c r="A21" s="28" t="s">
        <v>17</v>
      </c>
      <c r="B21" s="29">
        <f>B22+B23+B24+B25</f>
        <v>3374614.27</v>
      </c>
      <c r="C21" s="30">
        <f>C22+C23+C24+C25</f>
        <v>711615.51</v>
      </c>
      <c r="D21" s="29">
        <f>D22+D23+D24+D25</f>
        <v>3917457.6</v>
      </c>
      <c r="E21" s="30">
        <f t="shared" si="0"/>
        <v>168772.18000000017</v>
      </c>
      <c r="F21" s="31">
        <f t="shared" ref="F21:F26" si="1">D21-E21+B21</f>
        <v>7123299.6899999995</v>
      </c>
    </row>
    <row r="22" spans="1:7" x14ac:dyDescent="0.25">
      <c r="A22" s="24" t="s">
        <v>18</v>
      </c>
      <c r="B22" s="25">
        <f>2808015.62-908802.64</f>
        <v>1899212.98</v>
      </c>
      <c r="C22" s="26">
        <v>503780.47</v>
      </c>
      <c r="D22" s="25">
        <f>2366589.83+117210.55</f>
        <v>2483800.38</v>
      </c>
      <c r="E22" s="26">
        <f t="shared" si="0"/>
        <v>-80806.929999999935</v>
      </c>
      <c r="F22" s="27">
        <f t="shared" si="1"/>
        <v>4463820.2899999991</v>
      </c>
    </row>
    <row r="23" spans="1:7" x14ac:dyDescent="0.25">
      <c r="A23" s="24" t="s">
        <v>19</v>
      </c>
      <c r="B23" s="25">
        <f>839111.63-4150.49-13976.26+36004.35-826.51</f>
        <v>856162.72</v>
      </c>
      <c r="C23" s="26">
        <f>160345.94-75542.73</f>
        <v>84803.21</v>
      </c>
      <c r="D23" s="25">
        <f>767751.06+41556.08+11755.34+507.23</f>
        <v>821569.71</v>
      </c>
      <c r="E23" s="25">
        <f t="shared" si="0"/>
        <v>119396.21999999997</v>
      </c>
      <c r="F23" s="27">
        <f t="shared" si="1"/>
        <v>1558336.21</v>
      </c>
    </row>
    <row r="24" spans="1:7" x14ac:dyDescent="0.25">
      <c r="A24" s="24" t="s">
        <v>20</v>
      </c>
      <c r="B24" s="25">
        <f>287903.9+0.07-3757.93</f>
        <v>284146.04000000004</v>
      </c>
      <c r="C24" s="25">
        <v>56885.919999999998</v>
      </c>
      <c r="D24" s="25">
        <f>269838.61+12457.07</f>
        <v>282295.67999999999</v>
      </c>
      <c r="E24" s="26">
        <f t="shared" si="0"/>
        <v>58736.280000000028</v>
      </c>
      <c r="F24" s="27">
        <f t="shared" si="1"/>
        <v>507705.44</v>
      </c>
    </row>
    <row r="25" spans="1:7" x14ac:dyDescent="0.25">
      <c r="A25" s="24" t="s">
        <v>21</v>
      </c>
      <c r="B25" s="25">
        <f>339546.49+0.12-4454.08</f>
        <v>335092.52999999997</v>
      </c>
      <c r="C25" s="25">
        <v>66145.91</v>
      </c>
      <c r="D25" s="25">
        <f>314651.47+15140.36</f>
        <v>329791.82999999996</v>
      </c>
      <c r="E25" s="26">
        <f t="shared" si="0"/>
        <v>71446.610000000044</v>
      </c>
      <c r="F25" s="27">
        <f t="shared" si="1"/>
        <v>593437.74999999988</v>
      </c>
    </row>
    <row r="26" spans="1:7" x14ac:dyDescent="0.25">
      <c r="A26" s="28" t="s">
        <v>22</v>
      </c>
      <c r="B26" s="30">
        <f>139551.32-1807.2</f>
        <v>137744.12</v>
      </c>
      <c r="C26" s="25">
        <v>29855.27</v>
      </c>
      <c r="D26" s="25">
        <f>126382.75+11750.04</f>
        <v>138132.79</v>
      </c>
      <c r="E26" s="26">
        <f t="shared" si="0"/>
        <v>29466.599999999991</v>
      </c>
      <c r="F26" s="27">
        <f t="shared" si="1"/>
        <v>246410.31</v>
      </c>
    </row>
    <row r="27" spans="1:7" x14ac:dyDescent="0.25">
      <c r="A27" s="28" t="s">
        <v>23</v>
      </c>
      <c r="B27" s="30"/>
      <c r="C27" s="30">
        <v>33809.25</v>
      </c>
      <c r="D27" s="25">
        <v>53368.97</v>
      </c>
      <c r="E27" s="26">
        <f t="shared" si="0"/>
        <v>-19559.72</v>
      </c>
      <c r="F27" s="27">
        <v>-6313.55</v>
      </c>
    </row>
    <row r="28" spans="1:7" ht="15.75" thickBot="1" x14ac:dyDescent="0.3">
      <c r="A28" s="32" t="s">
        <v>24</v>
      </c>
      <c r="B28" s="33">
        <v>13319.93</v>
      </c>
      <c r="C28" s="33">
        <v>-6313.55</v>
      </c>
      <c r="D28" s="33"/>
      <c r="E28" s="26">
        <v>-10759.01</v>
      </c>
      <c r="F28" s="27">
        <f>D28-E28+B28</f>
        <v>24078.940000000002</v>
      </c>
    </row>
    <row r="29" spans="1:7" ht="15.75" thickBot="1" x14ac:dyDescent="0.3">
      <c r="A29" s="34" t="s">
        <v>9</v>
      </c>
      <c r="B29" s="35">
        <f>B16+B17+B18+B19+B21+B26+B27+B28+B20</f>
        <v>5727421.9999999991</v>
      </c>
      <c r="C29" s="35">
        <f>C28+C27+C26+C25+C24+C23+C22+C20+C19+C18+C17+C16</f>
        <v>1247698.6399999999</v>
      </c>
      <c r="D29" s="36">
        <f>D16+D17+D22+D23+D24+D25+D26+D27+D18+D19+D28</f>
        <v>6303417.2299999995</v>
      </c>
      <c r="E29" s="37">
        <f>E28+E27+E26+E25+E24+E23+E22+E20+E19+E18+E17+E16</f>
        <v>629938.02000000025</v>
      </c>
      <c r="F29" s="37">
        <f>F16+F17+F22+F23+F24+F25+F26+F27+F18+F19+F28+F20</f>
        <v>11321658.969999997</v>
      </c>
    </row>
    <row r="30" spans="1:7" x14ac:dyDescent="0.25">
      <c r="G30" s="1"/>
    </row>
    <row r="31" spans="1:7" ht="15.75" thickBot="1" x14ac:dyDescent="0.3">
      <c r="G31" s="1"/>
    </row>
    <row r="32" spans="1:7" ht="15.75" thickBot="1" x14ac:dyDescent="0.3">
      <c r="A32" s="132" t="s">
        <v>70</v>
      </c>
      <c r="B32" s="133"/>
      <c r="C32" s="133"/>
      <c r="D32" s="134"/>
    </row>
    <row r="33" spans="1:7" ht="15.75" thickBot="1" x14ac:dyDescent="0.3">
      <c r="A33" s="127" t="s">
        <v>25</v>
      </c>
      <c r="B33" s="135" t="s">
        <v>71</v>
      </c>
      <c r="C33" s="115" t="s">
        <v>26</v>
      </c>
      <c r="D33" s="112" t="s">
        <v>27</v>
      </c>
      <c r="E33" s="39"/>
      <c r="F33" s="39"/>
    </row>
    <row r="34" spans="1:7" ht="15.75" thickBot="1" x14ac:dyDescent="0.3">
      <c r="A34" s="128"/>
      <c r="B34" s="136"/>
      <c r="C34" s="114">
        <f>C35+C36+C37+C38+C39+C40+C41+C51+C43+C42+C45+C46+C48+C52+C49</f>
        <v>1984077.9600000002</v>
      </c>
      <c r="D34" s="113">
        <f>D36+D37+D38+D39+D40+D41+D42+D43+D45+D46+D47+D48+D49+D50+D44</f>
        <v>1836247.5400000003</v>
      </c>
      <c r="E34" s="14"/>
      <c r="F34" s="16"/>
    </row>
    <row r="35" spans="1:7" x14ac:dyDescent="0.25">
      <c r="A35" s="40" t="s">
        <v>12</v>
      </c>
      <c r="B35" s="116">
        <f>B36+B37+B38+B39+B40+B41+B42+B43+B45+B46+B48+B49+B44</f>
        <v>13.2</v>
      </c>
      <c r="C35" s="41"/>
      <c r="D35" s="42"/>
      <c r="E35" s="43"/>
      <c r="F35" s="44"/>
      <c r="G35" s="1"/>
    </row>
    <row r="36" spans="1:7" x14ac:dyDescent="0.25">
      <c r="A36" s="45" t="s">
        <v>28</v>
      </c>
      <c r="B36" s="46">
        <v>2.15</v>
      </c>
      <c r="C36" s="47">
        <f>B36*C11*10+1.5*11172.2*2</f>
        <v>273706</v>
      </c>
      <c r="D36" s="48">
        <f>16758.3+16578.3+24020.23+24020.23+24020.23+24020.23+24020.23+24020.23+24020.23+24020.23+24020.23+24020.23</f>
        <v>273538.90000000002</v>
      </c>
      <c r="E36" s="43"/>
      <c r="F36" s="44"/>
      <c r="G36" s="1"/>
    </row>
    <row r="37" spans="1:7" x14ac:dyDescent="0.25">
      <c r="A37" s="45" t="s">
        <v>29</v>
      </c>
      <c r="B37" s="46">
        <v>1.44</v>
      </c>
      <c r="C37" s="47">
        <f>B37*C11*10+0.95*11171.6*2</f>
        <v>182097.08</v>
      </c>
      <c r="D37" s="48">
        <f>10613.59+10613.59+16087.1*10</f>
        <v>182098.18</v>
      </c>
      <c r="E37" s="43"/>
      <c r="F37" s="44"/>
    </row>
    <row r="38" spans="1:7" x14ac:dyDescent="0.25">
      <c r="A38" s="45" t="s">
        <v>30</v>
      </c>
      <c r="B38" s="46">
        <v>2.67</v>
      </c>
      <c r="C38" s="47">
        <f>B38*C11*10+3.81*11171.6*2</f>
        <v>383409.31199999998</v>
      </c>
      <c r="D38" s="48">
        <f>34075.21+34075.21+17002.22+29840.97*7+24478.31+0.9+29719.01*2+18.07</f>
        <v>377974.73000000004</v>
      </c>
      <c r="E38" s="43"/>
      <c r="F38" s="44"/>
    </row>
    <row r="39" spans="1:7" x14ac:dyDescent="0.25">
      <c r="A39" s="45" t="s">
        <v>31</v>
      </c>
      <c r="B39" s="46">
        <f>3.2+0.14</f>
        <v>3.3400000000000003</v>
      </c>
      <c r="C39" s="47">
        <f>B39*C11*12</f>
        <v>447757.72800000012</v>
      </c>
      <c r="D39" s="48">
        <f>1564.11*12+360215</f>
        <v>378984.32</v>
      </c>
      <c r="E39" s="43"/>
      <c r="F39" s="44"/>
    </row>
    <row r="40" spans="1:7" x14ac:dyDescent="0.25">
      <c r="A40" s="45" t="s">
        <v>72</v>
      </c>
      <c r="B40" s="46"/>
      <c r="C40" s="47"/>
      <c r="D40" s="48">
        <v>13216</v>
      </c>
      <c r="E40" s="43"/>
      <c r="F40" s="44"/>
    </row>
    <row r="41" spans="1:7" x14ac:dyDescent="0.25">
      <c r="A41" s="45" t="s">
        <v>32</v>
      </c>
      <c r="B41" s="46"/>
      <c r="C41" s="47"/>
      <c r="D41" s="48">
        <v>1547.09</v>
      </c>
      <c r="E41" s="43"/>
      <c r="F41" s="44"/>
    </row>
    <row r="42" spans="1:7" x14ac:dyDescent="0.25">
      <c r="A42" s="45" t="s">
        <v>33</v>
      </c>
      <c r="B42" s="46"/>
      <c r="C42" s="47"/>
      <c r="D42" s="48">
        <v>153510.74</v>
      </c>
      <c r="E42" s="43"/>
      <c r="F42" s="44"/>
    </row>
    <row r="43" spans="1:7" x14ac:dyDescent="0.25">
      <c r="A43" s="45" t="s">
        <v>34</v>
      </c>
      <c r="B43" s="46">
        <v>1.5</v>
      </c>
      <c r="C43" s="47">
        <f>B43*C11*12</f>
        <v>201088.80000000002</v>
      </c>
      <c r="D43" s="48">
        <f>8787.28+123.9+1443.03+18613.4+123.9+3045.33+13700.34+123.9+2244.18+13700.34+123.9+2244.18+1479.84+241.31+13700.34+123.9+2244.18+2244.18+123.9+13700.34+2372.58+123.9+13700.34+2372.58+123.9+13700.34+102.05+591.94+2372.58+123.9+13700.34+10576.4+123.9+1834.03+10576.4+123.9+1834.03+10576.4+123.9+1834.03</f>
        <v>185019.1099999999</v>
      </c>
      <c r="E43" s="43"/>
      <c r="F43" s="44"/>
    </row>
    <row r="44" spans="1:7" x14ac:dyDescent="0.25">
      <c r="A44" s="45" t="s">
        <v>77</v>
      </c>
      <c r="B44" s="46">
        <v>2.1</v>
      </c>
      <c r="C44" s="47">
        <f>B44*C11*12</f>
        <v>281524.32</v>
      </c>
      <c r="D44" s="48">
        <f>1729.89+3351.66+19107.6+137929+28064.91</f>
        <v>190183.06</v>
      </c>
      <c r="E44" s="43"/>
      <c r="F44" s="44"/>
    </row>
    <row r="45" spans="1:7" x14ac:dyDescent="0.25">
      <c r="A45" s="45" t="s">
        <v>74</v>
      </c>
      <c r="B45" s="46"/>
      <c r="C45" s="47"/>
      <c r="D45" s="48"/>
      <c r="E45" s="43"/>
      <c r="F45" s="44"/>
    </row>
    <row r="46" spans="1:7" x14ac:dyDescent="0.25">
      <c r="A46" s="45" t="s">
        <v>35</v>
      </c>
      <c r="B46" s="49"/>
      <c r="C46" s="47"/>
      <c r="D46" s="48">
        <v>2009.87</v>
      </c>
      <c r="E46" s="43"/>
      <c r="F46" s="44"/>
    </row>
    <row r="47" spans="1:7" hidden="1" x14ac:dyDescent="0.25">
      <c r="A47" s="45" t="s">
        <v>36</v>
      </c>
      <c r="B47" s="49"/>
      <c r="C47" s="47"/>
      <c r="D47" s="48"/>
      <c r="E47" s="43"/>
      <c r="F47" s="44"/>
    </row>
    <row r="48" spans="1:7" x14ac:dyDescent="0.25">
      <c r="A48" s="45" t="s">
        <v>37</v>
      </c>
      <c r="B48" s="46"/>
      <c r="C48" s="47"/>
      <c r="D48" s="48"/>
      <c r="E48" s="43"/>
      <c r="F48" s="44"/>
    </row>
    <row r="49" spans="1:6" x14ac:dyDescent="0.25">
      <c r="A49" s="45" t="s">
        <v>38</v>
      </c>
      <c r="B49" s="46"/>
      <c r="C49" s="47"/>
      <c r="D49" s="48">
        <f>5381.19+15970.02+56814.33</f>
        <v>78165.540000000008</v>
      </c>
      <c r="E49" s="43"/>
      <c r="F49" s="44"/>
    </row>
    <row r="50" spans="1:6" hidden="1" x14ac:dyDescent="0.25">
      <c r="A50" s="45" t="s">
        <v>39</v>
      </c>
      <c r="B50" s="49"/>
      <c r="C50" s="47"/>
      <c r="D50" s="48"/>
      <c r="E50" s="43"/>
      <c r="F50" s="44"/>
    </row>
    <row r="51" spans="1:6" x14ac:dyDescent="0.25">
      <c r="A51" s="50" t="s">
        <v>73</v>
      </c>
      <c r="B51" s="51">
        <v>0.2</v>
      </c>
      <c r="C51" s="52">
        <f>B51*C11*12</f>
        <v>26811.840000000004</v>
      </c>
      <c r="D51" s="53">
        <f>1300+1300+1300+400+53928.15</f>
        <v>58228.15</v>
      </c>
      <c r="E51" s="54"/>
      <c r="F51" s="44"/>
    </row>
    <row r="52" spans="1:6" x14ac:dyDescent="0.25">
      <c r="A52" s="50" t="s">
        <v>40</v>
      </c>
      <c r="B52" s="51">
        <v>3.5</v>
      </c>
      <c r="C52" s="52">
        <f>B52*C11*12</f>
        <v>469207.19999999995</v>
      </c>
      <c r="D52" s="53">
        <f>495663.18+2170</f>
        <v>497833.18</v>
      </c>
      <c r="E52" s="54"/>
      <c r="F52" s="44"/>
    </row>
    <row r="53" spans="1:6" x14ac:dyDescent="0.25">
      <c r="A53" s="50" t="s">
        <v>41</v>
      </c>
      <c r="B53" s="55"/>
      <c r="C53" s="52"/>
      <c r="D53" s="53"/>
      <c r="E53" s="54"/>
      <c r="F53" s="44"/>
    </row>
    <row r="54" spans="1:6" x14ac:dyDescent="0.25">
      <c r="A54" s="50" t="s">
        <v>42</v>
      </c>
      <c r="B54" s="55"/>
      <c r="C54" s="52"/>
      <c r="D54" s="53">
        <v>53918.559999999998</v>
      </c>
      <c r="E54" s="54"/>
      <c r="F54" s="44"/>
    </row>
    <row r="55" spans="1:6" x14ac:dyDescent="0.25">
      <c r="A55" s="50" t="s">
        <v>43</v>
      </c>
      <c r="B55" s="55"/>
      <c r="C55" s="52">
        <f>C56+C57+C58+C59</f>
        <v>0</v>
      </c>
      <c r="D55" s="53">
        <f>D56+D57+D58+D59</f>
        <v>3266093.5100000002</v>
      </c>
      <c r="E55" s="54"/>
      <c r="F55" s="44"/>
    </row>
    <row r="56" spans="1:6" x14ac:dyDescent="0.25">
      <c r="A56" s="45" t="s">
        <v>44</v>
      </c>
      <c r="B56" s="49"/>
      <c r="C56" s="47"/>
      <c r="D56" s="48">
        <v>2750801.18</v>
      </c>
      <c r="E56" s="43"/>
      <c r="F56" s="44"/>
    </row>
    <row r="57" spans="1:6" x14ac:dyDescent="0.25">
      <c r="A57" s="45" t="s">
        <v>45</v>
      </c>
      <c r="B57" s="49"/>
      <c r="C57" s="47"/>
      <c r="D57" s="48">
        <v>-2560.5500000000002</v>
      </c>
      <c r="E57" s="43"/>
      <c r="F57" s="44"/>
    </row>
    <row r="58" spans="1:6" x14ac:dyDescent="0.25">
      <c r="A58" s="45" t="s">
        <v>46</v>
      </c>
      <c r="B58" s="49"/>
      <c r="C58" s="47"/>
      <c r="D58" s="56">
        <v>240320.04</v>
      </c>
      <c r="E58" s="43"/>
      <c r="F58" s="44"/>
    </row>
    <row r="59" spans="1:6" ht="15.75" thickBot="1" x14ac:dyDescent="0.3">
      <c r="A59" s="57" t="s">
        <v>47</v>
      </c>
      <c r="B59" s="58"/>
      <c r="C59" s="59"/>
      <c r="D59" s="56">
        <v>277532.84000000003</v>
      </c>
      <c r="E59" s="43"/>
      <c r="F59" s="44"/>
    </row>
    <row r="60" spans="1:6" ht="15.75" thickBot="1" x14ac:dyDescent="0.3">
      <c r="A60" s="60" t="s">
        <v>48</v>
      </c>
      <c r="B60" s="38"/>
      <c r="C60" s="61">
        <f>C55+C54+C34</f>
        <v>1984077.9600000002</v>
      </c>
      <c r="D60" s="62">
        <f>D55+D54+D34+D53+D52+D51</f>
        <v>5712320.9400000004</v>
      </c>
      <c r="E60" s="14"/>
      <c r="F60" s="14"/>
    </row>
    <row r="61" spans="1:6" x14ac:dyDescent="0.25">
      <c r="A61" s="63" t="s">
        <v>49</v>
      </c>
      <c r="B61" s="64"/>
      <c r="C61" s="65"/>
      <c r="D61" s="66">
        <f>53993-D41-D46</f>
        <v>50436.04</v>
      </c>
      <c r="E61" s="14"/>
      <c r="F61" s="44"/>
    </row>
    <row r="62" spans="1:6" x14ac:dyDescent="0.25">
      <c r="A62" s="67" t="s">
        <v>75</v>
      </c>
      <c r="B62" s="68"/>
      <c r="C62" s="69"/>
      <c r="D62" s="70">
        <f>B29-D60-D61</f>
        <v>-35334.980000001342</v>
      </c>
      <c r="E62" s="14"/>
      <c r="F62" s="44"/>
    </row>
    <row r="63" spans="1:6" x14ac:dyDescent="0.25">
      <c r="A63" s="71" t="s">
        <v>76</v>
      </c>
      <c r="B63" s="72"/>
      <c r="C63" s="73"/>
      <c r="D63" s="74">
        <v>-58030.2</v>
      </c>
      <c r="E63" s="39"/>
    </row>
    <row r="64" spans="1:6" ht="15.75" thickBot="1" x14ac:dyDescent="0.3">
      <c r="A64" s="117" t="s">
        <v>78</v>
      </c>
      <c r="B64" s="76"/>
      <c r="C64" s="77"/>
      <c r="D64" s="78">
        <f>D62+D63</f>
        <v>-93365.180000001332</v>
      </c>
      <c r="E64" s="39"/>
    </row>
    <row r="65" spans="1:6" ht="15.75" thickBot="1" x14ac:dyDescent="0.3">
      <c r="A65" s="79" t="s">
        <v>50</v>
      </c>
      <c r="B65" s="80"/>
      <c r="C65" s="81"/>
      <c r="D65" s="82"/>
      <c r="E65" s="83"/>
    </row>
    <row r="66" spans="1:6" x14ac:dyDescent="0.25">
      <c r="A66" s="84" t="s">
        <v>12</v>
      </c>
      <c r="B66" s="85"/>
      <c r="C66" s="86"/>
      <c r="D66" s="87">
        <f>B16+B18-D34</f>
        <v>-154540.66000000015</v>
      </c>
      <c r="E66" s="16"/>
    </row>
    <row r="67" spans="1:6" x14ac:dyDescent="0.25">
      <c r="A67" s="71" t="s">
        <v>51</v>
      </c>
      <c r="B67" s="88"/>
      <c r="C67" s="89"/>
      <c r="D67" s="90">
        <f>B17-D52</f>
        <v>-28609.179999999993</v>
      </c>
      <c r="E67" s="16"/>
    </row>
    <row r="68" spans="1:6" x14ac:dyDescent="0.25">
      <c r="A68" s="71" t="s">
        <v>52</v>
      </c>
      <c r="B68" s="88"/>
      <c r="C68" s="89"/>
      <c r="D68" s="90">
        <f>B19-D51</f>
        <v>-31415.350000000002</v>
      </c>
      <c r="E68" s="16"/>
    </row>
    <row r="69" spans="1:6" x14ac:dyDescent="0.25">
      <c r="A69" s="71" t="s">
        <v>53</v>
      </c>
      <c r="B69" s="88"/>
      <c r="C69" s="89"/>
      <c r="D69" s="90">
        <f>B26-D54</f>
        <v>83825.56</v>
      </c>
      <c r="E69" s="16"/>
    </row>
    <row r="70" spans="1:6" x14ac:dyDescent="0.25">
      <c r="A70" s="71" t="s">
        <v>54</v>
      </c>
      <c r="B70" s="88"/>
      <c r="C70" s="89"/>
      <c r="D70" s="90">
        <f>B21-D55</f>
        <v>108520.75999999978</v>
      </c>
      <c r="E70" s="16"/>
    </row>
    <row r="71" spans="1:6" hidden="1" x14ac:dyDescent="0.25">
      <c r="A71" s="71"/>
      <c r="B71" s="88"/>
      <c r="C71" s="89"/>
      <c r="D71" s="90"/>
      <c r="E71" s="16"/>
    </row>
    <row r="72" spans="1:6" x14ac:dyDescent="0.25">
      <c r="A72" s="71" t="s">
        <v>55</v>
      </c>
      <c r="B72" s="88"/>
      <c r="C72" s="89"/>
      <c r="D72" s="90">
        <f>B20</f>
        <v>24000</v>
      </c>
      <c r="E72" s="16"/>
    </row>
    <row r="73" spans="1:6" x14ac:dyDescent="0.25">
      <c r="A73" s="71" t="s">
        <v>56</v>
      </c>
      <c r="B73" s="88"/>
      <c r="C73" s="89"/>
      <c r="D73" s="90">
        <f>B27</f>
        <v>0</v>
      </c>
      <c r="E73" s="16"/>
    </row>
    <row r="74" spans="1:6" ht="15.75" thickBot="1" x14ac:dyDescent="0.3">
      <c r="A74" s="75" t="s">
        <v>57</v>
      </c>
      <c r="B74" s="91"/>
      <c r="C74" s="77"/>
      <c r="D74" s="92">
        <f>-D61</f>
        <v>-50436.04</v>
      </c>
      <c r="E74" s="16"/>
    </row>
    <row r="75" spans="1:6" ht="15.75" thickBot="1" x14ac:dyDescent="0.3">
      <c r="A75" s="93"/>
      <c r="B75" s="93"/>
    </row>
    <row r="76" spans="1:6" ht="15.75" thickBot="1" x14ac:dyDescent="0.3">
      <c r="A76" s="108" t="s">
        <v>67</v>
      </c>
      <c r="B76" s="109"/>
      <c r="C76" s="110"/>
      <c r="D76" s="111"/>
    </row>
    <row r="77" spans="1:6" ht="15.75" thickBot="1" x14ac:dyDescent="0.3">
      <c r="A77" s="94"/>
      <c r="B77" s="94"/>
      <c r="C77" s="95"/>
      <c r="D77" s="95"/>
      <c r="E77" s="95"/>
      <c r="F77" s="95"/>
    </row>
    <row r="78" spans="1:6" x14ac:dyDescent="0.25">
      <c r="A78" s="118" t="s">
        <v>79</v>
      </c>
      <c r="B78" s="120">
        <v>50776</v>
      </c>
      <c r="E78" s="96"/>
      <c r="F78" s="1" t="s">
        <v>58</v>
      </c>
    </row>
    <row r="79" spans="1:6" ht="38.25" x14ac:dyDescent="0.25">
      <c r="A79" s="119" t="s">
        <v>84</v>
      </c>
      <c r="B79" s="121">
        <v>65649.08</v>
      </c>
      <c r="E79" s="96"/>
      <c r="F79" s="1" t="s">
        <v>58</v>
      </c>
    </row>
    <row r="80" spans="1:6" ht="38.25" x14ac:dyDescent="0.25">
      <c r="A80" s="119" t="s">
        <v>80</v>
      </c>
      <c r="B80" s="121">
        <v>13125</v>
      </c>
      <c r="E80" s="96"/>
      <c r="F80" s="1" t="s">
        <v>58</v>
      </c>
    </row>
    <row r="81" spans="1:6" x14ac:dyDescent="0.25">
      <c r="A81" s="119" t="s">
        <v>85</v>
      </c>
      <c r="B81" s="121">
        <v>37100</v>
      </c>
      <c r="E81" s="96"/>
      <c r="F81" s="1" t="s">
        <v>58</v>
      </c>
    </row>
    <row r="82" spans="1:6" x14ac:dyDescent="0.25">
      <c r="A82" s="119" t="s">
        <v>81</v>
      </c>
      <c r="B82" s="121">
        <v>11873</v>
      </c>
      <c r="E82" s="96"/>
      <c r="F82" s="1" t="s">
        <v>58</v>
      </c>
    </row>
    <row r="83" spans="1:6" x14ac:dyDescent="0.25">
      <c r="A83" s="119" t="s">
        <v>89</v>
      </c>
      <c r="B83" s="121">
        <f>102772.61+141017</f>
        <v>243789.61</v>
      </c>
      <c r="E83" s="96"/>
      <c r="F83" s="1" t="s">
        <v>58</v>
      </c>
    </row>
    <row r="84" spans="1:6" ht="30" customHeight="1" x14ac:dyDescent="0.25">
      <c r="A84" s="122" t="s">
        <v>83</v>
      </c>
      <c r="B84" s="123">
        <f>2170+1080</f>
        <v>3250</v>
      </c>
      <c r="D84" s="96"/>
      <c r="E84" s="96"/>
    </row>
    <row r="85" spans="1:6" ht="30" customHeight="1" x14ac:dyDescent="0.25">
      <c r="A85" s="122" t="s">
        <v>88</v>
      </c>
      <c r="B85" s="123">
        <f>15340-0.51</f>
        <v>15339.49</v>
      </c>
      <c r="D85" s="96"/>
      <c r="E85" s="96"/>
    </row>
    <row r="86" spans="1:6" ht="30" customHeight="1" x14ac:dyDescent="0.25">
      <c r="A86" s="122" t="s">
        <v>87</v>
      </c>
      <c r="B86" s="123">
        <v>14875</v>
      </c>
      <c r="D86" s="96"/>
      <c r="E86" s="96"/>
    </row>
    <row r="87" spans="1:6" ht="30" customHeight="1" x14ac:dyDescent="0.25">
      <c r="A87" s="122" t="s">
        <v>86</v>
      </c>
      <c r="B87" s="123">
        <v>19315</v>
      </c>
      <c r="D87" s="96"/>
      <c r="E87" s="96"/>
    </row>
    <row r="88" spans="1:6" ht="30" customHeight="1" x14ac:dyDescent="0.25">
      <c r="A88" s="122" t="s">
        <v>90</v>
      </c>
      <c r="B88" s="123">
        <v>17898</v>
      </c>
      <c r="D88" s="96"/>
      <c r="E88" s="96"/>
    </row>
    <row r="89" spans="1:6" ht="30" customHeight="1" x14ac:dyDescent="0.25">
      <c r="A89" s="122" t="s">
        <v>91</v>
      </c>
      <c r="B89" s="123">
        <v>4843</v>
      </c>
      <c r="D89" s="96"/>
      <c r="E89" s="96"/>
    </row>
    <row r="90" spans="1:6" x14ac:dyDescent="0.25">
      <c r="A90" s="88" t="s">
        <v>59</v>
      </c>
      <c r="B90" s="124">
        <f>SUM(B78:B89)</f>
        <v>497833.18</v>
      </c>
      <c r="D90" s="96"/>
      <c r="E90" s="96"/>
    </row>
    <row r="91" spans="1:6" x14ac:dyDescent="0.25">
      <c r="B91" s="93"/>
      <c r="C91" s="97"/>
      <c r="E91" s="96"/>
      <c r="F91" s="1" t="s">
        <v>58</v>
      </c>
    </row>
    <row r="92" spans="1:6" x14ac:dyDescent="0.25">
      <c r="D92" s="96"/>
      <c r="E92" s="96"/>
    </row>
    <row r="94" spans="1:6" x14ac:dyDescent="0.25">
      <c r="A94" t="s">
        <v>60</v>
      </c>
      <c r="C94" s="1" t="s">
        <v>82</v>
      </c>
      <c r="F94" s="1" t="s">
        <v>61</v>
      </c>
    </row>
    <row r="97" spans="6:6" x14ac:dyDescent="0.25">
      <c r="F97" s="1" t="s">
        <v>62</v>
      </c>
    </row>
  </sheetData>
  <mergeCells count="6">
    <mergeCell ref="A2:E3"/>
    <mergeCell ref="A33:A34"/>
    <mergeCell ref="A4:C4"/>
    <mergeCell ref="A14:E14"/>
    <mergeCell ref="A32:D32"/>
    <mergeCell ref="B33:B34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Леонтьева</cp:lastModifiedBy>
  <cp:lastPrinted>2013-07-03T05:06:28Z</cp:lastPrinted>
  <dcterms:created xsi:type="dcterms:W3CDTF">2013-03-28T02:04:53Z</dcterms:created>
  <dcterms:modified xsi:type="dcterms:W3CDTF">2013-07-03T05:12:20Z</dcterms:modified>
</cp:coreProperties>
</file>