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3595" windowHeight="9720"/>
  </bookViews>
  <sheets>
    <sheet name="кедр" sheetId="1" r:id="rId1"/>
    <sheet name="ангара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2" i="1" l="1"/>
  <c r="C31" i="1"/>
  <c r="D53" i="1" l="1"/>
  <c r="D32" i="1" l="1"/>
  <c r="D29" i="1" s="1"/>
  <c r="D52" i="1" s="1"/>
  <c r="D54" i="1" s="1"/>
  <c r="D31" i="1"/>
  <c r="C44" i="1"/>
  <c r="D47" i="1"/>
  <c r="C24" i="1"/>
  <c r="I31" i="2" l="1"/>
  <c r="B38" i="2" l="1"/>
  <c r="C37" i="2"/>
  <c r="D11" i="2" l="1"/>
  <c r="D15" i="2"/>
  <c r="B24" i="2" l="1"/>
  <c r="D8" i="2"/>
  <c r="B42" i="2"/>
  <c r="B46" i="2" s="1"/>
  <c r="H39" i="2"/>
  <c r="C38" i="2"/>
  <c r="D36" i="2"/>
  <c r="D35" i="2"/>
  <c r="B34" i="2"/>
  <c r="D34" i="2" s="1"/>
  <c r="I33" i="2"/>
  <c r="D33" i="2"/>
  <c r="D32" i="2"/>
  <c r="D31" i="2"/>
  <c r="B28" i="2"/>
  <c r="D26" i="2"/>
  <c r="D25" i="2"/>
  <c r="C23" i="2"/>
  <c r="L21" i="2"/>
  <c r="L19" i="2"/>
  <c r="K19" i="2"/>
  <c r="K21" i="2" s="1"/>
  <c r="M10" i="2"/>
  <c r="C8" i="2"/>
  <c r="B50" i="2" s="1"/>
  <c r="E12" i="1"/>
  <c r="D12" i="1"/>
  <c r="C12" i="1"/>
  <c r="B29" i="1"/>
  <c r="D68" i="1"/>
  <c r="D64" i="1"/>
  <c r="B49" i="2" l="1"/>
  <c r="B27" i="2"/>
  <c r="B41" i="2"/>
  <c r="B45" i="2" s="1"/>
  <c r="B51" i="2"/>
  <c r="B53" i="2"/>
  <c r="D24" i="2"/>
  <c r="C30" i="2"/>
  <c r="D30" i="2" s="1"/>
  <c r="J30" i="2"/>
  <c r="D37" i="2"/>
  <c r="D38" i="2"/>
  <c r="C42" i="2"/>
  <c r="C46" i="2" s="1"/>
  <c r="C43" i="2"/>
  <c r="C47" i="2" s="1"/>
  <c r="B23" i="2"/>
  <c r="J26" i="2"/>
  <c r="J27" i="2"/>
  <c r="J28" i="2"/>
  <c r="C28" i="2"/>
  <c r="C27" i="2" s="1"/>
  <c r="J29" i="2"/>
  <c r="J31" i="2"/>
  <c r="H37" i="2"/>
  <c r="I38" i="2" s="1"/>
  <c r="I39" i="2" s="1"/>
  <c r="B43" i="2"/>
  <c r="B47" i="2" s="1"/>
  <c r="D60" i="1"/>
  <c r="D59" i="1"/>
  <c r="D36" i="1"/>
  <c r="D30" i="1"/>
  <c r="C40" i="2" l="1"/>
  <c r="D23" i="2"/>
  <c r="B40" i="2"/>
  <c r="C50" i="2"/>
  <c r="C41" i="2"/>
  <c r="C45" i="2" s="1"/>
  <c r="J38" i="2"/>
  <c r="J39" i="2" s="1"/>
  <c r="D28" i="2"/>
  <c r="D27" i="2" s="1"/>
  <c r="C51" i="2"/>
  <c r="D29" i="2"/>
  <c r="D37" i="1"/>
  <c r="C49" i="2" l="1"/>
  <c r="D40" i="2"/>
  <c r="D58" i="1"/>
  <c r="C7" i="1"/>
  <c r="B7" i="1"/>
  <c r="B32" i="1"/>
  <c r="E21" i="1"/>
  <c r="C21" i="1"/>
  <c r="D61" i="1" s="1"/>
  <c r="D11" i="1"/>
  <c r="E11" i="1"/>
  <c r="E20" i="1"/>
  <c r="C20" i="1"/>
  <c r="E19" i="1"/>
  <c r="C19" i="1"/>
  <c r="E18" i="1"/>
  <c r="D18" i="1"/>
  <c r="D16" i="1" s="1"/>
  <c r="C18" i="1"/>
  <c r="D24" i="1" l="1"/>
  <c r="E17" i="1" l="1"/>
  <c r="E16" i="1" s="1"/>
  <c r="F16" i="1" s="1"/>
  <c r="C17" i="1"/>
  <c r="C16" i="1" s="1"/>
  <c r="D62" i="1" s="1"/>
  <c r="D63" i="1" l="1"/>
  <c r="C47" i="1"/>
  <c r="F23" i="1"/>
  <c r="F21" i="1"/>
  <c r="F20" i="1"/>
  <c r="F19" i="1"/>
  <c r="F18" i="1"/>
  <c r="F17" i="1"/>
  <c r="F14" i="1"/>
  <c r="F13" i="1"/>
  <c r="F12" i="1"/>
  <c r="E24" i="1"/>
  <c r="C41" i="1" l="1"/>
  <c r="C37" i="1"/>
  <c r="C35" i="1"/>
  <c r="C40" i="1"/>
  <c r="C36" i="1"/>
  <c r="C30" i="1"/>
  <c r="C29" i="1" s="1"/>
  <c r="D56" i="1"/>
  <c r="F11" i="1"/>
  <c r="F24" i="1" s="1"/>
</calcChain>
</file>

<file path=xl/sharedStrings.xml><?xml version="1.0" encoding="utf-8"?>
<sst xmlns="http://schemas.openxmlformats.org/spreadsheetml/2006/main" count="152" uniqueCount="145">
  <si>
    <t>Адрес</t>
  </si>
  <si>
    <t>кол-во проживающих чел.</t>
  </si>
  <si>
    <t>Площадь ,м2</t>
  </si>
  <si>
    <t>Р.Люксембург ,7д</t>
  </si>
  <si>
    <t>Итого</t>
  </si>
  <si>
    <t>Статьи</t>
  </si>
  <si>
    <t>1.Содержание общего имущества</t>
  </si>
  <si>
    <t>2.Текущий ремонт</t>
  </si>
  <si>
    <t xml:space="preserve">3.Аренда </t>
  </si>
  <si>
    <t>4.Содержание приборов учета</t>
  </si>
  <si>
    <t>5.Капитальный ремонт</t>
  </si>
  <si>
    <t>6.Коммунальные ,всего</t>
  </si>
  <si>
    <t>6.1.Отопление, руб./ Гкал</t>
  </si>
  <si>
    <t>6.2.ГВС,   руб/м3</t>
  </si>
  <si>
    <t>6.3.ХВС    руб/м3</t>
  </si>
  <si>
    <t>6.4.Стоки   руб/м3</t>
  </si>
  <si>
    <t>7.Электроэнергия</t>
  </si>
  <si>
    <t>8.Пени</t>
  </si>
  <si>
    <t>9.Вознаграждение по договору( наем)</t>
  </si>
  <si>
    <t xml:space="preserve">Итого </t>
  </si>
  <si>
    <t>Примечание</t>
  </si>
  <si>
    <t>ПЛАН</t>
  </si>
  <si>
    <t>ФАКТ</t>
  </si>
  <si>
    <t>Управление</t>
  </si>
  <si>
    <t>Уборка лестничных клеток</t>
  </si>
  <si>
    <t>Техническое обслуживание</t>
  </si>
  <si>
    <t>Обслуживание лифта</t>
  </si>
  <si>
    <t>Домофоны</t>
  </si>
  <si>
    <t>Налог на окружающую среду</t>
  </si>
  <si>
    <t>МОП</t>
  </si>
  <si>
    <t>ТБО</t>
  </si>
  <si>
    <t>Система Город</t>
  </si>
  <si>
    <t>РКО</t>
  </si>
  <si>
    <t>Заработная плата председателя</t>
  </si>
  <si>
    <t>Отопление</t>
  </si>
  <si>
    <t>ГВС</t>
  </si>
  <si>
    <t>ХВС</t>
  </si>
  <si>
    <t>Стоки</t>
  </si>
  <si>
    <t>Прямые затраты</t>
  </si>
  <si>
    <t>Налог УСН</t>
  </si>
  <si>
    <t>Результат по статьям затрат</t>
  </si>
  <si>
    <t>руб.</t>
  </si>
  <si>
    <t>Директор УК "Ангара"</t>
  </si>
  <si>
    <t>Отчет ФХД ТСЖ " Кедр" за 2012год</t>
  </si>
  <si>
    <t>Оплачено жителями  в 2012г, руб.</t>
  </si>
  <si>
    <t>с 01.09.12г.</t>
  </si>
  <si>
    <t>тариф, руб./м2 с 01.08.12г.</t>
  </si>
  <si>
    <t>Тариф руб/м2 с 01.08.12г.</t>
  </si>
  <si>
    <t>2.Содержание приборов учета</t>
  </si>
  <si>
    <t>Финансовый результат по ТСЖ за 2012год</t>
  </si>
  <si>
    <t>Финансовый результат  2011года</t>
  </si>
  <si>
    <t>Финансовый результат по ТСЖ за 2012год с учетом результата 2011года</t>
  </si>
  <si>
    <t>1. Содержание общего имущества</t>
  </si>
  <si>
    <t>2. Текущий ремонт общего имущества</t>
  </si>
  <si>
    <t>1. Техническая характеристика</t>
  </si>
  <si>
    <t>2. Информация о начислении</t>
  </si>
  <si>
    <t>Доходы ТСЖ, руб.</t>
  </si>
  <si>
    <t>Задолженность жителей на начало года, руб.</t>
  </si>
  <si>
    <t>Задолженность жителей на отчетный период, руб.</t>
  </si>
  <si>
    <t>3. Расходы ТСЖ, руб.</t>
  </si>
  <si>
    <t>4. Выполнение работ по текущему ремонту за период с  01.01.2012г.по 31.12.2012г.</t>
  </si>
  <si>
    <t>Ден.взыскания, штрафы, пени</t>
  </si>
  <si>
    <t>Д.А. Днепровский</t>
  </si>
  <si>
    <t>2.Текущий ремонт общего имущества</t>
  </si>
  <si>
    <t>3.Капитальный ремонт</t>
  </si>
  <si>
    <t>4.Электроэнергия</t>
  </si>
  <si>
    <t>5.Коммунальные, всего</t>
  </si>
  <si>
    <t>Поверка приборов учета, тепловой энергии, термометров сопротивления, сдача в эксплуатацию</t>
  </si>
  <si>
    <t>в т.ч. обслуживание приборов учета</t>
  </si>
  <si>
    <t>3. Электроэнергия</t>
  </si>
  <si>
    <t>4. Коммунальные услуги</t>
  </si>
  <si>
    <t>5. Пени</t>
  </si>
  <si>
    <t>6. Налог</t>
  </si>
  <si>
    <t>1.Техническая характеристика.</t>
  </si>
  <si>
    <t xml:space="preserve"> Общая площадь, м2</t>
  </si>
  <si>
    <t>ТСЖ "Кедр"</t>
  </si>
  <si>
    <t>ул.Р.Люксембург 7д</t>
  </si>
  <si>
    <t>Итого:</t>
  </si>
  <si>
    <t xml:space="preserve">общие </t>
  </si>
  <si>
    <t>ТМЦ</t>
  </si>
  <si>
    <t>руб/м2</t>
  </si>
  <si>
    <t>а/т</t>
  </si>
  <si>
    <t>2.1. Управление многоквартирным домом и содержание общего имущества, в том числе:</t>
  </si>
  <si>
    <t>инструмент</t>
  </si>
  <si>
    <t>2.1.1.Управление</t>
  </si>
  <si>
    <t>спец од</t>
  </si>
  <si>
    <t>2.1.2.Уборка лестничных клеток</t>
  </si>
  <si>
    <t>2.1.3.Уборка придомовой территории</t>
  </si>
  <si>
    <t>2.1.4.Техническое содержание</t>
  </si>
  <si>
    <t>аморт</t>
  </si>
  <si>
    <t>2.4.Капитальный ремонт</t>
  </si>
  <si>
    <t>охр тр</t>
  </si>
  <si>
    <t>компенс проез</t>
  </si>
  <si>
    <t>содержание</t>
  </si>
  <si>
    <t>3.Анализ ФХД УК "Ангара" по обслуживанию ТСЖ " Кедр"</t>
  </si>
  <si>
    <t>Наименование</t>
  </si>
  <si>
    <t>Факт, руб.</t>
  </si>
  <si>
    <t>План, руб.</t>
  </si>
  <si>
    <t>откл.</t>
  </si>
  <si>
    <t>примечание</t>
  </si>
  <si>
    <t>тек рем</t>
  </si>
  <si>
    <t>1.Доходы УК "Ангара"</t>
  </si>
  <si>
    <t>1.1.Содержание общего имущества</t>
  </si>
  <si>
    <t>1.2.Содержание приборов учета</t>
  </si>
  <si>
    <t>1.3.Текущий ремонт общего имущества</t>
  </si>
  <si>
    <t>ФОТ</t>
  </si>
  <si>
    <t>2.Расходы УК "Ангара"</t>
  </si>
  <si>
    <t>ЕСН</t>
  </si>
  <si>
    <t>2.1.Содержание общего имущества, руб., в том числе:</t>
  </si>
  <si>
    <t>УСН</t>
  </si>
  <si>
    <t>2.1.1. ТМЦ</t>
  </si>
  <si>
    <t>2.1.2.Аварийно-ремонтные услуги</t>
  </si>
  <si>
    <t>Охрана труда</t>
  </si>
  <si>
    <t>2.1.3.Автотранспорт</t>
  </si>
  <si>
    <t>Управленческие</t>
  </si>
  <si>
    <t>2.1.4.Поверка манометров</t>
  </si>
  <si>
    <t>Средняя площадь</t>
  </si>
  <si>
    <t>2.1.5.Почтовые</t>
  </si>
  <si>
    <t>2.1.6.ФОТ+отчисления</t>
  </si>
  <si>
    <t>2.1.7.Общехозяйственные затраты</t>
  </si>
  <si>
    <t>2.1.8.РКО</t>
  </si>
  <si>
    <t>распределение общехозяйственных</t>
  </si>
  <si>
    <t>3.Обслуживание приборов учета</t>
  </si>
  <si>
    <t>4.Текущий ремонт, в том числе</t>
  </si>
  <si>
    <t>общехозяйственные</t>
  </si>
  <si>
    <t>4.Результат, всего, в том числе:</t>
  </si>
  <si>
    <t>4.1. Содержание общего имущества</t>
  </si>
  <si>
    <t>4.2.Обслуживание приборов учета</t>
  </si>
  <si>
    <t>4.3.Текущий ремонт общего имущества</t>
  </si>
  <si>
    <t>5.Рентабельность %</t>
  </si>
  <si>
    <t>5.1. Содержание общего имущества</t>
  </si>
  <si>
    <t>5.2.Обслуживание приборов учета</t>
  </si>
  <si>
    <t>5.3.Текущий ремонт общего имущества</t>
  </si>
  <si>
    <t>6.Тариф, руб./м2</t>
  </si>
  <si>
    <t>6.1. Содержание общего имущества</t>
  </si>
  <si>
    <t>6.2.Обслуживание приборов учета</t>
  </si>
  <si>
    <t>6.3.Текущий ремонт общего имущества</t>
  </si>
  <si>
    <t>Директор ООО УК "Ангара"</t>
  </si>
  <si>
    <t>Нефедов А.М.</t>
  </si>
  <si>
    <t>Отчет ФХД УК "Ангара"  по обслуживанию жилищного фонда  ТСЖ "Кедр"  за  2012 год</t>
  </si>
  <si>
    <t>2.2. Текущий ремонт</t>
  </si>
  <si>
    <t>2.Тарифы действующие с 01.08.2012 г.</t>
  </si>
  <si>
    <t>2.2.1. в т.ч. Содержание приборов учета</t>
  </si>
  <si>
    <t>перерасчет за услуги теплотехника 0,42руб./м2 за 2011г.</t>
  </si>
  <si>
    <t>Комиссия, почтовые, нотариальные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</si>
</sst>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</font>
    <font>
      <sz val="10"/>
      <color rgb="FFFF0000"/>
      <name val="Arial"/>
      <family val="2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3" fillId="0" borderId="0" xfId="0" applyFont="1"/>
    <xf numFmtId="0" fontId="1" fillId="0" borderId="0" xfId="0" applyFont="1"/>
    <xf numFmtId="4" fontId="3" fillId="0" borderId="0" xfId="0" applyNumberFormat="1" applyFont="1"/>
    <xf numFmtId="0" fontId="4" fillId="0" borderId="25" xfId="0" applyFont="1" applyBorder="1"/>
    <xf numFmtId="0" fontId="4" fillId="0" borderId="0" xfId="0" applyFont="1" applyBorder="1"/>
    <xf numFmtId="4" fontId="4" fillId="0" borderId="0" xfId="0" applyNumberFormat="1" applyFont="1" applyBorder="1"/>
    <xf numFmtId="4" fontId="4" fillId="0" borderId="0" xfId="0" applyNumberFormat="1" applyFont="1" applyBorder="1" applyAlignment="1">
      <alignment horizontal="center"/>
    </xf>
    <xf numFmtId="0" fontId="3" fillId="0" borderId="0" xfId="0" applyFont="1" applyBorder="1"/>
    <xf numFmtId="4" fontId="3" fillId="0" borderId="0" xfId="0" applyNumberFormat="1" applyFont="1" applyBorder="1"/>
    <xf numFmtId="2" fontId="3" fillId="0" borderId="0" xfId="0" applyNumberFormat="1" applyFont="1"/>
    <xf numFmtId="4" fontId="3" fillId="0" borderId="37" xfId="0" applyNumberFormat="1" applyFont="1" applyBorder="1"/>
    <xf numFmtId="0" fontId="4" fillId="3" borderId="45" xfId="0" applyFont="1" applyFill="1" applyBorder="1"/>
    <xf numFmtId="4" fontId="3" fillId="3" borderId="45" xfId="0" applyNumberFormat="1" applyFont="1" applyFill="1" applyBorder="1"/>
    <xf numFmtId="0" fontId="4" fillId="0" borderId="8" xfId="0" applyFont="1" applyFill="1" applyBorder="1"/>
    <xf numFmtId="4" fontId="3" fillId="0" borderId="8" xfId="0" applyNumberFormat="1" applyFont="1" applyBorder="1"/>
    <xf numFmtId="4" fontId="3" fillId="0" borderId="9" xfId="0" applyNumberFormat="1" applyFont="1" applyBorder="1"/>
    <xf numFmtId="0" fontId="4" fillId="0" borderId="13" xfId="0" applyFont="1" applyFill="1" applyBorder="1"/>
    <xf numFmtId="4" fontId="3" fillId="0" borderId="13" xfId="0" applyNumberFormat="1" applyFont="1" applyBorder="1"/>
    <xf numFmtId="4" fontId="3" fillId="0" borderId="14" xfId="0" applyNumberFormat="1" applyFont="1" applyBorder="1"/>
    <xf numFmtId="0" fontId="4" fillId="0" borderId="22" xfId="0" applyFont="1" applyFill="1" applyBorder="1"/>
    <xf numFmtId="4" fontId="3" fillId="0" borderId="22" xfId="0" applyNumberFormat="1" applyFont="1" applyBorder="1"/>
    <xf numFmtId="4" fontId="3" fillId="0" borderId="23" xfId="0" applyNumberFormat="1" applyFont="1" applyBorder="1"/>
    <xf numFmtId="4" fontId="3" fillId="0" borderId="43" xfId="0" applyNumberFormat="1" applyFont="1" applyBorder="1"/>
    <xf numFmtId="0" fontId="4" fillId="0" borderId="0" xfId="0" applyFont="1" applyFill="1" applyBorder="1"/>
    <xf numFmtId="4" fontId="1" fillId="0" borderId="0" xfId="0" applyNumberFormat="1" applyFont="1" applyFill="1"/>
    <xf numFmtId="0" fontId="2" fillId="0" borderId="0" xfId="0" applyFont="1"/>
    <xf numFmtId="0" fontId="4" fillId="0" borderId="0" xfId="0" applyFont="1"/>
    <xf numFmtId="4" fontId="4" fillId="0" borderId="0" xfId="0" applyNumberFormat="1" applyFont="1"/>
    <xf numFmtId="0" fontId="1" fillId="0" borderId="26" xfId="0" applyFont="1" applyBorder="1"/>
    <xf numFmtId="0" fontId="1" fillId="0" borderId="29" xfId="0" applyFont="1" applyBorder="1" applyAlignment="1">
      <alignment horizontal="center" wrapText="1"/>
    </xf>
    <xf numFmtId="4" fontId="1" fillId="0" borderId="33" xfId="0" applyNumberFormat="1" applyFont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28" xfId="0" applyNumberFormat="1" applyFont="1" applyFill="1" applyBorder="1" applyAlignment="1">
      <alignment horizontal="center" vertical="center" wrapText="1"/>
    </xf>
    <xf numFmtId="0" fontId="7" fillId="0" borderId="6" xfId="0" applyFont="1" applyBorder="1"/>
    <xf numFmtId="0" fontId="1" fillId="0" borderId="48" xfId="0" applyFont="1" applyBorder="1"/>
    <xf numFmtId="4" fontId="2" fillId="0" borderId="48" xfId="0" applyNumberFormat="1" applyFont="1" applyBorder="1"/>
    <xf numFmtId="4" fontId="2" fillId="0" borderId="8" xfId="0" applyNumberFormat="1" applyFont="1" applyBorder="1"/>
    <xf numFmtId="4" fontId="2" fillId="0" borderId="10" xfId="0" applyNumberFormat="1" applyFont="1" applyBorder="1"/>
    <xf numFmtId="0" fontId="7" fillId="0" borderId="11" xfId="0" applyFont="1" applyBorder="1"/>
    <xf numFmtId="0" fontId="1" fillId="0" borderId="13" xfId="0" applyFont="1" applyBorder="1"/>
    <xf numFmtId="4" fontId="2" fillId="0" borderId="13" xfId="0" applyNumberFormat="1" applyFont="1" applyBorder="1"/>
    <xf numFmtId="4" fontId="2" fillId="0" borderId="15" xfId="0" applyNumberFormat="1" applyFont="1" applyBorder="1"/>
    <xf numFmtId="4" fontId="2" fillId="0" borderId="13" xfId="0" applyNumberFormat="1" applyFont="1" applyFill="1" applyBorder="1"/>
    <xf numFmtId="0" fontId="1" fillId="0" borderId="12" xfId="0" applyFont="1" applyBorder="1"/>
    <xf numFmtId="0" fontId="7" fillId="0" borderId="12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4" fontId="1" fillId="0" borderId="13" xfId="0" applyNumberFormat="1" applyFont="1" applyBorder="1"/>
    <xf numFmtId="4" fontId="1" fillId="0" borderId="15" xfId="0" applyNumberFormat="1" applyFont="1" applyBorder="1"/>
    <xf numFmtId="0" fontId="1" fillId="0" borderId="16" xfId="0" applyFont="1" applyBorder="1"/>
    <xf numFmtId="0" fontId="1" fillId="0" borderId="17" xfId="0" applyFont="1" applyBorder="1"/>
    <xf numFmtId="4" fontId="2" fillId="0" borderId="18" xfId="0" applyNumberFormat="1" applyFont="1" applyBorder="1"/>
    <xf numFmtId="4" fontId="2" fillId="0" borderId="20" xfId="0" applyNumberFormat="1" applyFont="1" applyBorder="1"/>
    <xf numFmtId="0" fontId="1" fillId="0" borderId="1" xfId="0" applyFont="1" applyFill="1" applyBorder="1"/>
    <xf numFmtId="0" fontId="1" fillId="0" borderId="2" xfId="0" applyFont="1" applyFill="1" applyBorder="1"/>
    <xf numFmtId="4" fontId="1" fillId="0" borderId="3" xfId="0" applyNumberFormat="1" applyFont="1" applyBorder="1"/>
    <xf numFmtId="4" fontId="1" fillId="0" borderId="4" xfId="0" applyNumberFormat="1" applyFont="1" applyBorder="1"/>
    <xf numFmtId="4" fontId="1" fillId="0" borderId="5" xfId="0" applyNumberFormat="1" applyFont="1" applyBorder="1"/>
    <xf numFmtId="0" fontId="7" fillId="0" borderId="0" xfId="0" applyFont="1"/>
    <xf numFmtId="4" fontId="7" fillId="0" borderId="0" xfId="0" applyNumberFormat="1" applyFont="1"/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/>
    </xf>
    <xf numFmtId="0" fontId="1" fillId="0" borderId="6" xfId="0" applyFont="1" applyBorder="1"/>
    <xf numFmtId="4" fontId="1" fillId="0" borderId="9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/>
    </xf>
    <xf numFmtId="0" fontId="1" fillId="0" borderId="21" xfId="0" applyFont="1" applyBorder="1"/>
    <xf numFmtId="4" fontId="1" fillId="0" borderId="23" xfId="0" applyNumberFormat="1" applyFont="1" applyBorder="1" applyAlignment="1">
      <alignment horizontal="center"/>
    </xf>
    <xf numFmtId="4" fontId="1" fillId="0" borderId="24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9" xfId="0" applyFont="1" applyBorder="1"/>
    <xf numFmtId="2" fontId="1" fillId="0" borderId="33" xfId="0" applyNumberFormat="1" applyFont="1" applyBorder="1"/>
    <xf numFmtId="4" fontId="1" fillId="0" borderId="31" xfId="0" applyNumberFormat="1" applyFont="1" applyFill="1" applyBorder="1"/>
    <xf numFmtId="4" fontId="1" fillId="0" borderId="4" xfId="0" applyNumberFormat="1" applyFont="1" applyFill="1" applyBorder="1"/>
    <xf numFmtId="4" fontId="2" fillId="0" borderId="34" xfId="0" applyNumberFormat="1" applyFont="1" applyBorder="1"/>
    <xf numFmtId="0" fontId="7" fillId="0" borderId="35" xfId="0" applyFont="1" applyBorder="1"/>
    <xf numFmtId="0" fontId="2" fillId="0" borderId="34" xfId="0" applyFont="1" applyBorder="1"/>
    <xf numFmtId="4" fontId="2" fillId="0" borderId="36" xfId="0" applyNumberFormat="1" applyFont="1" applyFill="1" applyBorder="1"/>
    <xf numFmtId="4" fontId="2" fillId="0" borderId="35" xfId="0" applyNumberFormat="1" applyFont="1" applyFill="1" applyBorder="1"/>
    <xf numFmtId="4" fontId="2" fillId="0" borderId="37" xfId="0" applyNumberFormat="1" applyFont="1" applyBorder="1"/>
    <xf numFmtId="0" fontId="7" fillId="0" borderId="38" xfId="0" applyFont="1" applyBorder="1"/>
    <xf numFmtId="2" fontId="2" fillId="0" borderId="37" xfId="0" applyNumberFormat="1" applyFont="1" applyBorder="1" applyAlignment="1">
      <alignment horizontal="right"/>
    </xf>
    <xf numFmtId="4" fontId="2" fillId="0" borderId="39" xfId="0" applyNumberFormat="1" applyFont="1" applyBorder="1"/>
    <xf numFmtId="4" fontId="2" fillId="0" borderId="38" xfId="0" applyNumberFormat="1" applyFont="1" applyFill="1" applyBorder="1"/>
    <xf numFmtId="4" fontId="2" fillId="0" borderId="37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right"/>
    </xf>
    <xf numFmtId="0" fontId="2" fillId="0" borderId="37" xfId="0" applyFont="1" applyBorder="1"/>
    <xf numFmtId="4" fontId="2" fillId="0" borderId="39" xfId="0" applyNumberFormat="1" applyFont="1" applyFill="1" applyBorder="1"/>
    <xf numFmtId="4" fontId="2" fillId="2" borderId="38" xfId="0" applyNumberFormat="1" applyFont="1" applyFill="1" applyBorder="1"/>
    <xf numFmtId="2" fontId="2" fillId="0" borderId="40" xfId="0" applyNumberFormat="1" applyFont="1" applyBorder="1"/>
    <xf numFmtId="0" fontId="7" fillId="0" borderId="37" xfId="0" applyFont="1" applyBorder="1"/>
    <xf numFmtId="0" fontId="1" fillId="0" borderId="38" xfId="0" applyFont="1" applyBorder="1"/>
    <xf numFmtId="0" fontId="1" fillId="0" borderId="37" xfId="0" applyFont="1" applyBorder="1" applyAlignment="1">
      <alignment horizontal="right"/>
    </xf>
    <xf numFmtId="4" fontId="1" fillId="0" borderId="39" xfId="0" applyNumberFormat="1" applyFont="1" applyFill="1" applyBorder="1"/>
    <xf numFmtId="4" fontId="1" fillId="0" borderId="38" xfId="0" applyNumberFormat="1" applyFont="1" applyFill="1" applyBorder="1"/>
    <xf numFmtId="0" fontId="1" fillId="0" borderId="37" xfId="0" applyFont="1" applyBorder="1"/>
    <xf numFmtId="4" fontId="2" fillId="0" borderId="41" xfId="0" applyNumberFormat="1" applyFont="1" applyFill="1" applyBorder="1"/>
    <xf numFmtId="0" fontId="7" fillId="0" borderId="42" xfId="0" applyFont="1" applyBorder="1"/>
    <xf numFmtId="0" fontId="7" fillId="0" borderId="43" xfId="0" applyFont="1" applyBorder="1"/>
    <xf numFmtId="4" fontId="2" fillId="0" borderId="44" xfId="0" applyNumberFormat="1" applyFont="1" applyFill="1" applyBorder="1"/>
    <xf numFmtId="4" fontId="1" fillId="0" borderId="26" xfId="0" applyNumberFormat="1" applyFont="1" applyBorder="1"/>
    <xf numFmtId="4" fontId="1" fillId="0" borderId="37" xfId="0" applyNumberFormat="1" applyFont="1" applyBorder="1"/>
    <xf numFmtId="0" fontId="1" fillId="0" borderId="7" xfId="0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0" fontId="1" fillId="0" borderId="46" xfId="0" applyFont="1" applyBorder="1"/>
    <xf numFmtId="0" fontId="1" fillId="0" borderId="47" xfId="0" applyFont="1" applyBorder="1"/>
    <xf numFmtId="4" fontId="1" fillId="0" borderId="48" xfId="0" applyNumberFormat="1" applyFont="1" applyBorder="1"/>
    <xf numFmtId="4" fontId="1" fillId="0" borderId="49" xfId="0" applyNumberFormat="1" applyFont="1" applyBorder="1"/>
    <xf numFmtId="0" fontId="1" fillId="0" borderId="11" xfId="0" applyFont="1" applyFill="1" applyBorder="1"/>
    <xf numFmtId="4" fontId="7" fillId="0" borderId="37" xfId="0" applyNumberFormat="1" applyFont="1" applyBorder="1"/>
    <xf numFmtId="4" fontId="1" fillId="0" borderId="45" xfId="0" applyNumberFormat="1" applyFont="1" applyBorder="1"/>
    <xf numFmtId="0" fontId="1" fillId="0" borderId="33" xfId="0" applyFont="1" applyBorder="1"/>
    <xf numFmtId="0" fontId="1" fillId="3" borderId="27" xfId="0" applyFont="1" applyFill="1" applyBorder="1"/>
    <xf numFmtId="0" fontId="1" fillId="0" borderId="6" xfId="0" applyFont="1" applyFill="1" applyBorder="1"/>
    <xf numFmtId="0" fontId="1" fillId="0" borderId="21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5" fillId="0" borderId="33" xfId="0" applyNumberFormat="1" applyFont="1" applyBorder="1"/>
    <xf numFmtId="0" fontId="1" fillId="0" borderId="1" xfId="0" applyFont="1" applyBorder="1" applyAlignment="1">
      <alignment horizontal="center"/>
    </xf>
    <xf numFmtId="4" fontId="4" fillId="0" borderId="0" xfId="0" applyNumberFormat="1" applyFont="1" applyFill="1"/>
    <xf numFmtId="4" fontId="1" fillId="0" borderId="0" xfId="0" applyNumberFormat="1" applyFont="1"/>
    <xf numFmtId="0" fontId="8" fillId="0" borderId="0" xfId="0" applyFont="1"/>
    <xf numFmtId="4" fontId="8" fillId="0" borderId="0" xfId="0" applyNumberFormat="1" applyFont="1"/>
    <xf numFmtId="4" fontId="0" fillId="0" borderId="0" xfId="0" applyNumberFormat="1"/>
    <xf numFmtId="0" fontId="8" fillId="4" borderId="0" xfId="0" applyFont="1" applyFill="1"/>
    <xf numFmtId="4" fontId="0" fillId="4" borderId="0" xfId="0" applyNumberFormat="1" applyFill="1"/>
    <xf numFmtId="0" fontId="8" fillId="0" borderId="27" xfId="0" applyFont="1" applyBorder="1"/>
    <xf numFmtId="4" fontId="8" fillId="0" borderId="53" xfId="0" applyNumberFormat="1" applyFont="1" applyBorder="1"/>
    <xf numFmtId="4" fontId="8" fillId="0" borderId="54" xfId="0" applyNumberFormat="1" applyFont="1" applyBorder="1" applyAlignment="1">
      <alignment horizontal="center" vertical="center" wrapText="1"/>
    </xf>
    <xf numFmtId="4" fontId="8" fillId="0" borderId="55" xfId="0" applyNumberFormat="1" applyFont="1" applyBorder="1" applyAlignment="1">
      <alignment horizontal="center" vertical="center" wrapText="1"/>
    </xf>
    <xf numFmtId="0" fontId="8" fillId="0" borderId="6" xfId="0" applyFont="1" applyBorder="1"/>
    <xf numFmtId="4" fontId="8" fillId="0" borderId="8" xfId="0" applyNumberFormat="1" applyFont="1" applyBorder="1"/>
    <xf numFmtId="3" fontId="8" fillId="0" borderId="10" xfId="0" applyNumberFormat="1" applyFont="1" applyBorder="1"/>
    <xf numFmtId="0" fontId="8" fillId="0" borderId="11" xfId="0" applyFont="1" applyBorder="1"/>
    <xf numFmtId="4" fontId="8" fillId="0" borderId="13" xfId="0" applyNumberFormat="1" applyFont="1" applyBorder="1"/>
    <xf numFmtId="3" fontId="8" fillId="0" borderId="15" xfId="0" applyNumberFormat="1" applyFont="1" applyBorder="1"/>
    <xf numFmtId="0" fontId="8" fillId="0" borderId="21" xfId="0" applyFont="1" applyBorder="1"/>
    <xf numFmtId="4" fontId="8" fillId="0" borderId="22" xfId="0" applyNumberFormat="1" applyFont="1" applyBorder="1"/>
    <xf numFmtId="3" fontId="8" fillId="0" borderId="24" xfId="0" applyNumberFormat="1" applyFont="1" applyBorder="1"/>
    <xf numFmtId="0" fontId="8" fillId="0" borderId="0" xfId="0" applyFont="1" applyBorder="1"/>
    <xf numFmtId="4" fontId="8" fillId="0" borderId="0" xfId="0" applyNumberFormat="1" applyFont="1" applyBorder="1"/>
    <xf numFmtId="3" fontId="8" fillId="0" borderId="0" xfId="0" applyNumberFormat="1" applyFont="1" applyBorder="1"/>
    <xf numFmtId="0" fontId="8" fillId="4" borderId="29" xfId="0" applyFont="1" applyFill="1" applyBorder="1"/>
    <xf numFmtId="4" fontId="8" fillId="4" borderId="30" xfId="0" applyNumberFormat="1" applyFont="1" applyFill="1" applyBorder="1"/>
    <xf numFmtId="3" fontId="8" fillId="4" borderId="31" xfId="0" applyNumberFormat="1" applyFont="1" applyFill="1" applyBorder="1" applyAlignment="1">
      <alignment horizontal="right"/>
    </xf>
    <xf numFmtId="0" fontId="8" fillId="0" borderId="26" xfId="0" applyFont="1" applyBorder="1"/>
    <xf numFmtId="4" fontId="8" fillId="0" borderId="45" xfId="0" applyNumberFormat="1" applyFont="1" applyBorder="1"/>
    <xf numFmtId="4" fontId="8" fillId="0" borderId="51" xfId="0" applyNumberFormat="1" applyFont="1" applyBorder="1"/>
    <xf numFmtId="0" fontId="9" fillId="0" borderId="25" xfId="0" applyFont="1" applyBorder="1"/>
    <xf numFmtId="4" fontId="9" fillId="0" borderId="56" xfId="0" applyNumberFormat="1" applyFont="1" applyBorder="1" applyAlignment="1">
      <alignment horizontal="right"/>
    </xf>
    <xf numFmtId="0" fontId="8" fillId="0" borderId="57" xfId="0" applyFont="1" applyBorder="1"/>
    <xf numFmtId="4" fontId="8" fillId="0" borderId="58" xfId="0" applyNumberFormat="1" applyFont="1" applyBorder="1"/>
    <xf numFmtId="4" fontId="8" fillId="0" borderId="52" xfId="0" applyNumberFormat="1" applyFont="1" applyBorder="1"/>
    <xf numFmtId="4" fontId="0" fillId="0" borderId="58" xfId="0" applyNumberFormat="1" applyBorder="1"/>
    <xf numFmtId="0" fontId="0" fillId="0" borderId="0" xfId="0" applyBorder="1"/>
    <xf numFmtId="4" fontId="0" fillId="0" borderId="0" xfId="0" applyNumberFormat="1" applyBorder="1"/>
    <xf numFmtId="0" fontId="8" fillId="0" borderId="0" xfId="0" applyFont="1" applyFill="1" applyBorder="1"/>
    <xf numFmtId="4" fontId="8" fillId="0" borderId="0" xfId="0" applyNumberFormat="1" applyFont="1" applyFill="1" applyBorder="1"/>
    <xf numFmtId="4" fontId="10" fillId="0" borderId="0" xfId="0" applyNumberFormat="1" applyFont="1" applyBorder="1"/>
    <xf numFmtId="0" fontId="8" fillId="4" borderId="0" xfId="0" applyFont="1" applyFill="1" applyBorder="1"/>
    <xf numFmtId="4" fontId="8" fillId="4" borderId="0" xfId="0" applyNumberFormat="1" applyFont="1" applyFill="1" applyBorder="1"/>
    <xf numFmtId="0" fontId="8" fillId="0" borderId="1" xfId="0" applyFont="1" applyFill="1" applyBorder="1"/>
    <xf numFmtId="4" fontId="8" fillId="0" borderId="3" xfId="0" applyNumberFormat="1" applyFont="1" applyFill="1" applyBorder="1"/>
    <xf numFmtId="4" fontId="10" fillId="0" borderId="3" xfId="0" applyNumberFormat="1" applyFont="1" applyBorder="1"/>
    <xf numFmtId="4" fontId="10" fillId="0" borderId="5" xfId="0" applyNumberFormat="1" applyFont="1" applyBorder="1"/>
    <xf numFmtId="0" fontId="8" fillId="0" borderId="26" xfId="0" applyFont="1" applyFill="1" applyBorder="1"/>
    <xf numFmtId="4" fontId="8" fillId="0" borderId="45" xfId="0" applyNumberFormat="1" applyFont="1" applyFill="1" applyBorder="1"/>
    <xf numFmtId="4" fontId="10" fillId="0" borderId="45" xfId="0" applyNumberFormat="1" applyFont="1" applyBorder="1"/>
    <xf numFmtId="4" fontId="10" fillId="0" borderId="51" xfId="0" applyNumberFormat="1" applyFont="1" applyBorder="1"/>
    <xf numFmtId="0" fontId="8" fillId="0" borderId="11" xfId="0" applyFont="1" applyFill="1" applyBorder="1"/>
    <xf numFmtId="4" fontId="8" fillId="0" borderId="13" xfId="0" applyNumberFormat="1" applyFont="1" applyFill="1" applyBorder="1"/>
    <xf numFmtId="4" fontId="10" fillId="0" borderId="13" xfId="0" applyNumberFormat="1" applyFont="1" applyBorder="1"/>
    <xf numFmtId="4" fontId="10" fillId="0" borderId="15" xfId="0" applyNumberFormat="1" applyFont="1" applyBorder="1"/>
    <xf numFmtId="0" fontId="9" fillId="0" borderId="11" xfId="0" applyFont="1" applyFill="1" applyBorder="1"/>
    <xf numFmtId="4" fontId="11" fillId="0" borderId="13" xfId="0" applyNumberFormat="1" applyFont="1" applyFill="1" applyBorder="1"/>
    <xf numFmtId="4" fontId="11" fillId="0" borderId="13" xfId="0" applyNumberFormat="1" applyFont="1" applyBorder="1"/>
    <xf numFmtId="4" fontId="12" fillId="0" borderId="37" xfId="0" applyNumberFormat="1" applyFont="1" applyBorder="1" applyAlignment="1">
      <alignment horizontal="center" vertical="center" wrapText="1"/>
    </xf>
    <xf numFmtId="0" fontId="14" fillId="0" borderId="0" xfId="0" applyFont="1"/>
    <xf numFmtId="0" fontId="14" fillId="0" borderId="6" xfId="0" applyFont="1" applyBorder="1"/>
    <xf numFmtId="4" fontId="11" fillId="2" borderId="0" xfId="0" applyNumberFormat="1" applyFont="1" applyFill="1" applyBorder="1"/>
    <xf numFmtId="4" fontId="11" fillId="2" borderId="11" xfId="0" applyNumberFormat="1" applyFont="1" applyFill="1" applyBorder="1"/>
    <xf numFmtId="2" fontId="9" fillId="0" borderId="0" xfId="0" applyNumberFormat="1" applyFont="1"/>
    <xf numFmtId="4" fontId="10" fillId="0" borderId="13" xfId="0" applyNumberFormat="1" applyFont="1" applyFill="1" applyBorder="1"/>
    <xf numFmtId="4" fontId="0" fillId="0" borderId="15" xfId="0" applyNumberFormat="1" applyBorder="1"/>
    <xf numFmtId="4" fontId="9" fillId="2" borderId="11" xfId="0" applyNumberFormat="1" applyFont="1" applyFill="1" applyBorder="1"/>
    <xf numFmtId="0" fontId="9" fillId="2" borderId="11" xfId="0" applyFont="1" applyFill="1" applyBorder="1"/>
    <xf numFmtId="0" fontId="9" fillId="0" borderId="11" xfId="0" applyFont="1" applyFill="1" applyBorder="1" applyAlignment="1">
      <alignment horizontal="left" vertical="center" wrapText="1"/>
    </xf>
    <xf numFmtId="0" fontId="9" fillId="2" borderId="21" xfId="0" applyFont="1" applyFill="1" applyBorder="1"/>
    <xf numFmtId="0" fontId="9" fillId="2" borderId="24" xfId="0" applyFont="1" applyFill="1" applyBorder="1"/>
    <xf numFmtId="2" fontId="8" fillId="0" borderId="0" xfId="0" applyNumberFormat="1" applyFont="1"/>
    <xf numFmtId="4" fontId="11" fillId="0" borderId="0" xfId="0" applyNumberFormat="1" applyFont="1" applyBorder="1"/>
    <xf numFmtId="4" fontId="9" fillId="0" borderId="0" xfId="0" applyNumberFormat="1" applyFont="1" applyBorder="1"/>
    <xf numFmtId="0" fontId="9" fillId="0" borderId="0" xfId="0" applyFont="1"/>
    <xf numFmtId="2" fontId="0" fillId="0" borderId="0" xfId="0" applyNumberFormat="1"/>
    <xf numFmtId="0" fontId="9" fillId="0" borderId="21" xfId="0" applyFont="1" applyFill="1" applyBorder="1"/>
    <xf numFmtId="4" fontId="11" fillId="0" borderId="22" xfId="0" applyNumberFormat="1" applyFont="1" applyBorder="1"/>
    <xf numFmtId="4" fontId="0" fillId="0" borderId="24" xfId="0" applyNumberFormat="1" applyBorder="1"/>
    <xf numFmtId="0" fontId="8" fillId="5" borderId="1" xfId="0" applyFont="1" applyFill="1" applyBorder="1"/>
    <xf numFmtId="4" fontId="10" fillId="5" borderId="3" xfId="0" applyNumberFormat="1" applyFont="1" applyFill="1" applyBorder="1"/>
    <xf numFmtId="4" fontId="8" fillId="5" borderId="5" xfId="0" applyNumberFormat="1" applyFont="1" applyFill="1" applyBorder="1"/>
    <xf numFmtId="0" fontId="8" fillId="0" borderId="6" xfId="0" applyFont="1" applyFill="1" applyBorder="1"/>
    <xf numFmtId="4" fontId="10" fillId="0" borderId="8" xfId="0" applyNumberFormat="1" applyFont="1" applyBorder="1"/>
    <xf numFmtId="4" fontId="11" fillId="0" borderId="8" xfId="0" applyNumberFormat="1" applyFont="1" applyBorder="1"/>
    <xf numFmtId="4" fontId="0" fillId="0" borderId="10" xfId="0" applyNumberFormat="1" applyBorder="1"/>
    <xf numFmtId="4" fontId="11" fillId="5" borderId="3" xfId="0" applyNumberFormat="1" applyFont="1" applyFill="1" applyBorder="1"/>
    <xf numFmtId="4" fontId="10" fillId="5" borderId="5" xfId="0" applyNumberFormat="1" applyFont="1" applyFill="1" applyBorder="1"/>
    <xf numFmtId="0" fontId="8" fillId="0" borderId="46" xfId="0" applyFont="1" applyFill="1" applyBorder="1"/>
    <xf numFmtId="164" fontId="11" fillId="0" borderId="48" xfId="0" applyNumberFormat="1" applyFont="1" applyBorder="1"/>
    <xf numFmtId="4" fontId="11" fillId="0" borderId="48" xfId="0" applyNumberFormat="1" applyFont="1" applyBorder="1"/>
    <xf numFmtId="4" fontId="10" fillId="0" borderId="48" xfId="0" applyNumberFormat="1" applyFont="1" applyBorder="1"/>
    <xf numFmtId="10" fontId="11" fillId="0" borderId="13" xfId="0" applyNumberFormat="1" applyFont="1" applyBorder="1"/>
    <xf numFmtId="0" fontId="8" fillId="0" borderId="16" xfId="0" applyFont="1" applyFill="1" applyBorder="1"/>
    <xf numFmtId="4" fontId="8" fillId="5" borderId="3" xfId="0" applyNumberFormat="1" applyFont="1" applyFill="1" applyBorder="1"/>
    <xf numFmtId="0" fontId="0" fillId="0" borderId="13" xfId="0" applyBorder="1"/>
    <xf numFmtId="0" fontId="8" fillId="0" borderId="13" xfId="0" applyFont="1" applyBorder="1"/>
    <xf numFmtId="4" fontId="10" fillId="0" borderId="10" xfId="0" applyNumberFormat="1" applyFont="1" applyBorder="1"/>
    <xf numFmtId="0" fontId="8" fillId="0" borderId="21" xfId="0" applyFont="1" applyFill="1" applyBorder="1"/>
    <xf numFmtId="4" fontId="10" fillId="0" borderId="22" xfId="0" applyNumberFormat="1" applyFont="1" applyBorder="1"/>
    <xf numFmtId="4" fontId="10" fillId="0" borderId="24" xfId="0" applyNumberFormat="1" applyFont="1" applyBorder="1"/>
    <xf numFmtId="0" fontId="9" fillId="0" borderId="0" xfId="0" applyFont="1" applyFill="1" applyBorder="1"/>
    <xf numFmtId="4" fontId="9" fillId="0" borderId="0" xfId="0" applyNumberFormat="1" applyFont="1"/>
    <xf numFmtId="4" fontId="11" fillId="0" borderId="0" xfId="0" applyNumberFormat="1" applyFont="1" applyFill="1" applyBorder="1"/>
    <xf numFmtId="4" fontId="10" fillId="0" borderId="0" xfId="0" applyNumberFormat="1" applyFont="1" applyFill="1" applyBorder="1"/>
    <xf numFmtId="4" fontId="10" fillId="2" borderId="0" xfId="0" applyNumberFormat="1" applyFont="1" applyFill="1" applyBorder="1"/>
    <xf numFmtId="0" fontId="9" fillId="0" borderId="0" xfId="0" applyFont="1" applyBorder="1"/>
    <xf numFmtId="0" fontId="0" fillId="0" borderId="0" xfId="0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0" fontId="0" fillId="0" borderId="29" xfId="0" applyBorder="1"/>
    <xf numFmtId="4" fontId="0" fillId="0" borderId="30" xfId="0" applyNumberFormat="1" applyBorder="1"/>
    <xf numFmtId="4" fontId="0" fillId="0" borderId="31" xfId="0" applyNumberFormat="1" applyBorder="1"/>
    <xf numFmtId="0" fontId="14" fillId="0" borderId="13" xfId="0" applyFont="1" applyBorder="1"/>
    <xf numFmtId="4" fontId="15" fillId="2" borderId="13" xfId="0" applyNumberFormat="1" applyFont="1" applyFill="1" applyBorder="1"/>
    <xf numFmtId="0" fontId="1" fillId="6" borderId="33" xfId="0" applyFont="1" applyFill="1" applyBorder="1"/>
    <xf numFmtId="0" fontId="1" fillId="6" borderId="29" xfId="0" applyFont="1" applyFill="1" applyBorder="1"/>
    <xf numFmtId="0" fontId="1" fillId="6" borderId="30" xfId="0" applyFont="1" applyFill="1" applyBorder="1"/>
    <xf numFmtId="4" fontId="1" fillId="6" borderId="30" xfId="0" applyNumberFormat="1" applyFont="1" applyFill="1" applyBorder="1"/>
    <xf numFmtId="4" fontId="1" fillId="6" borderId="31" xfId="0" applyNumberFormat="1" applyFont="1" applyFill="1" applyBorder="1"/>
    <xf numFmtId="4" fontId="16" fillId="0" borderId="37" xfId="0" applyNumberFormat="1" applyFont="1" applyBorder="1" applyAlignment="1">
      <alignment horizontal="center" vertical="center" wrapText="1"/>
    </xf>
    <xf numFmtId="0" fontId="16" fillId="0" borderId="25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6" borderId="29" xfId="0" applyNumberFormat="1" applyFont="1" applyFill="1" applyBorder="1" applyAlignment="1">
      <alignment horizontal="left" vertical="center" wrapText="1"/>
    </xf>
    <xf numFmtId="0" fontId="2" fillId="6" borderId="30" xfId="0" applyFont="1" applyFill="1" applyBorder="1" applyAlignment="1">
      <alignment horizontal="left" vertical="center" wrapText="1"/>
    </xf>
    <xf numFmtId="0" fontId="2" fillId="6" borderId="31" xfId="0" applyFont="1" applyFill="1" applyBorder="1" applyAlignment="1">
      <alignment horizontal="left" vertical="center" wrapText="1"/>
    </xf>
    <xf numFmtId="4" fontId="1" fillId="0" borderId="28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4" fontId="1" fillId="0" borderId="51" xfId="0" applyNumberFormat="1" applyFont="1" applyBorder="1" applyAlignment="1">
      <alignment horizontal="center"/>
    </xf>
    <xf numFmtId="4" fontId="1" fillId="0" borderId="52" xfId="0" applyNumberFormat="1" applyFont="1" applyBorder="1" applyAlignment="1">
      <alignment horizontal="center"/>
    </xf>
    <xf numFmtId="4" fontId="1" fillId="0" borderId="28" xfId="0" applyNumberFormat="1" applyFont="1" applyBorder="1" applyAlignment="1">
      <alignment horizontal="center"/>
    </xf>
    <xf numFmtId="4" fontId="1" fillId="0" borderId="50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3" fillId="0" borderId="29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2"/>
  <sheetViews>
    <sheetView tabSelected="1" workbookViewId="0">
      <selection activeCell="A39" sqref="A39"/>
    </sheetView>
  </sheetViews>
  <sheetFormatPr defaultRowHeight="15" x14ac:dyDescent="0.25"/>
  <cols>
    <col min="1" max="1" width="48.42578125" style="1" customWidth="1"/>
    <col min="2" max="2" width="15.140625" style="1" customWidth="1"/>
    <col min="3" max="3" width="15.7109375" style="3" customWidth="1"/>
    <col min="4" max="4" width="16.85546875" style="3" customWidth="1"/>
    <col min="5" max="5" width="17.42578125" style="3" customWidth="1"/>
    <col min="6" max="6" width="16.7109375" style="1" customWidth="1"/>
    <col min="7" max="7" width="13.5703125" style="1" customWidth="1"/>
    <col min="8" max="256" width="9.140625" style="1"/>
    <col min="257" max="257" width="48.42578125" style="1" customWidth="1"/>
    <col min="258" max="258" width="7.85546875" style="1" customWidth="1"/>
    <col min="259" max="259" width="13.85546875" style="1" customWidth="1"/>
    <col min="260" max="260" width="15.7109375" style="1" customWidth="1"/>
    <col min="261" max="261" width="17.42578125" style="1" customWidth="1"/>
    <col min="262" max="262" width="16.7109375" style="1" customWidth="1"/>
    <col min="263" max="263" width="13.5703125" style="1" customWidth="1"/>
    <col min="264" max="512" width="9.140625" style="1"/>
    <col min="513" max="513" width="48.42578125" style="1" customWidth="1"/>
    <col min="514" max="514" width="7.85546875" style="1" customWidth="1"/>
    <col min="515" max="515" width="13.85546875" style="1" customWidth="1"/>
    <col min="516" max="516" width="15.7109375" style="1" customWidth="1"/>
    <col min="517" max="517" width="17.42578125" style="1" customWidth="1"/>
    <col min="518" max="518" width="16.7109375" style="1" customWidth="1"/>
    <col min="519" max="519" width="13.5703125" style="1" customWidth="1"/>
    <col min="520" max="768" width="9.140625" style="1"/>
    <col min="769" max="769" width="48.42578125" style="1" customWidth="1"/>
    <col min="770" max="770" width="7.85546875" style="1" customWidth="1"/>
    <col min="771" max="771" width="13.85546875" style="1" customWidth="1"/>
    <col min="772" max="772" width="15.7109375" style="1" customWidth="1"/>
    <col min="773" max="773" width="17.42578125" style="1" customWidth="1"/>
    <col min="774" max="774" width="16.7109375" style="1" customWidth="1"/>
    <col min="775" max="775" width="13.5703125" style="1" customWidth="1"/>
    <col min="776" max="1024" width="9.140625" style="1"/>
    <col min="1025" max="1025" width="48.42578125" style="1" customWidth="1"/>
    <col min="1026" max="1026" width="7.85546875" style="1" customWidth="1"/>
    <col min="1027" max="1027" width="13.85546875" style="1" customWidth="1"/>
    <col min="1028" max="1028" width="15.7109375" style="1" customWidth="1"/>
    <col min="1029" max="1029" width="17.42578125" style="1" customWidth="1"/>
    <col min="1030" max="1030" width="16.7109375" style="1" customWidth="1"/>
    <col min="1031" max="1031" width="13.5703125" style="1" customWidth="1"/>
    <col min="1032" max="1280" width="9.140625" style="1"/>
    <col min="1281" max="1281" width="48.42578125" style="1" customWidth="1"/>
    <col min="1282" max="1282" width="7.85546875" style="1" customWidth="1"/>
    <col min="1283" max="1283" width="13.85546875" style="1" customWidth="1"/>
    <col min="1284" max="1284" width="15.7109375" style="1" customWidth="1"/>
    <col min="1285" max="1285" width="17.42578125" style="1" customWidth="1"/>
    <col min="1286" max="1286" width="16.7109375" style="1" customWidth="1"/>
    <col min="1287" max="1287" width="13.5703125" style="1" customWidth="1"/>
    <col min="1288" max="1536" width="9.140625" style="1"/>
    <col min="1537" max="1537" width="48.42578125" style="1" customWidth="1"/>
    <col min="1538" max="1538" width="7.85546875" style="1" customWidth="1"/>
    <col min="1539" max="1539" width="13.85546875" style="1" customWidth="1"/>
    <col min="1540" max="1540" width="15.7109375" style="1" customWidth="1"/>
    <col min="1541" max="1541" width="17.42578125" style="1" customWidth="1"/>
    <col min="1542" max="1542" width="16.7109375" style="1" customWidth="1"/>
    <col min="1543" max="1543" width="13.5703125" style="1" customWidth="1"/>
    <col min="1544" max="1792" width="9.140625" style="1"/>
    <col min="1793" max="1793" width="48.42578125" style="1" customWidth="1"/>
    <col min="1794" max="1794" width="7.85546875" style="1" customWidth="1"/>
    <col min="1795" max="1795" width="13.85546875" style="1" customWidth="1"/>
    <col min="1796" max="1796" width="15.7109375" style="1" customWidth="1"/>
    <col min="1797" max="1797" width="17.42578125" style="1" customWidth="1"/>
    <col min="1798" max="1798" width="16.7109375" style="1" customWidth="1"/>
    <col min="1799" max="1799" width="13.5703125" style="1" customWidth="1"/>
    <col min="1800" max="2048" width="9.140625" style="1"/>
    <col min="2049" max="2049" width="48.42578125" style="1" customWidth="1"/>
    <col min="2050" max="2050" width="7.85546875" style="1" customWidth="1"/>
    <col min="2051" max="2051" width="13.85546875" style="1" customWidth="1"/>
    <col min="2052" max="2052" width="15.7109375" style="1" customWidth="1"/>
    <col min="2053" max="2053" width="17.42578125" style="1" customWidth="1"/>
    <col min="2054" max="2054" width="16.7109375" style="1" customWidth="1"/>
    <col min="2055" max="2055" width="13.5703125" style="1" customWidth="1"/>
    <col min="2056" max="2304" width="9.140625" style="1"/>
    <col min="2305" max="2305" width="48.42578125" style="1" customWidth="1"/>
    <col min="2306" max="2306" width="7.85546875" style="1" customWidth="1"/>
    <col min="2307" max="2307" width="13.85546875" style="1" customWidth="1"/>
    <col min="2308" max="2308" width="15.7109375" style="1" customWidth="1"/>
    <col min="2309" max="2309" width="17.42578125" style="1" customWidth="1"/>
    <col min="2310" max="2310" width="16.7109375" style="1" customWidth="1"/>
    <col min="2311" max="2311" width="13.5703125" style="1" customWidth="1"/>
    <col min="2312" max="2560" width="9.140625" style="1"/>
    <col min="2561" max="2561" width="48.42578125" style="1" customWidth="1"/>
    <col min="2562" max="2562" width="7.85546875" style="1" customWidth="1"/>
    <col min="2563" max="2563" width="13.85546875" style="1" customWidth="1"/>
    <col min="2564" max="2564" width="15.7109375" style="1" customWidth="1"/>
    <col min="2565" max="2565" width="17.42578125" style="1" customWidth="1"/>
    <col min="2566" max="2566" width="16.7109375" style="1" customWidth="1"/>
    <col min="2567" max="2567" width="13.5703125" style="1" customWidth="1"/>
    <col min="2568" max="2816" width="9.140625" style="1"/>
    <col min="2817" max="2817" width="48.42578125" style="1" customWidth="1"/>
    <col min="2818" max="2818" width="7.85546875" style="1" customWidth="1"/>
    <col min="2819" max="2819" width="13.85546875" style="1" customWidth="1"/>
    <col min="2820" max="2820" width="15.7109375" style="1" customWidth="1"/>
    <col min="2821" max="2821" width="17.42578125" style="1" customWidth="1"/>
    <col min="2822" max="2822" width="16.7109375" style="1" customWidth="1"/>
    <col min="2823" max="2823" width="13.5703125" style="1" customWidth="1"/>
    <col min="2824" max="3072" width="9.140625" style="1"/>
    <col min="3073" max="3073" width="48.42578125" style="1" customWidth="1"/>
    <col min="3074" max="3074" width="7.85546875" style="1" customWidth="1"/>
    <col min="3075" max="3075" width="13.85546875" style="1" customWidth="1"/>
    <col min="3076" max="3076" width="15.7109375" style="1" customWidth="1"/>
    <col min="3077" max="3077" width="17.42578125" style="1" customWidth="1"/>
    <col min="3078" max="3078" width="16.7109375" style="1" customWidth="1"/>
    <col min="3079" max="3079" width="13.5703125" style="1" customWidth="1"/>
    <col min="3080" max="3328" width="9.140625" style="1"/>
    <col min="3329" max="3329" width="48.42578125" style="1" customWidth="1"/>
    <col min="3330" max="3330" width="7.85546875" style="1" customWidth="1"/>
    <col min="3331" max="3331" width="13.85546875" style="1" customWidth="1"/>
    <col min="3332" max="3332" width="15.7109375" style="1" customWidth="1"/>
    <col min="3333" max="3333" width="17.42578125" style="1" customWidth="1"/>
    <col min="3334" max="3334" width="16.7109375" style="1" customWidth="1"/>
    <col min="3335" max="3335" width="13.5703125" style="1" customWidth="1"/>
    <col min="3336" max="3584" width="9.140625" style="1"/>
    <col min="3585" max="3585" width="48.42578125" style="1" customWidth="1"/>
    <col min="3586" max="3586" width="7.85546875" style="1" customWidth="1"/>
    <col min="3587" max="3587" width="13.85546875" style="1" customWidth="1"/>
    <col min="3588" max="3588" width="15.7109375" style="1" customWidth="1"/>
    <col min="3589" max="3589" width="17.42578125" style="1" customWidth="1"/>
    <col min="3590" max="3590" width="16.7109375" style="1" customWidth="1"/>
    <col min="3591" max="3591" width="13.5703125" style="1" customWidth="1"/>
    <col min="3592" max="3840" width="9.140625" style="1"/>
    <col min="3841" max="3841" width="48.42578125" style="1" customWidth="1"/>
    <col min="3842" max="3842" width="7.85546875" style="1" customWidth="1"/>
    <col min="3843" max="3843" width="13.85546875" style="1" customWidth="1"/>
    <col min="3844" max="3844" width="15.7109375" style="1" customWidth="1"/>
    <col min="3845" max="3845" width="17.42578125" style="1" customWidth="1"/>
    <col min="3846" max="3846" width="16.7109375" style="1" customWidth="1"/>
    <col min="3847" max="3847" width="13.5703125" style="1" customWidth="1"/>
    <col min="3848" max="4096" width="9.140625" style="1"/>
    <col min="4097" max="4097" width="48.42578125" style="1" customWidth="1"/>
    <col min="4098" max="4098" width="7.85546875" style="1" customWidth="1"/>
    <col min="4099" max="4099" width="13.85546875" style="1" customWidth="1"/>
    <col min="4100" max="4100" width="15.7109375" style="1" customWidth="1"/>
    <col min="4101" max="4101" width="17.42578125" style="1" customWidth="1"/>
    <col min="4102" max="4102" width="16.7109375" style="1" customWidth="1"/>
    <col min="4103" max="4103" width="13.5703125" style="1" customWidth="1"/>
    <col min="4104" max="4352" width="9.140625" style="1"/>
    <col min="4353" max="4353" width="48.42578125" style="1" customWidth="1"/>
    <col min="4354" max="4354" width="7.85546875" style="1" customWidth="1"/>
    <col min="4355" max="4355" width="13.85546875" style="1" customWidth="1"/>
    <col min="4356" max="4356" width="15.7109375" style="1" customWidth="1"/>
    <col min="4357" max="4357" width="17.42578125" style="1" customWidth="1"/>
    <col min="4358" max="4358" width="16.7109375" style="1" customWidth="1"/>
    <col min="4359" max="4359" width="13.5703125" style="1" customWidth="1"/>
    <col min="4360" max="4608" width="9.140625" style="1"/>
    <col min="4609" max="4609" width="48.42578125" style="1" customWidth="1"/>
    <col min="4610" max="4610" width="7.85546875" style="1" customWidth="1"/>
    <col min="4611" max="4611" width="13.85546875" style="1" customWidth="1"/>
    <col min="4612" max="4612" width="15.7109375" style="1" customWidth="1"/>
    <col min="4613" max="4613" width="17.42578125" style="1" customWidth="1"/>
    <col min="4614" max="4614" width="16.7109375" style="1" customWidth="1"/>
    <col min="4615" max="4615" width="13.5703125" style="1" customWidth="1"/>
    <col min="4616" max="4864" width="9.140625" style="1"/>
    <col min="4865" max="4865" width="48.42578125" style="1" customWidth="1"/>
    <col min="4866" max="4866" width="7.85546875" style="1" customWidth="1"/>
    <col min="4867" max="4867" width="13.85546875" style="1" customWidth="1"/>
    <col min="4868" max="4868" width="15.7109375" style="1" customWidth="1"/>
    <col min="4869" max="4869" width="17.42578125" style="1" customWidth="1"/>
    <col min="4870" max="4870" width="16.7109375" style="1" customWidth="1"/>
    <col min="4871" max="4871" width="13.5703125" style="1" customWidth="1"/>
    <col min="4872" max="5120" width="9.140625" style="1"/>
    <col min="5121" max="5121" width="48.42578125" style="1" customWidth="1"/>
    <col min="5122" max="5122" width="7.85546875" style="1" customWidth="1"/>
    <col min="5123" max="5123" width="13.85546875" style="1" customWidth="1"/>
    <col min="5124" max="5124" width="15.7109375" style="1" customWidth="1"/>
    <col min="5125" max="5125" width="17.42578125" style="1" customWidth="1"/>
    <col min="5126" max="5126" width="16.7109375" style="1" customWidth="1"/>
    <col min="5127" max="5127" width="13.5703125" style="1" customWidth="1"/>
    <col min="5128" max="5376" width="9.140625" style="1"/>
    <col min="5377" max="5377" width="48.42578125" style="1" customWidth="1"/>
    <col min="5378" max="5378" width="7.85546875" style="1" customWidth="1"/>
    <col min="5379" max="5379" width="13.85546875" style="1" customWidth="1"/>
    <col min="5380" max="5380" width="15.7109375" style="1" customWidth="1"/>
    <col min="5381" max="5381" width="17.42578125" style="1" customWidth="1"/>
    <col min="5382" max="5382" width="16.7109375" style="1" customWidth="1"/>
    <col min="5383" max="5383" width="13.5703125" style="1" customWidth="1"/>
    <col min="5384" max="5632" width="9.140625" style="1"/>
    <col min="5633" max="5633" width="48.42578125" style="1" customWidth="1"/>
    <col min="5634" max="5634" width="7.85546875" style="1" customWidth="1"/>
    <col min="5635" max="5635" width="13.85546875" style="1" customWidth="1"/>
    <col min="5636" max="5636" width="15.7109375" style="1" customWidth="1"/>
    <col min="5637" max="5637" width="17.42578125" style="1" customWidth="1"/>
    <col min="5638" max="5638" width="16.7109375" style="1" customWidth="1"/>
    <col min="5639" max="5639" width="13.5703125" style="1" customWidth="1"/>
    <col min="5640" max="5888" width="9.140625" style="1"/>
    <col min="5889" max="5889" width="48.42578125" style="1" customWidth="1"/>
    <col min="5890" max="5890" width="7.85546875" style="1" customWidth="1"/>
    <col min="5891" max="5891" width="13.85546875" style="1" customWidth="1"/>
    <col min="5892" max="5892" width="15.7109375" style="1" customWidth="1"/>
    <col min="5893" max="5893" width="17.42578125" style="1" customWidth="1"/>
    <col min="5894" max="5894" width="16.7109375" style="1" customWidth="1"/>
    <col min="5895" max="5895" width="13.5703125" style="1" customWidth="1"/>
    <col min="5896" max="6144" width="9.140625" style="1"/>
    <col min="6145" max="6145" width="48.42578125" style="1" customWidth="1"/>
    <col min="6146" max="6146" width="7.85546875" style="1" customWidth="1"/>
    <col min="6147" max="6147" width="13.85546875" style="1" customWidth="1"/>
    <col min="6148" max="6148" width="15.7109375" style="1" customWidth="1"/>
    <col min="6149" max="6149" width="17.42578125" style="1" customWidth="1"/>
    <col min="6150" max="6150" width="16.7109375" style="1" customWidth="1"/>
    <col min="6151" max="6151" width="13.5703125" style="1" customWidth="1"/>
    <col min="6152" max="6400" width="9.140625" style="1"/>
    <col min="6401" max="6401" width="48.42578125" style="1" customWidth="1"/>
    <col min="6402" max="6402" width="7.85546875" style="1" customWidth="1"/>
    <col min="6403" max="6403" width="13.85546875" style="1" customWidth="1"/>
    <col min="6404" max="6404" width="15.7109375" style="1" customWidth="1"/>
    <col min="6405" max="6405" width="17.42578125" style="1" customWidth="1"/>
    <col min="6406" max="6406" width="16.7109375" style="1" customWidth="1"/>
    <col min="6407" max="6407" width="13.5703125" style="1" customWidth="1"/>
    <col min="6408" max="6656" width="9.140625" style="1"/>
    <col min="6657" max="6657" width="48.42578125" style="1" customWidth="1"/>
    <col min="6658" max="6658" width="7.85546875" style="1" customWidth="1"/>
    <col min="6659" max="6659" width="13.85546875" style="1" customWidth="1"/>
    <col min="6660" max="6660" width="15.7109375" style="1" customWidth="1"/>
    <col min="6661" max="6661" width="17.42578125" style="1" customWidth="1"/>
    <col min="6662" max="6662" width="16.7109375" style="1" customWidth="1"/>
    <col min="6663" max="6663" width="13.5703125" style="1" customWidth="1"/>
    <col min="6664" max="6912" width="9.140625" style="1"/>
    <col min="6913" max="6913" width="48.42578125" style="1" customWidth="1"/>
    <col min="6914" max="6914" width="7.85546875" style="1" customWidth="1"/>
    <col min="6915" max="6915" width="13.85546875" style="1" customWidth="1"/>
    <col min="6916" max="6916" width="15.7109375" style="1" customWidth="1"/>
    <col min="6917" max="6917" width="17.42578125" style="1" customWidth="1"/>
    <col min="6918" max="6918" width="16.7109375" style="1" customWidth="1"/>
    <col min="6919" max="6919" width="13.5703125" style="1" customWidth="1"/>
    <col min="6920" max="7168" width="9.140625" style="1"/>
    <col min="7169" max="7169" width="48.42578125" style="1" customWidth="1"/>
    <col min="7170" max="7170" width="7.85546875" style="1" customWidth="1"/>
    <col min="7171" max="7171" width="13.85546875" style="1" customWidth="1"/>
    <col min="7172" max="7172" width="15.7109375" style="1" customWidth="1"/>
    <col min="7173" max="7173" width="17.42578125" style="1" customWidth="1"/>
    <col min="7174" max="7174" width="16.7109375" style="1" customWidth="1"/>
    <col min="7175" max="7175" width="13.5703125" style="1" customWidth="1"/>
    <col min="7176" max="7424" width="9.140625" style="1"/>
    <col min="7425" max="7425" width="48.42578125" style="1" customWidth="1"/>
    <col min="7426" max="7426" width="7.85546875" style="1" customWidth="1"/>
    <col min="7427" max="7427" width="13.85546875" style="1" customWidth="1"/>
    <col min="7428" max="7428" width="15.7109375" style="1" customWidth="1"/>
    <col min="7429" max="7429" width="17.42578125" style="1" customWidth="1"/>
    <col min="7430" max="7430" width="16.7109375" style="1" customWidth="1"/>
    <col min="7431" max="7431" width="13.5703125" style="1" customWidth="1"/>
    <col min="7432" max="7680" width="9.140625" style="1"/>
    <col min="7681" max="7681" width="48.42578125" style="1" customWidth="1"/>
    <col min="7682" max="7682" width="7.85546875" style="1" customWidth="1"/>
    <col min="7683" max="7683" width="13.85546875" style="1" customWidth="1"/>
    <col min="7684" max="7684" width="15.7109375" style="1" customWidth="1"/>
    <col min="7685" max="7685" width="17.42578125" style="1" customWidth="1"/>
    <col min="7686" max="7686" width="16.7109375" style="1" customWidth="1"/>
    <col min="7687" max="7687" width="13.5703125" style="1" customWidth="1"/>
    <col min="7688" max="7936" width="9.140625" style="1"/>
    <col min="7937" max="7937" width="48.42578125" style="1" customWidth="1"/>
    <col min="7938" max="7938" width="7.85546875" style="1" customWidth="1"/>
    <col min="7939" max="7939" width="13.85546875" style="1" customWidth="1"/>
    <col min="7940" max="7940" width="15.7109375" style="1" customWidth="1"/>
    <col min="7941" max="7941" width="17.42578125" style="1" customWidth="1"/>
    <col min="7942" max="7942" width="16.7109375" style="1" customWidth="1"/>
    <col min="7943" max="7943" width="13.5703125" style="1" customWidth="1"/>
    <col min="7944" max="8192" width="9.140625" style="1"/>
    <col min="8193" max="8193" width="48.42578125" style="1" customWidth="1"/>
    <col min="8194" max="8194" width="7.85546875" style="1" customWidth="1"/>
    <col min="8195" max="8195" width="13.85546875" style="1" customWidth="1"/>
    <col min="8196" max="8196" width="15.7109375" style="1" customWidth="1"/>
    <col min="8197" max="8197" width="17.42578125" style="1" customWidth="1"/>
    <col min="8198" max="8198" width="16.7109375" style="1" customWidth="1"/>
    <col min="8199" max="8199" width="13.5703125" style="1" customWidth="1"/>
    <col min="8200" max="8448" width="9.140625" style="1"/>
    <col min="8449" max="8449" width="48.42578125" style="1" customWidth="1"/>
    <col min="8450" max="8450" width="7.85546875" style="1" customWidth="1"/>
    <col min="8451" max="8451" width="13.85546875" style="1" customWidth="1"/>
    <col min="8452" max="8452" width="15.7109375" style="1" customWidth="1"/>
    <col min="8453" max="8453" width="17.42578125" style="1" customWidth="1"/>
    <col min="8454" max="8454" width="16.7109375" style="1" customWidth="1"/>
    <col min="8455" max="8455" width="13.5703125" style="1" customWidth="1"/>
    <col min="8456" max="8704" width="9.140625" style="1"/>
    <col min="8705" max="8705" width="48.42578125" style="1" customWidth="1"/>
    <col min="8706" max="8706" width="7.85546875" style="1" customWidth="1"/>
    <col min="8707" max="8707" width="13.85546875" style="1" customWidth="1"/>
    <col min="8708" max="8708" width="15.7109375" style="1" customWidth="1"/>
    <col min="8709" max="8709" width="17.42578125" style="1" customWidth="1"/>
    <col min="8710" max="8710" width="16.7109375" style="1" customWidth="1"/>
    <col min="8711" max="8711" width="13.5703125" style="1" customWidth="1"/>
    <col min="8712" max="8960" width="9.140625" style="1"/>
    <col min="8961" max="8961" width="48.42578125" style="1" customWidth="1"/>
    <col min="8962" max="8962" width="7.85546875" style="1" customWidth="1"/>
    <col min="8963" max="8963" width="13.85546875" style="1" customWidth="1"/>
    <col min="8964" max="8964" width="15.7109375" style="1" customWidth="1"/>
    <col min="8965" max="8965" width="17.42578125" style="1" customWidth="1"/>
    <col min="8966" max="8966" width="16.7109375" style="1" customWidth="1"/>
    <col min="8967" max="8967" width="13.5703125" style="1" customWidth="1"/>
    <col min="8968" max="9216" width="9.140625" style="1"/>
    <col min="9217" max="9217" width="48.42578125" style="1" customWidth="1"/>
    <col min="9218" max="9218" width="7.85546875" style="1" customWidth="1"/>
    <col min="9219" max="9219" width="13.85546875" style="1" customWidth="1"/>
    <col min="9220" max="9220" width="15.7109375" style="1" customWidth="1"/>
    <col min="9221" max="9221" width="17.42578125" style="1" customWidth="1"/>
    <col min="9222" max="9222" width="16.7109375" style="1" customWidth="1"/>
    <col min="9223" max="9223" width="13.5703125" style="1" customWidth="1"/>
    <col min="9224" max="9472" width="9.140625" style="1"/>
    <col min="9473" max="9473" width="48.42578125" style="1" customWidth="1"/>
    <col min="9474" max="9474" width="7.85546875" style="1" customWidth="1"/>
    <col min="9475" max="9475" width="13.85546875" style="1" customWidth="1"/>
    <col min="9476" max="9476" width="15.7109375" style="1" customWidth="1"/>
    <col min="9477" max="9477" width="17.42578125" style="1" customWidth="1"/>
    <col min="9478" max="9478" width="16.7109375" style="1" customWidth="1"/>
    <col min="9479" max="9479" width="13.5703125" style="1" customWidth="1"/>
    <col min="9480" max="9728" width="9.140625" style="1"/>
    <col min="9729" max="9729" width="48.42578125" style="1" customWidth="1"/>
    <col min="9730" max="9730" width="7.85546875" style="1" customWidth="1"/>
    <col min="9731" max="9731" width="13.85546875" style="1" customWidth="1"/>
    <col min="9732" max="9732" width="15.7109375" style="1" customWidth="1"/>
    <col min="9733" max="9733" width="17.42578125" style="1" customWidth="1"/>
    <col min="9734" max="9734" width="16.7109375" style="1" customWidth="1"/>
    <col min="9735" max="9735" width="13.5703125" style="1" customWidth="1"/>
    <col min="9736" max="9984" width="9.140625" style="1"/>
    <col min="9985" max="9985" width="48.42578125" style="1" customWidth="1"/>
    <col min="9986" max="9986" width="7.85546875" style="1" customWidth="1"/>
    <col min="9987" max="9987" width="13.85546875" style="1" customWidth="1"/>
    <col min="9988" max="9988" width="15.7109375" style="1" customWidth="1"/>
    <col min="9989" max="9989" width="17.42578125" style="1" customWidth="1"/>
    <col min="9990" max="9990" width="16.7109375" style="1" customWidth="1"/>
    <col min="9991" max="9991" width="13.5703125" style="1" customWidth="1"/>
    <col min="9992" max="10240" width="9.140625" style="1"/>
    <col min="10241" max="10241" width="48.42578125" style="1" customWidth="1"/>
    <col min="10242" max="10242" width="7.85546875" style="1" customWidth="1"/>
    <col min="10243" max="10243" width="13.85546875" style="1" customWidth="1"/>
    <col min="10244" max="10244" width="15.7109375" style="1" customWidth="1"/>
    <col min="10245" max="10245" width="17.42578125" style="1" customWidth="1"/>
    <col min="10246" max="10246" width="16.7109375" style="1" customWidth="1"/>
    <col min="10247" max="10247" width="13.5703125" style="1" customWidth="1"/>
    <col min="10248" max="10496" width="9.140625" style="1"/>
    <col min="10497" max="10497" width="48.42578125" style="1" customWidth="1"/>
    <col min="10498" max="10498" width="7.85546875" style="1" customWidth="1"/>
    <col min="10499" max="10499" width="13.85546875" style="1" customWidth="1"/>
    <col min="10500" max="10500" width="15.7109375" style="1" customWidth="1"/>
    <col min="10501" max="10501" width="17.42578125" style="1" customWidth="1"/>
    <col min="10502" max="10502" width="16.7109375" style="1" customWidth="1"/>
    <col min="10503" max="10503" width="13.5703125" style="1" customWidth="1"/>
    <col min="10504" max="10752" width="9.140625" style="1"/>
    <col min="10753" max="10753" width="48.42578125" style="1" customWidth="1"/>
    <col min="10754" max="10754" width="7.85546875" style="1" customWidth="1"/>
    <col min="10755" max="10755" width="13.85546875" style="1" customWidth="1"/>
    <col min="10756" max="10756" width="15.7109375" style="1" customWidth="1"/>
    <col min="10757" max="10757" width="17.42578125" style="1" customWidth="1"/>
    <col min="10758" max="10758" width="16.7109375" style="1" customWidth="1"/>
    <col min="10759" max="10759" width="13.5703125" style="1" customWidth="1"/>
    <col min="10760" max="11008" width="9.140625" style="1"/>
    <col min="11009" max="11009" width="48.42578125" style="1" customWidth="1"/>
    <col min="11010" max="11010" width="7.85546875" style="1" customWidth="1"/>
    <col min="11011" max="11011" width="13.85546875" style="1" customWidth="1"/>
    <col min="11012" max="11012" width="15.7109375" style="1" customWidth="1"/>
    <col min="11013" max="11013" width="17.42578125" style="1" customWidth="1"/>
    <col min="11014" max="11014" width="16.7109375" style="1" customWidth="1"/>
    <col min="11015" max="11015" width="13.5703125" style="1" customWidth="1"/>
    <col min="11016" max="11264" width="9.140625" style="1"/>
    <col min="11265" max="11265" width="48.42578125" style="1" customWidth="1"/>
    <col min="11266" max="11266" width="7.85546875" style="1" customWidth="1"/>
    <col min="11267" max="11267" width="13.85546875" style="1" customWidth="1"/>
    <col min="11268" max="11268" width="15.7109375" style="1" customWidth="1"/>
    <col min="11269" max="11269" width="17.42578125" style="1" customWidth="1"/>
    <col min="11270" max="11270" width="16.7109375" style="1" customWidth="1"/>
    <col min="11271" max="11271" width="13.5703125" style="1" customWidth="1"/>
    <col min="11272" max="11520" width="9.140625" style="1"/>
    <col min="11521" max="11521" width="48.42578125" style="1" customWidth="1"/>
    <col min="11522" max="11522" width="7.85546875" style="1" customWidth="1"/>
    <col min="11523" max="11523" width="13.85546875" style="1" customWidth="1"/>
    <col min="11524" max="11524" width="15.7109375" style="1" customWidth="1"/>
    <col min="11525" max="11525" width="17.42578125" style="1" customWidth="1"/>
    <col min="11526" max="11526" width="16.7109375" style="1" customWidth="1"/>
    <col min="11527" max="11527" width="13.5703125" style="1" customWidth="1"/>
    <col min="11528" max="11776" width="9.140625" style="1"/>
    <col min="11777" max="11777" width="48.42578125" style="1" customWidth="1"/>
    <col min="11778" max="11778" width="7.85546875" style="1" customWidth="1"/>
    <col min="11779" max="11779" width="13.85546875" style="1" customWidth="1"/>
    <col min="11780" max="11780" width="15.7109375" style="1" customWidth="1"/>
    <col min="11781" max="11781" width="17.42578125" style="1" customWidth="1"/>
    <col min="11782" max="11782" width="16.7109375" style="1" customWidth="1"/>
    <col min="11783" max="11783" width="13.5703125" style="1" customWidth="1"/>
    <col min="11784" max="12032" width="9.140625" style="1"/>
    <col min="12033" max="12033" width="48.42578125" style="1" customWidth="1"/>
    <col min="12034" max="12034" width="7.85546875" style="1" customWidth="1"/>
    <col min="12035" max="12035" width="13.85546875" style="1" customWidth="1"/>
    <col min="12036" max="12036" width="15.7109375" style="1" customWidth="1"/>
    <col min="12037" max="12037" width="17.42578125" style="1" customWidth="1"/>
    <col min="12038" max="12038" width="16.7109375" style="1" customWidth="1"/>
    <col min="12039" max="12039" width="13.5703125" style="1" customWidth="1"/>
    <col min="12040" max="12288" width="9.140625" style="1"/>
    <col min="12289" max="12289" width="48.42578125" style="1" customWidth="1"/>
    <col min="12290" max="12290" width="7.85546875" style="1" customWidth="1"/>
    <col min="12291" max="12291" width="13.85546875" style="1" customWidth="1"/>
    <col min="12292" max="12292" width="15.7109375" style="1" customWidth="1"/>
    <col min="12293" max="12293" width="17.42578125" style="1" customWidth="1"/>
    <col min="12294" max="12294" width="16.7109375" style="1" customWidth="1"/>
    <col min="12295" max="12295" width="13.5703125" style="1" customWidth="1"/>
    <col min="12296" max="12544" width="9.140625" style="1"/>
    <col min="12545" max="12545" width="48.42578125" style="1" customWidth="1"/>
    <col min="12546" max="12546" width="7.85546875" style="1" customWidth="1"/>
    <col min="12547" max="12547" width="13.85546875" style="1" customWidth="1"/>
    <col min="12548" max="12548" width="15.7109375" style="1" customWidth="1"/>
    <col min="12549" max="12549" width="17.42578125" style="1" customWidth="1"/>
    <col min="12550" max="12550" width="16.7109375" style="1" customWidth="1"/>
    <col min="12551" max="12551" width="13.5703125" style="1" customWidth="1"/>
    <col min="12552" max="12800" width="9.140625" style="1"/>
    <col min="12801" max="12801" width="48.42578125" style="1" customWidth="1"/>
    <col min="12802" max="12802" width="7.85546875" style="1" customWidth="1"/>
    <col min="12803" max="12803" width="13.85546875" style="1" customWidth="1"/>
    <col min="12804" max="12804" width="15.7109375" style="1" customWidth="1"/>
    <col min="12805" max="12805" width="17.42578125" style="1" customWidth="1"/>
    <col min="12806" max="12806" width="16.7109375" style="1" customWidth="1"/>
    <col min="12807" max="12807" width="13.5703125" style="1" customWidth="1"/>
    <col min="12808" max="13056" width="9.140625" style="1"/>
    <col min="13057" max="13057" width="48.42578125" style="1" customWidth="1"/>
    <col min="13058" max="13058" width="7.85546875" style="1" customWidth="1"/>
    <col min="13059" max="13059" width="13.85546875" style="1" customWidth="1"/>
    <col min="13060" max="13060" width="15.7109375" style="1" customWidth="1"/>
    <col min="13061" max="13061" width="17.42578125" style="1" customWidth="1"/>
    <col min="13062" max="13062" width="16.7109375" style="1" customWidth="1"/>
    <col min="13063" max="13063" width="13.5703125" style="1" customWidth="1"/>
    <col min="13064" max="13312" width="9.140625" style="1"/>
    <col min="13313" max="13313" width="48.42578125" style="1" customWidth="1"/>
    <col min="13314" max="13314" width="7.85546875" style="1" customWidth="1"/>
    <col min="13315" max="13315" width="13.85546875" style="1" customWidth="1"/>
    <col min="13316" max="13316" width="15.7109375" style="1" customWidth="1"/>
    <col min="13317" max="13317" width="17.42578125" style="1" customWidth="1"/>
    <col min="13318" max="13318" width="16.7109375" style="1" customWidth="1"/>
    <col min="13319" max="13319" width="13.5703125" style="1" customWidth="1"/>
    <col min="13320" max="13568" width="9.140625" style="1"/>
    <col min="13569" max="13569" width="48.42578125" style="1" customWidth="1"/>
    <col min="13570" max="13570" width="7.85546875" style="1" customWidth="1"/>
    <col min="13571" max="13571" width="13.85546875" style="1" customWidth="1"/>
    <col min="13572" max="13572" width="15.7109375" style="1" customWidth="1"/>
    <col min="13573" max="13573" width="17.42578125" style="1" customWidth="1"/>
    <col min="13574" max="13574" width="16.7109375" style="1" customWidth="1"/>
    <col min="13575" max="13575" width="13.5703125" style="1" customWidth="1"/>
    <col min="13576" max="13824" width="9.140625" style="1"/>
    <col min="13825" max="13825" width="48.42578125" style="1" customWidth="1"/>
    <col min="13826" max="13826" width="7.85546875" style="1" customWidth="1"/>
    <col min="13827" max="13827" width="13.85546875" style="1" customWidth="1"/>
    <col min="13828" max="13828" width="15.7109375" style="1" customWidth="1"/>
    <col min="13829" max="13829" width="17.42578125" style="1" customWidth="1"/>
    <col min="13830" max="13830" width="16.7109375" style="1" customWidth="1"/>
    <col min="13831" max="13831" width="13.5703125" style="1" customWidth="1"/>
    <col min="13832" max="14080" width="9.140625" style="1"/>
    <col min="14081" max="14081" width="48.42578125" style="1" customWidth="1"/>
    <col min="14082" max="14082" width="7.85546875" style="1" customWidth="1"/>
    <col min="14083" max="14083" width="13.85546875" style="1" customWidth="1"/>
    <col min="14084" max="14084" width="15.7109375" style="1" customWidth="1"/>
    <col min="14085" max="14085" width="17.42578125" style="1" customWidth="1"/>
    <col min="14086" max="14086" width="16.7109375" style="1" customWidth="1"/>
    <col min="14087" max="14087" width="13.5703125" style="1" customWidth="1"/>
    <col min="14088" max="14336" width="9.140625" style="1"/>
    <col min="14337" max="14337" width="48.42578125" style="1" customWidth="1"/>
    <col min="14338" max="14338" width="7.85546875" style="1" customWidth="1"/>
    <col min="14339" max="14339" width="13.85546875" style="1" customWidth="1"/>
    <col min="14340" max="14340" width="15.7109375" style="1" customWidth="1"/>
    <col min="14341" max="14341" width="17.42578125" style="1" customWidth="1"/>
    <col min="14342" max="14342" width="16.7109375" style="1" customWidth="1"/>
    <col min="14343" max="14343" width="13.5703125" style="1" customWidth="1"/>
    <col min="14344" max="14592" width="9.140625" style="1"/>
    <col min="14593" max="14593" width="48.42578125" style="1" customWidth="1"/>
    <col min="14594" max="14594" width="7.85546875" style="1" customWidth="1"/>
    <col min="14595" max="14595" width="13.85546875" style="1" customWidth="1"/>
    <col min="14596" max="14596" width="15.7109375" style="1" customWidth="1"/>
    <col min="14597" max="14597" width="17.42578125" style="1" customWidth="1"/>
    <col min="14598" max="14598" width="16.7109375" style="1" customWidth="1"/>
    <col min="14599" max="14599" width="13.5703125" style="1" customWidth="1"/>
    <col min="14600" max="14848" width="9.140625" style="1"/>
    <col min="14849" max="14849" width="48.42578125" style="1" customWidth="1"/>
    <col min="14850" max="14850" width="7.85546875" style="1" customWidth="1"/>
    <col min="14851" max="14851" width="13.85546875" style="1" customWidth="1"/>
    <col min="14852" max="14852" width="15.7109375" style="1" customWidth="1"/>
    <col min="14853" max="14853" width="17.42578125" style="1" customWidth="1"/>
    <col min="14854" max="14854" width="16.7109375" style="1" customWidth="1"/>
    <col min="14855" max="14855" width="13.5703125" style="1" customWidth="1"/>
    <col min="14856" max="15104" width="9.140625" style="1"/>
    <col min="15105" max="15105" width="48.42578125" style="1" customWidth="1"/>
    <col min="15106" max="15106" width="7.85546875" style="1" customWidth="1"/>
    <col min="15107" max="15107" width="13.85546875" style="1" customWidth="1"/>
    <col min="15108" max="15108" width="15.7109375" style="1" customWidth="1"/>
    <col min="15109" max="15109" width="17.42578125" style="1" customWidth="1"/>
    <col min="15110" max="15110" width="16.7109375" style="1" customWidth="1"/>
    <col min="15111" max="15111" width="13.5703125" style="1" customWidth="1"/>
    <col min="15112" max="15360" width="9.140625" style="1"/>
    <col min="15361" max="15361" width="48.42578125" style="1" customWidth="1"/>
    <col min="15362" max="15362" width="7.85546875" style="1" customWidth="1"/>
    <col min="15363" max="15363" width="13.85546875" style="1" customWidth="1"/>
    <col min="15364" max="15364" width="15.7109375" style="1" customWidth="1"/>
    <col min="15365" max="15365" width="17.42578125" style="1" customWidth="1"/>
    <col min="15366" max="15366" width="16.7109375" style="1" customWidth="1"/>
    <col min="15367" max="15367" width="13.5703125" style="1" customWidth="1"/>
    <col min="15368" max="15616" width="9.140625" style="1"/>
    <col min="15617" max="15617" width="48.42578125" style="1" customWidth="1"/>
    <col min="15618" max="15618" width="7.85546875" style="1" customWidth="1"/>
    <col min="15619" max="15619" width="13.85546875" style="1" customWidth="1"/>
    <col min="15620" max="15620" width="15.7109375" style="1" customWidth="1"/>
    <col min="15621" max="15621" width="17.42578125" style="1" customWidth="1"/>
    <col min="15622" max="15622" width="16.7109375" style="1" customWidth="1"/>
    <col min="15623" max="15623" width="13.5703125" style="1" customWidth="1"/>
    <col min="15624" max="15872" width="9.140625" style="1"/>
    <col min="15873" max="15873" width="48.42578125" style="1" customWidth="1"/>
    <col min="15874" max="15874" width="7.85546875" style="1" customWidth="1"/>
    <col min="15875" max="15875" width="13.85546875" style="1" customWidth="1"/>
    <col min="15876" max="15876" width="15.7109375" style="1" customWidth="1"/>
    <col min="15877" max="15877" width="17.42578125" style="1" customWidth="1"/>
    <col min="15878" max="15878" width="16.7109375" style="1" customWidth="1"/>
    <col min="15879" max="15879" width="13.5703125" style="1" customWidth="1"/>
    <col min="15880" max="16128" width="9.140625" style="1"/>
    <col min="16129" max="16129" width="48.42578125" style="1" customWidth="1"/>
    <col min="16130" max="16130" width="7.85546875" style="1" customWidth="1"/>
    <col min="16131" max="16131" width="13.85546875" style="1" customWidth="1"/>
    <col min="16132" max="16132" width="15.7109375" style="1" customWidth="1"/>
    <col min="16133" max="16133" width="17.42578125" style="1" customWidth="1"/>
    <col min="16134" max="16134" width="16.7109375" style="1" customWidth="1"/>
    <col min="16135" max="16135" width="13.5703125" style="1" customWidth="1"/>
    <col min="16136" max="16384" width="9.140625" style="1"/>
  </cols>
  <sheetData>
    <row r="2" spans="1:7" x14ac:dyDescent="0.25">
      <c r="A2" s="244" t="s">
        <v>43</v>
      </c>
      <c r="B2" s="245"/>
      <c r="C2" s="245"/>
      <c r="D2" s="245"/>
      <c r="E2" s="245"/>
    </row>
    <row r="3" spans="1:7" ht="15.75" thickBot="1" x14ac:dyDescent="0.3">
      <c r="A3" s="245"/>
      <c r="B3" s="245"/>
      <c r="C3" s="245"/>
      <c r="D3" s="245"/>
      <c r="E3" s="245"/>
    </row>
    <row r="4" spans="1:7" ht="16.5" thickBot="1" x14ac:dyDescent="0.3">
      <c r="A4" s="236" t="s">
        <v>54</v>
      </c>
      <c r="B4" s="60"/>
      <c r="C4" s="61"/>
      <c r="D4" s="61"/>
      <c r="E4" s="61"/>
    </row>
    <row r="5" spans="1:7" ht="48" thickBot="1" x14ac:dyDescent="0.3">
      <c r="A5" s="122" t="s">
        <v>0</v>
      </c>
      <c r="B5" s="62" t="s">
        <v>1</v>
      </c>
      <c r="C5" s="63" t="s">
        <v>2</v>
      </c>
      <c r="D5" s="60"/>
      <c r="E5" s="60"/>
    </row>
    <row r="6" spans="1:7" ht="15.75" x14ac:dyDescent="0.25">
      <c r="A6" s="64" t="s">
        <v>3</v>
      </c>
      <c r="B6" s="65">
        <v>75</v>
      </c>
      <c r="C6" s="66">
        <v>2093.3000000000002</v>
      </c>
      <c r="D6" s="60"/>
      <c r="E6" s="60"/>
    </row>
    <row r="7" spans="1:7" ht="16.5" thickBot="1" x14ac:dyDescent="0.3">
      <c r="A7" s="67" t="s">
        <v>4</v>
      </c>
      <c r="B7" s="68">
        <f>B6</f>
        <v>75</v>
      </c>
      <c r="C7" s="69">
        <f>C6</f>
        <v>2093.3000000000002</v>
      </c>
      <c r="D7" s="60"/>
      <c r="E7" s="60"/>
    </row>
    <row r="8" spans="1:7" ht="15.75" thickBot="1" x14ac:dyDescent="0.3">
      <c r="A8" s="4"/>
      <c r="B8" s="5"/>
      <c r="C8" s="6"/>
      <c r="D8" s="7"/>
      <c r="E8" s="7"/>
    </row>
    <row r="9" spans="1:7" ht="16.5" thickBot="1" x14ac:dyDescent="0.3">
      <c r="A9" s="236" t="s">
        <v>55</v>
      </c>
      <c r="B9" s="8"/>
      <c r="C9" s="9"/>
      <c r="D9" s="9"/>
      <c r="E9" s="9"/>
    </row>
    <row r="10" spans="1:7" ht="63.75" thickBot="1" x14ac:dyDescent="0.3">
      <c r="A10" s="70" t="s">
        <v>5</v>
      </c>
      <c r="B10" s="30" t="s">
        <v>46</v>
      </c>
      <c r="C10" s="31" t="s">
        <v>56</v>
      </c>
      <c r="D10" s="32" t="s">
        <v>57</v>
      </c>
      <c r="E10" s="33" t="s">
        <v>44</v>
      </c>
      <c r="F10" s="34" t="s">
        <v>58</v>
      </c>
    </row>
    <row r="11" spans="1:7" ht="15.75" x14ac:dyDescent="0.25">
      <c r="A11" s="35" t="s">
        <v>6</v>
      </c>
      <c r="B11" s="36">
        <v>15.45</v>
      </c>
      <c r="C11" s="37">
        <v>356611.24</v>
      </c>
      <c r="D11" s="38">
        <f>35707.53-2992.8</f>
        <v>32714.73</v>
      </c>
      <c r="E11" s="38">
        <f>281005.58+49468.16+92.5</f>
        <v>330566.24</v>
      </c>
      <c r="F11" s="39">
        <f>D11-E11+C11</f>
        <v>58759.729999999981</v>
      </c>
      <c r="G11" s="3"/>
    </row>
    <row r="12" spans="1:7" ht="15.75" x14ac:dyDescent="0.25">
      <c r="A12" s="40" t="s">
        <v>7</v>
      </c>
      <c r="B12" s="41">
        <v>2.39</v>
      </c>
      <c r="C12" s="42">
        <f>54261.06+8541.12</f>
        <v>62802.18</v>
      </c>
      <c r="D12" s="42">
        <f>7540.02+1211.36</f>
        <v>8751.380000000001</v>
      </c>
      <c r="E12" s="42">
        <f>44033.33+7663.45+8235.4</f>
        <v>59932.18</v>
      </c>
      <c r="F12" s="43">
        <f>D12-E12+C12</f>
        <v>11621.379999999997</v>
      </c>
    </row>
    <row r="13" spans="1:7" ht="15.75" x14ac:dyDescent="0.25">
      <c r="A13" s="40" t="s">
        <v>8</v>
      </c>
      <c r="B13" s="41"/>
      <c r="C13" s="44"/>
      <c r="D13" s="42"/>
      <c r="E13" s="44"/>
      <c r="F13" s="43">
        <f>D13-E13+C13</f>
        <v>0</v>
      </c>
    </row>
    <row r="14" spans="1:7" ht="15.75" x14ac:dyDescent="0.25">
      <c r="A14" s="40" t="s">
        <v>9</v>
      </c>
      <c r="B14" s="45"/>
      <c r="C14" s="44"/>
      <c r="D14" s="42"/>
      <c r="E14" s="44"/>
      <c r="F14" s="43">
        <f>D14-E14+C14</f>
        <v>0</v>
      </c>
    </row>
    <row r="15" spans="1:7" ht="15.75" x14ac:dyDescent="0.25">
      <c r="A15" s="40" t="s">
        <v>10</v>
      </c>
      <c r="B15" s="46"/>
      <c r="C15" s="44"/>
      <c r="D15" s="42"/>
      <c r="E15" s="44"/>
      <c r="F15" s="43"/>
    </row>
    <row r="16" spans="1:7" ht="15.75" x14ac:dyDescent="0.25">
      <c r="A16" s="47" t="s">
        <v>11</v>
      </c>
      <c r="B16" s="48" t="s">
        <v>45</v>
      </c>
      <c r="C16" s="49">
        <f>C17+C18+C19+C20</f>
        <v>786798.59</v>
      </c>
      <c r="D16" s="49">
        <f>D17+D18+D19+D20</f>
        <v>125338.02</v>
      </c>
      <c r="E16" s="49">
        <f>E17+E18+E19+E20</f>
        <v>703459.32</v>
      </c>
      <c r="F16" s="50">
        <f>D16-E16+C16</f>
        <v>208677.29000000004</v>
      </c>
    </row>
    <row r="17" spans="1:6" ht="15.75" x14ac:dyDescent="0.25">
      <c r="A17" s="40" t="s">
        <v>12</v>
      </c>
      <c r="B17" s="45">
        <v>929.47</v>
      </c>
      <c r="C17" s="44">
        <f>484647.21</f>
        <v>484647.21</v>
      </c>
      <c r="D17" s="42">
        <v>92219.57</v>
      </c>
      <c r="E17" s="44">
        <f>382502.67+35425.98</f>
        <v>417928.64999999997</v>
      </c>
      <c r="F17" s="43">
        <f t="shared" ref="F17:F21" si="0">D17-E17+C17</f>
        <v>158938.13000000006</v>
      </c>
    </row>
    <row r="18" spans="1:6" ht="15.75" x14ac:dyDescent="0.25">
      <c r="A18" s="40" t="s">
        <v>13</v>
      </c>
      <c r="B18" s="45">
        <v>14.1</v>
      </c>
      <c r="C18" s="44">
        <f>167449.7+2557.84-10374.14+46759.68+552.33-1935.14</f>
        <v>205010.27</v>
      </c>
      <c r="D18" s="42">
        <f>16293.37+2440.53</f>
        <v>18733.900000000001</v>
      </c>
      <c r="E18" s="44">
        <f>127754.28+18248.1+37970.24+5338.41</f>
        <v>189311.03</v>
      </c>
      <c r="F18" s="43">
        <f t="shared" si="0"/>
        <v>34433.139999999985</v>
      </c>
    </row>
    <row r="19" spans="1:6" ht="15.75" x14ac:dyDescent="0.25">
      <c r="A19" s="40" t="s">
        <v>14</v>
      </c>
      <c r="B19" s="45">
        <v>8.25</v>
      </c>
      <c r="C19" s="44">
        <f>34683.98+636.14-831.8</f>
        <v>34488.32</v>
      </c>
      <c r="D19" s="44">
        <v>5017.32</v>
      </c>
      <c r="E19" s="44">
        <f>31879.58+3650.53</f>
        <v>35530.11</v>
      </c>
      <c r="F19" s="43">
        <f t="shared" si="0"/>
        <v>3975.5299999999988</v>
      </c>
    </row>
    <row r="20" spans="1:6" ht="15.75" x14ac:dyDescent="0.25">
      <c r="A20" s="40" t="s">
        <v>15</v>
      </c>
      <c r="B20" s="45">
        <v>9.52</v>
      </c>
      <c r="C20" s="44">
        <f>62523.54+954.7-825.45</f>
        <v>62652.79</v>
      </c>
      <c r="D20" s="44">
        <v>9367.23</v>
      </c>
      <c r="E20" s="44">
        <f>54597.69+6091.84</f>
        <v>60689.53</v>
      </c>
      <c r="F20" s="43">
        <f t="shared" si="0"/>
        <v>11330.489999999998</v>
      </c>
    </row>
    <row r="21" spans="1:6" ht="15.75" x14ac:dyDescent="0.25">
      <c r="A21" s="47" t="s">
        <v>16</v>
      </c>
      <c r="B21" s="45">
        <v>0.72</v>
      </c>
      <c r="C21" s="42">
        <f>76265.05-854.04</f>
        <v>75411.010000000009</v>
      </c>
      <c r="D21" s="44">
        <v>12336.25</v>
      </c>
      <c r="E21" s="44">
        <f>64123.73+9604.73</f>
        <v>73728.460000000006</v>
      </c>
      <c r="F21" s="43">
        <f t="shared" si="0"/>
        <v>14018.800000000003</v>
      </c>
    </row>
    <row r="22" spans="1:6" ht="15.75" x14ac:dyDescent="0.25">
      <c r="A22" s="47" t="s">
        <v>17</v>
      </c>
      <c r="B22" s="45"/>
      <c r="C22" s="42">
        <v>1846.56</v>
      </c>
      <c r="D22" s="42"/>
      <c r="E22" s="44"/>
      <c r="F22" s="43"/>
    </row>
    <row r="23" spans="1:6" ht="16.5" thickBot="1" x14ac:dyDescent="0.3">
      <c r="A23" s="51" t="s">
        <v>18</v>
      </c>
      <c r="B23" s="52"/>
      <c r="C23" s="53"/>
      <c r="D23" s="53"/>
      <c r="E23" s="53"/>
      <c r="F23" s="54">
        <f>D23-E23+C23</f>
        <v>0</v>
      </c>
    </row>
    <row r="24" spans="1:6" ht="16.5" thickBot="1" x14ac:dyDescent="0.3">
      <c r="A24" s="55" t="s">
        <v>19</v>
      </c>
      <c r="B24" s="56"/>
      <c r="C24" s="57">
        <f>C11+C12+C17+C18+C19+C20+C21+C22+C13+C14+C23+C15</f>
        <v>1283469.58</v>
      </c>
      <c r="D24" s="57">
        <f>D21+D16+D14+D13+D12+D11+D22+D23+D15</f>
        <v>179140.38000000003</v>
      </c>
      <c r="E24" s="58">
        <f>E11+E12+E17+E18+E19+E20+E21+E22+E13+E14+E23</f>
        <v>1167686.2</v>
      </c>
      <c r="F24" s="59">
        <f>F11+F12+F17+F18+F19+F20+F21+F22+F13+F14+F23</f>
        <v>293077.2</v>
      </c>
    </row>
    <row r="25" spans="1:6" ht="15.75" thickBot="1" x14ac:dyDescent="0.3"/>
    <row r="26" spans="1:6" ht="20.25" customHeight="1" thickBot="1" x14ac:dyDescent="0.3">
      <c r="A26" s="246" t="s">
        <v>59</v>
      </c>
      <c r="B26" s="247"/>
      <c r="C26" s="247"/>
      <c r="D26" s="248"/>
      <c r="E26" s="249" t="s">
        <v>20</v>
      </c>
    </row>
    <row r="27" spans="1:6" ht="15.75" customHeight="1" x14ac:dyDescent="0.25">
      <c r="A27" s="260" t="s">
        <v>5</v>
      </c>
      <c r="B27" s="251" t="s">
        <v>47</v>
      </c>
      <c r="C27" s="256" t="s">
        <v>21</v>
      </c>
      <c r="D27" s="258" t="s">
        <v>22</v>
      </c>
      <c r="E27" s="250"/>
      <c r="F27" s="3"/>
    </row>
    <row r="28" spans="1:6" ht="36" customHeight="1" thickBot="1" x14ac:dyDescent="0.3">
      <c r="A28" s="261"/>
      <c r="B28" s="252"/>
      <c r="C28" s="257"/>
      <c r="D28" s="259"/>
      <c r="E28" s="250"/>
      <c r="F28" s="3"/>
    </row>
    <row r="29" spans="1:6" ht="16.5" thickBot="1" x14ac:dyDescent="0.3">
      <c r="A29" s="71" t="s">
        <v>6</v>
      </c>
      <c r="B29" s="72">
        <f>B30+B31+B32+B35+B36+B37+B40+B41++B42+B39+B38+B34+B33</f>
        <v>15.450000000000001</v>
      </c>
      <c r="C29" s="73">
        <f>C30+C31+C32+C33+C34+C35+C36+C37+C38+C39+C40+C41+C42</f>
        <v>351423.20400000003</v>
      </c>
      <c r="D29" s="74">
        <f>D30+D31+D32+D33+D34+D35+D36+D37+D38+D39+D40+D41+D42</f>
        <v>375810.38</v>
      </c>
      <c r="E29" s="75"/>
      <c r="F29" s="3"/>
    </row>
    <row r="30" spans="1:6" ht="15.75" x14ac:dyDescent="0.25">
      <c r="A30" s="76" t="s">
        <v>23</v>
      </c>
      <c r="B30" s="77">
        <v>3.85</v>
      </c>
      <c r="C30" s="78">
        <f>B30*C7*5+1.85*C7*7</f>
        <v>67404.260000000009</v>
      </c>
      <c r="D30" s="79">
        <f>3872.61+3872.61+3872.61+3872.61+3872.61+3872.61+3872.61+8059.21+8059.21+8059.21+8059.21+8059.21</f>
        <v>67404.320000000007</v>
      </c>
      <c r="E30" s="80"/>
      <c r="F30" s="3"/>
    </row>
    <row r="31" spans="1:6" ht="15.75" x14ac:dyDescent="0.25">
      <c r="A31" s="81" t="s">
        <v>24</v>
      </c>
      <c r="B31" s="82">
        <v>1.31</v>
      </c>
      <c r="C31" s="83">
        <f>2.88*C7*5+1.29*C7*7</f>
        <v>49046.019000000008</v>
      </c>
      <c r="D31" s="84">
        <f>2700.36+2700.36+2700.36+2700.36+2700.36+2700.36+2700.36+6028.7+6028.7+6028.7+6028.7+6028.7</f>
        <v>49046.02</v>
      </c>
      <c r="E31" s="85"/>
      <c r="F31" s="3"/>
    </row>
    <row r="32" spans="1:6" ht="51" x14ac:dyDescent="0.25">
      <c r="A32" s="81" t="s">
        <v>25</v>
      </c>
      <c r="B32" s="86">
        <f>6.25+1.57+0.48</f>
        <v>8.3000000000000007</v>
      </c>
      <c r="C32" s="83">
        <f>6.25*C7*5+8.23*7*C7</f>
        <v>186010.63800000001</v>
      </c>
      <c r="D32" s="84">
        <f>16348.67-3703.14+17227.86+10550.23+879.18+17227.85+17227.85+17227.85+17227.85+17227.85+13083.13+13083.13+13083.13+13083.13+13083.13+616.25+1800+900</f>
        <v>196173.95000000004</v>
      </c>
      <c r="E32" s="241" t="s">
        <v>143</v>
      </c>
      <c r="F32" s="3"/>
    </row>
    <row r="33" spans="1:6" ht="15.75" x14ac:dyDescent="0.25">
      <c r="A33" s="81" t="s">
        <v>26</v>
      </c>
      <c r="B33" s="87"/>
      <c r="C33" s="88"/>
      <c r="D33" s="89"/>
      <c r="E33" s="80"/>
    </row>
    <row r="34" spans="1:6" ht="15.75" x14ac:dyDescent="0.25">
      <c r="A34" s="81" t="s">
        <v>27</v>
      </c>
      <c r="B34" s="87"/>
      <c r="C34" s="88"/>
      <c r="D34" s="84"/>
      <c r="E34" s="80"/>
    </row>
    <row r="35" spans="1:6" ht="15.75" x14ac:dyDescent="0.25">
      <c r="A35" s="81" t="s">
        <v>28</v>
      </c>
      <c r="B35" s="86">
        <v>0.08</v>
      </c>
      <c r="C35" s="88">
        <f>B35*C7*5+0.07*7*C7</f>
        <v>1863.0370000000003</v>
      </c>
      <c r="D35" s="84">
        <v>432.6</v>
      </c>
      <c r="E35" s="80"/>
    </row>
    <row r="36" spans="1:6" ht="15.75" x14ac:dyDescent="0.25">
      <c r="A36" s="81" t="s">
        <v>29</v>
      </c>
      <c r="B36" s="87">
        <v>0.2</v>
      </c>
      <c r="C36" s="83">
        <f>B36*C7*5+0.14*7*C7</f>
        <v>4144.7340000000004</v>
      </c>
      <c r="D36" s="84">
        <f>2065.54+278.9</f>
        <v>2344.44</v>
      </c>
      <c r="E36" s="80"/>
    </row>
    <row r="37" spans="1:6" ht="15.75" x14ac:dyDescent="0.25">
      <c r="A37" s="81" t="s">
        <v>30</v>
      </c>
      <c r="B37" s="82">
        <v>1.1499999999999999</v>
      </c>
      <c r="C37" s="83">
        <f>B37*C7*5+1.15*7*C7</f>
        <v>28887.54</v>
      </c>
      <c r="D37" s="84">
        <f>1997.79+41.3+329.15+1997.79+41.3+329.15+1997.79+41.3+329.15+1997.79+41.3+329.15+1997.79+41.3+329.15+1997.79+41.3+329.15+1997.79+41.3+347.98+1997.79+41.3+347.98+1997.79+41.3+347.98+1997.79+41.3+347.98+1997.79+41.3+347.98+1997.79+41.3+347.98</f>
        <v>28531.85999999999</v>
      </c>
      <c r="E37" s="80"/>
    </row>
    <row r="38" spans="1:6" ht="15.75" x14ac:dyDescent="0.25">
      <c r="A38" s="81" t="s">
        <v>144</v>
      </c>
      <c r="B38" s="86"/>
      <c r="C38" s="90"/>
      <c r="D38" s="84"/>
      <c r="E38" s="80"/>
    </row>
    <row r="39" spans="1:6" ht="15.75" x14ac:dyDescent="0.25">
      <c r="A39" s="81" t="s">
        <v>61</v>
      </c>
      <c r="B39" s="91"/>
      <c r="C39" s="88"/>
      <c r="D39" s="84">
        <v>800</v>
      </c>
      <c r="E39" s="80"/>
    </row>
    <row r="40" spans="1:6" ht="15.75" x14ac:dyDescent="0.25">
      <c r="A40" s="81" t="s">
        <v>31</v>
      </c>
      <c r="B40" s="86">
        <v>0.09</v>
      </c>
      <c r="C40" s="90">
        <f>B40*C7*12</f>
        <v>2260.7640000000001</v>
      </c>
      <c r="D40" s="84"/>
      <c r="E40" s="80"/>
    </row>
    <row r="41" spans="1:6" ht="15.75" x14ac:dyDescent="0.25">
      <c r="A41" s="81" t="s">
        <v>32</v>
      </c>
      <c r="B41" s="86">
        <v>0.47</v>
      </c>
      <c r="C41" s="88">
        <f>B41*C7*12</f>
        <v>11806.212</v>
      </c>
      <c r="D41" s="84">
        <v>31077.19</v>
      </c>
      <c r="E41" s="80"/>
    </row>
    <row r="42" spans="1:6" ht="15.75" x14ac:dyDescent="0.25">
      <c r="A42" s="81" t="s">
        <v>33</v>
      </c>
      <c r="B42" s="87">
        <v>0</v>
      </c>
      <c r="C42" s="88"/>
      <c r="D42" s="84"/>
      <c r="E42" s="80"/>
    </row>
    <row r="43" spans="1:6" ht="15.75" hidden="1" x14ac:dyDescent="0.25">
      <c r="A43" s="92" t="s">
        <v>48</v>
      </c>
      <c r="B43" s="93"/>
      <c r="C43" s="94"/>
      <c r="D43" s="95"/>
      <c r="E43" s="80"/>
    </row>
    <row r="44" spans="1:6" ht="15.75" x14ac:dyDescent="0.25">
      <c r="A44" s="92" t="s">
        <v>63</v>
      </c>
      <c r="B44" s="93">
        <v>2.39</v>
      </c>
      <c r="C44" s="94">
        <f>B44*C7*6+1.93*6*C7</f>
        <v>54258.33600000001</v>
      </c>
      <c r="D44" s="95">
        <v>10005.94</v>
      </c>
      <c r="E44" s="80"/>
    </row>
    <row r="45" spans="1:6" ht="15.75" x14ac:dyDescent="0.25">
      <c r="A45" s="92" t="s">
        <v>64</v>
      </c>
      <c r="B45" s="96"/>
      <c r="C45" s="94"/>
      <c r="D45" s="95"/>
      <c r="E45" s="80"/>
    </row>
    <row r="46" spans="1:6" ht="15.75" x14ac:dyDescent="0.25">
      <c r="A46" s="92" t="s">
        <v>65</v>
      </c>
      <c r="B46" s="96"/>
      <c r="C46" s="94"/>
      <c r="D46" s="95">
        <v>79509.759999999995</v>
      </c>
      <c r="E46" s="80"/>
    </row>
    <row r="47" spans="1:6" ht="15.75" x14ac:dyDescent="0.25">
      <c r="A47" s="92" t="s">
        <v>66</v>
      </c>
      <c r="B47" s="96"/>
      <c r="C47" s="94">
        <f>C48+C49+C50+C51</f>
        <v>0</v>
      </c>
      <c r="D47" s="95">
        <f>D48+D49+D50+D51</f>
        <v>806201.58</v>
      </c>
      <c r="E47" s="80"/>
    </row>
    <row r="48" spans="1:6" ht="15.75" x14ac:dyDescent="0.25">
      <c r="A48" s="81" t="s">
        <v>34</v>
      </c>
      <c r="B48" s="91"/>
      <c r="C48" s="88"/>
      <c r="D48" s="84">
        <v>650732.54</v>
      </c>
      <c r="E48" s="80"/>
      <c r="F48" s="10"/>
    </row>
    <row r="49" spans="1:6" ht="15.75" x14ac:dyDescent="0.25">
      <c r="A49" s="81" t="s">
        <v>35</v>
      </c>
      <c r="B49" s="91"/>
      <c r="C49" s="88"/>
      <c r="D49" s="84">
        <v>46058.09</v>
      </c>
      <c r="E49" s="80"/>
    </row>
    <row r="50" spans="1:6" ht="15.75" x14ac:dyDescent="0.25">
      <c r="A50" s="81" t="s">
        <v>36</v>
      </c>
      <c r="B50" s="91"/>
      <c r="C50" s="88"/>
      <c r="D50" s="97">
        <v>46522.85</v>
      </c>
      <c r="E50" s="80"/>
    </row>
    <row r="51" spans="1:6" ht="16.5" thickBot="1" x14ac:dyDescent="0.3">
      <c r="A51" s="98" t="s">
        <v>37</v>
      </c>
      <c r="B51" s="99"/>
      <c r="C51" s="100"/>
      <c r="D51" s="97">
        <v>62888.1</v>
      </c>
      <c r="E51" s="80"/>
    </row>
    <row r="52" spans="1:6" ht="16.5" thickBot="1" x14ac:dyDescent="0.3">
      <c r="A52" s="29" t="s">
        <v>38</v>
      </c>
      <c r="B52" s="113"/>
      <c r="C52" s="112"/>
      <c r="D52" s="101">
        <f>D47+D46+D29+D45+D44+D43</f>
        <v>1271527.6599999999</v>
      </c>
      <c r="E52" s="102"/>
      <c r="F52" s="3"/>
    </row>
    <row r="53" spans="1:6" ht="15.75" x14ac:dyDescent="0.25">
      <c r="A53" s="64" t="s">
        <v>39</v>
      </c>
      <c r="B53" s="103"/>
      <c r="C53" s="104"/>
      <c r="D53" s="105">
        <f>10285-D39-D35</f>
        <v>9052.4</v>
      </c>
      <c r="E53" s="80"/>
    </row>
    <row r="54" spans="1:6" ht="15.75" x14ac:dyDescent="0.25">
      <c r="A54" s="106" t="s">
        <v>49</v>
      </c>
      <c r="B54" s="107"/>
      <c r="C54" s="108"/>
      <c r="D54" s="109">
        <f>C24-D52-D53</f>
        <v>2889.5200000001587</v>
      </c>
      <c r="E54" s="80"/>
    </row>
    <row r="55" spans="1:6" ht="16.5" thickBot="1" x14ac:dyDescent="0.3">
      <c r="A55" s="117" t="s">
        <v>50</v>
      </c>
      <c r="B55" s="118"/>
      <c r="C55" s="119"/>
      <c r="D55" s="120">
        <v>-38351.4</v>
      </c>
      <c r="E55" s="111"/>
    </row>
    <row r="56" spans="1:6" ht="36.75" customHeight="1" thickBot="1" x14ac:dyDescent="0.35">
      <c r="A56" s="253" t="s">
        <v>51</v>
      </c>
      <c r="B56" s="254"/>
      <c r="C56" s="255"/>
      <c r="D56" s="121">
        <f>D54+D55</f>
        <v>-35461.879999999845</v>
      </c>
      <c r="E56" s="11"/>
    </row>
    <row r="57" spans="1:6" ht="16.5" thickBot="1" x14ac:dyDescent="0.3">
      <c r="A57" s="114" t="s">
        <v>40</v>
      </c>
      <c r="B57" s="12"/>
      <c r="C57" s="13"/>
      <c r="D57" s="13"/>
      <c r="E57" s="11"/>
    </row>
    <row r="58" spans="1:6" ht="15.75" x14ac:dyDescent="0.25">
      <c r="A58" s="115" t="s">
        <v>52</v>
      </c>
      <c r="B58" s="14"/>
      <c r="C58" s="15"/>
      <c r="D58" s="16">
        <f>C11-D29</f>
        <v>-19199.140000000014</v>
      </c>
      <c r="E58" s="11"/>
    </row>
    <row r="59" spans="1:6" ht="15.75" x14ac:dyDescent="0.25">
      <c r="A59" s="110" t="s">
        <v>53</v>
      </c>
      <c r="B59" s="17"/>
      <c r="C59" s="18"/>
      <c r="D59" s="19">
        <f>C12-D44</f>
        <v>52796.24</v>
      </c>
      <c r="E59" s="11"/>
    </row>
    <row r="60" spans="1:6" ht="15.75" hidden="1" x14ac:dyDescent="0.25">
      <c r="A60" s="110" t="s">
        <v>68</v>
      </c>
      <c r="B60" s="17"/>
      <c r="C60" s="18"/>
      <c r="D60" s="19">
        <f>C14-D43</f>
        <v>0</v>
      </c>
      <c r="E60" s="11"/>
    </row>
    <row r="61" spans="1:6" ht="15.75" x14ac:dyDescent="0.25">
      <c r="A61" s="110" t="s">
        <v>69</v>
      </c>
      <c r="B61" s="17"/>
      <c r="C61" s="18"/>
      <c r="D61" s="19">
        <f>C21-D46</f>
        <v>-4098.7499999999854</v>
      </c>
      <c r="E61" s="11"/>
    </row>
    <row r="62" spans="1:6" ht="15.75" x14ac:dyDescent="0.25">
      <c r="A62" s="110" t="s">
        <v>70</v>
      </c>
      <c r="B62" s="17"/>
      <c r="C62" s="18"/>
      <c r="D62" s="19">
        <f>C16-D47</f>
        <v>-19402.989999999991</v>
      </c>
      <c r="E62" s="11"/>
    </row>
    <row r="63" spans="1:6" ht="15.75" x14ac:dyDescent="0.25">
      <c r="A63" s="110" t="s">
        <v>71</v>
      </c>
      <c r="B63" s="17"/>
      <c r="C63" s="18"/>
      <c r="D63" s="19">
        <f>C22</f>
        <v>1846.56</v>
      </c>
      <c r="E63" s="11"/>
    </row>
    <row r="64" spans="1:6" ht="16.5" thickBot="1" x14ac:dyDescent="0.3">
      <c r="A64" s="116" t="s">
        <v>72</v>
      </c>
      <c r="B64" s="20"/>
      <c r="C64" s="21"/>
      <c r="D64" s="22">
        <f>-D53</f>
        <v>-9052.4</v>
      </c>
      <c r="E64" s="23"/>
    </row>
    <row r="65" spans="1:6" ht="15.75" thickBot="1" x14ac:dyDescent="0.3">
      <c r="A65" s="24"/>
      <c r="B65" s="24"/>
      <c r="C65" s="9"/>
      <c r="D65" s="9"/>
    </row>
    <row r="66" spans="1:6" ht="16.5" thickBot="1" x14ac:dyDescent="0.3">
      <c r="A66" s="237" t="s">
        <v>60</v>
      </c>
      <c r="B66" s="238"/>
      <c r="C66" s="239"/>
      <c r="D66" s="240"/>
      <c r="E66" s="25"/>
      <c r="F66" s="26"/>
    </row>
    <row r="67" spans="1:6" ht="15.75" x14ac:dyDescent="0.25">
      <c r="A67" s="242" t="s">
        <v>67</v>
      </c>
      <c r="B67" s="243"/>
      <c r="C67" s="243"/>
      <c r="D67" s="123">
        <v>10005.94</v>
      </c>
      <c r="E67" s="25"/>
      <c r="F67" s="26"/>
    </row>
    <row r="68" spans="1:6" ht="15.75" x14ac:dyDescent="0.25">
      <c r="A68" s="2" t="s">
        <v>19</v>
      </c>
      <c r="B68" s="27"/>
      <c r="C68" s="28"/>
      <c r="D68" s="124">
        <f>D67</f>
        <v>10005.94</v>
      </c>
      <c r="E68" s="28" t="s">
        <v>41</v>
      </c>
    </row>
    <row r="72" spans="1:6" x14ac:dyDescent="0.25">
      <c r="A72" s="1" t="s">
        <v>42</v>
      </c>
      <c r="D72" s="3" t="s">
        <v>62</v>
      </c>
    </row>
  </sheetData>
  <mergeCells count="9">
    <mergeCell ref="A67:C67"/>
    <mergeCell ref="A2:E3"/>
    <mergeCell ref="A26:D26"/>
    <mergeCell ref="E26:E28"/>
    <mergeCell ref="B27:B28"/>
    <mergeCell ref="A56:C56"/>
    <mergeCell ref="C27:C28"/>
    <mergeCell ref="D27:D28"/>
    <mergeCell ref="A27:A28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2"/>
  <sheetViews>
    <sheetView workbookViewId="0">
      <selection activeCell="E24" sqref="E24"/>
    </sheetView>
  </sheetViews>
  <sheetFormatPr defaultRowHeight="15" x14ac:dyDescent="0.25"/>
  <cols>
    <col min="1" max="1" width="44.85546875" customWidth="1"/>
    <col min="2" max="2" width="16.5703125" style="127" customWidth="1"/>
    <col min="3" max="3" width="17.85546875" style="127" customWidth="1"/>
    <col min="4" max="4" width="16.42578125" style="127" customWidth="1"/>
    <col min="5" max="5" width="27.42578125" style="127" customWidth="1"/>
    <col min="6" max="6" width="12.7109375" customWidth="1"/>
    <col min="8" max="8" width="17.5703125" customWidth="1"/>
    <col min="9" max="9" width="12.28515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7.85546875" customWidth="1"/>
    <col min="260" max="260" width="16.42578125" customWidth="1"/>
    <col min="261" max="261" width="26.28515625" customWidth="1"/>
    <col min="262" max="262" width="12.7109375" customWidth="1"/>
    <col min="264" max="264" width="10.140625" bestFit="1" customWidth="1"/>
    <col min="265" max="265" width="12.28515625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7.85546875" customWidth="1"/>
    <col min="516" max="516" width="16.42578125" customWidth="1"/>
    <col min="517" max="517" width="26.28515625" customWidth="1"/>
    <col min="518" max="518" width="12.7109375" customWidth="1"/>
    <col min="520" max="520" width="10.140625" bestFit="1" customWidth="1"/>
    <col min="521" max="521" width="12.28515625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7.85546875" customWidth="1"/>
    <col min="772" max="772" width="16.42578125" customWidth="1"/>
    <col min="773" max="773" width="26.28515625" customWidth="1"/>
    <col min="774" max="774" width="12.7109375" customWidth="1"/>
    <col min="776" max="776" width="10.140625" bestFit="1" customWidth="1"/>
    <col min="777" max="777" width="12.28515625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7.85546875" customWidth="1"/>
    <col min="1028" max="1028" width="16.42578125" customWidth="1"/>
    <col min="1029" max="1029" width="26.28515625" customWidth="1"/>
    <col min="1030" max="1030" width="12.7109375" customWidth="1"/>
    <col min="1032" max="1032" width="10.140625" bestFit="1" customWidth="1"/>
    <col min="1033" max="1033" width="12.28515625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7.85546875" customWidth="1"/>
    <col min="1284" max="1284" width="16.42578125" customWidth="1"/>
    <col min="1285" max="1285" width="26.28515625" customWidth="1"/>
    <col min="1286" max="1286" width="12.7109375" customWidth="1"/>
    <col min="1288" max="1288" width="10.140625" bestFit="1" customWidth="1"/>
    <col min="1289" max="1289" width="12.28515625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7.85546875" customWidth="1"/>
    <col min="1540" max="1540" width="16.42578125" customWidth="1"/>
    <col min="1541" max="1541" width="26.28515625" customWidth="1"/>
    <col min="1542" max="1542" width="12.7109375" customWidth="1"/>
    <col min="1544" max="1544" width="10.140625" bestFit="1" customWidth="1"/>
    <col min="1545" max="1545" width="12.28515625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7.85546875" customWidth="1"/>
    <col min="1796" max="1796" width="16.42578125" customWidth="1"/>
    <col min="1797" max="1797" width="26.28515625" customWidth="1"/>
    <col min="1798" max="1798" width="12.7109375" customWidth="1"/>
    <col min="1800" max="1800" width="10.140625" bestFit="1" customWidth="1"/>
    <col min="1801" max="1801" width="12.28515625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7.85546875" customWidth="1"/>
    <col min="2052" max="2052" width="16.42578125" customWidth="1"/>
    <col min="2053" max="2053" width="26.28515625" customWidth="1"/>
    <col min="2054" max="2054" width="12.7109375" customWidth="1"/>
    <col min="2056" max="2056" width="10.140625" bestFit="1" customWidth="1"/>
    <col min="2057" max="2057" width="12.28515625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7.85546875" customWidth="1"/>
    <col min="2308" max="2308" width="16.42578125" customWidth="1"/>
    <col min="2309" max="2309" width="26.28515625" customWidth="1"/>
    <col min="2310" max="2310" width="12.7109375" customWidth="1"/>
    <col min="2312" max="2312" width="10.140625" bestFit="1" customWidth="1"/>
    <col min="2313" max="2313" width="12.28515625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7.85546875" customWidth="1"/>
    <col min="2564" max="2564" width="16.42578125" customWidth="1"/>
    <col min="2565" max="2565" width="26.28515625" customWidth="1"/>
    <col min="2566" max="2566" width="12.7109375" customWidth="1"/>
    <col min="2568" max="2568" width="10.140625" bestFit="1" customWidth="1"/>
    <col min="2569" max="2569" width="12.28515625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7.85546875" customWidth="1"/>
    <col min="2820" max="2820" width="16.42578125" customWidth="1"/>
    <col min="2821" max="2821" width="26.28515625" customWidth="1"/>
    <col min="2822" max="2822" width="12.7109375" customWidth="1"/>
    <col min="2824" max="2824" width="10.140625" bestFit="1" customWidth="1"/>
    <col min="2825" max="2825" width="12.28515625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7.85546875" customWidth="1"/>
    <col min="3076" max="3076" width="16.42578125" customWidth="1"/>
    <col min="3077" max="3077" width="26.28515625" customWidth="1"/>
    <col min="3078" max="3078" width="12.7109375" customWidth="1"/>
    <col min="3080" max="3080" width="10.140625" bestFit="1" customWidth="1"/>
    <col min="3081" max="3081" width="12.28515625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7.85546875" customWidth="1"/>
    <col min="3332" max="3332" width="16.42578125" customWidth="1"/>
    <col min="3333" max="3333" width="26.28515625" customWidth="1"/>
    <col min="3334" max="3334" width="12.7109375" customWidth="1"/>
    <col min="3336" max="3336" width="10.140625" bestFit="1" customWidth="1"/>
    <col min="3337" max="3337" width="12.28515625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7.85546875" customWidth="1"/>
    <col min="3588" max="3588" width="16.42578125" customWidth="1"/>
    <col min="3589" max="3589" width="26.28515625" customWidth="1"/>
    <col min="3590" max="3590" width="12.7109375" customWidth="1"/>
    <col min="3592" max="3592" width="10.140625" bestFit="1" customWidth="1"/>
    <col min="3593" max="3593" width="12.28515625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7.85546875" customWidth="1"/>
    <col min="3844" max="3844" width="16.42578125" customWidth="1"/>
    <col min="3845" max="3845" width="26.28515625" customWidth="1"/>
    <col min="3846" max="3846" width="12.7109375" customWidth="1"/>
    <col min="3848" max="3848" width="10.140625" bestFit="1" customWidth="1"/>
    <col min="3849" max="3849" width="12.28515625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7.85546875" customWidth="1"/>
    <col min="4100" max="4100" width="16.42578125" customWidth="1"/>
    <col min="4101" max="4101" width="26.28515625" customWidth="1"/>
    <col min="4102" max="4102" width="12.7109375" customWidth="1"/>
    <col min="4104" max="4104" width="10.140625" bestFit="1" customWidth="1"/>
    <col min="4105" max="4105" width="12.28515625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7.85546875" customWidth="1"/>
    <col min="4356" max="4356" width="16.42578125" customWidth="1"/>
    <col min="4357" max="4357" width="26.28515625" customWidth="1"/>
    <col min="4358" max="4358" width="12.7109375" customWidth="1"/>
    <col min="4360" max="4360" width="10.140625" bestFit="1" customWidth="1"/>
    <col min="4361" max="4361" width="12.28515625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7.85546875" customWidth="1"/>
    <col min="4612" max="4612" width="16.42578125" customWidth="1"/>
    <col min="4613" max="4613" width="26.28515625" customWidth="1"/>
    <col min="4614" max="4614" width="12.7109375" customWidth="1"/>
    <col min="4616" max="4616" width="10.140625" bestFit="1" customWidth="1"/>
    <col min="4617" max="4617" width="12.28515625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7.85546875" customWidth="1"/>
    <col min="4868" max="4868" width="16.42578125" customWidth="1"/>
    <col min="4869" max="4869" width="26.28515625" customWidth="1"/>
    <col min="4870" max="4870" width="12.7109375" customWidth="1"/>
    <col min="4872" max="4872" width="10.140625" bestFit="1" customWidth="1"/>
    <col min="4873" max="4873" width="12.28515625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7.85546875" customWidth="1"/>
    <col min="5124" max="5124" width="16.42578125" customWidth="1"/>
    <col min="5125" max="5125" width="26.28515625" customWidth="1"/>
    <col min="5126" max="5126" width="12.7109375" customWidth="1"/>
    <col min="5128" max="5128" width="10.140625" bestFit="1" customWidth="1"/>
    <col min="5129" max="5129" width="12.28515625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7.85546875" customWidth="1"/>
    <col min="5380" max="5380" width="16.42578125" customWidth="1"/>
    <col min="5381" max="5381" width="26.28515625" customWidth="1"/>
    <col min="5382" max="5382" width="12.7109375" customWidth="1"/>
    <col min="5384" max="5384" width="10.140625" bestFit="1" customWidth="1"/>
    <col min="5385" max="5385" width="12.28515625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7.85546875" customWidth="1"/>
    <col min="5636" max="5636" width="16.42578125" customWidth="1"/>
    <col min="5637" max="5637" width="26.28515625" customWidth="1"/>
    <col min="5638" max="5638" width="12.7109375" customWidth="1"/>
    <col min="5640" max="5640" width="10.140625" bestFit="1" customWidth="1"/>
    <col min="5641" max="5641" width="12.28515625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7.85546875" customWidth="1"/>
    <col min="5892" max="5892" width="16.42578125" customWidth="1"/>
    <col min="5893" max="5893" width="26.28515625" customWidth="1"/>
    <col min="5894" max="5894" width="12.7109375" customWidth="1"/>
    <col min="5896" max="5896" width="10.140625" bestFit="1" customWidth="1"/>
    <col min="5897" max="5897" width="12.28515625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7.85546875" customWidth="1"/>
    <col min="6148" max="6148" width="16.42578125" customWidth="1"/>
    <col min="6149" max="6149" width="26.28515625" customWidth="1"/>
    <col min="6150" max="6150" width="12.7109375" customWidth="1"/>
    <col min="6152" max="6152" width="10.140625" bestFit="1" customWidth="1"/>
    <col min="6153" max="6153" width="12.28515625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7.85546875" customWidth="1"/>
    <col min="6404" max="6404" width="16.42578125" customWidth="1"/>
    <col min="6405" max="6405" width="26.28515625" customWidth="1"/>
    <col min="6406" max="6406" width="12.7109375" customWidth="1"/>
    <col min="6408" max="6408" width="10.140625" bestFit="1" customWidth="1"/>
    <col min="6409" max="6409" width="12.28515625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7.85546875" customWidth="1"/>
    <col min="6660" max="6660" width="16.42578125" customWidth="1"/>
    <col min="6661" max="6661" width="26.28515625" customWidth="1"/>
    <col min="6662" max="6662" width="12.7109375" customWidth="1"/>
    <col min="6664" max="6664" width="10.140625" bestFit="1" customWidth="1"/>
    <col min="6665" max="6665" width="12.28515625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7.85546875" customWidth="1"/>
    <col min="6916" max="6916" width="16.42578125" customWidth="1"/>
    <col min="6917" max="6917" width="26.28515625" customWidth="1"/>
    <col min="6918" max="6918" width="12.7109375" customWidth="1"/>
    <col min="6920" max="6920" width="10.140625" bestFit="1" customWidth="1"/>
    <col min="6921" max="6921" width="12.28515625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7.85546875" customWidth="1"/>
    <col min="7172" max="7172" width="16.42578125" customWidth="1"/>
    <col min="7173" max="7173" width="26.28515625" customWidth="1"/>
    <col min="7174" max="7174" width="12.7109375" customWidth="1"/>
    <col min="7176" max="7176" width="10.140625" bestFit="1" customWidth="1"/>
    <col min="7177" max="7177" width="12.28515625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7.85546875" customWidth="1"/>
    <col min="7428" max="7428" width="16.42578125" customWidth="1"/>
    <col min="7429" max="7429" width="26.28515625" customWidth="1"/>
    <col min="7430" max="7430" width="12.7109375" customWidth="1"/>
    <col min="7432" max="7432" width="10.140625" bestFit="1" customWidth="1"/>
    <col min="7433" max="7433" width="12.28515625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7.85546875" customWidth="1"/>
    <col min="7684" max="7684" width="16.42578125" customWidth="1"/>
    <col min="7685" max="7685" width="26.28515625" customWidth="1"/>
    <col min="7686" max="7686" width="12.7109375" customWidth="1"/>
    <col min="7688" max="7688" width="10.140625" bestFit="1" customWidth="1"/>
    <col min="7689" max="7689" width="12.28515625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7.85546875" customWidth="1"/>
    <col min="7940" max="7940" width="16.42578125" customWidth="1"/>
    <col min="7941" max="7941" width="26.28515625" customWidth="1"/>
    <col min="7942" max="7942" width="12.7109375" customWidth="1"/>
    <col min="7944" max="7944" width="10.140625" bestFit="1" customWidth="1"/>
    <col min="7945" max="7945" width="12.28515625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7.85546875" customWidth="1"/>
    <col min="8196" max="8196" width="16.42578125" customWidth="1"/>
    <col min="8197" max="8197" width="26.28515625" customWidth="1"/>
    <col min="8198" max="8198" width="12.7109375" customWidth="1"/>
    <col min="8200" max="8200" width="10.140625" bestFit="1" customWidth="1"/>
    <col min="8201" max="8201" width="12.28515625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7.85546875" customWidth="1"/>
    <col min="8452" max="8452" width="16.42578125" customWidth="1"/>
    <col min="8453" max="8453" width="26.28515625" customWidth="1"/>
    <col min="8454" max="8454" width="12.7109375" customWidth="1"/>
    <col min="8456" max="8456" width="10.140625" bestFit="1" customWidth="1"/>
    <col min="8457" max="8457" width="12.28515625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7.85546875" customWidth="1"/>
    <col min="8708" max="8708" width="16.42578125" customWidth="1"/>
    <col min="8709" max="8709" width="26.28515625" customWidth="1"/>
    <col min="8710" max="8710" width="12.7109375" customWidth="1"/>
    <col min="8712" max="8712" width="10.140625" bestFit="1" customWidth="1"/>
    <col min="8713" max="8713" width="12.28515625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7.85546875" customWidth="1"/>
    <col min="8964" max="8964" width="16.42578125" customWidth="1"/>
    <col min="8965" max="8965" width="26.28515625" customWidth="1"/>
    <col min="8966" max="8966" width="12.7109375" customWidth="1"/>
    <col min="8968" max="8968" width="10.140625" bestFit="1" customWidth="1"/>
    <col min="8969" max="8969" width="12.28515625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7.85546875" customWidth="1"/>
    <col min="9220" max="9220" width="16.42578125" customWidth="1"/>
    <col min="9221" max="9221" width="26.28515625" customWidth="1"/>
    <col min="9222" max="9222" width="12.7109375" customWidth="1"/>
    <col min="9224" max="9224" width="10.140625" bestFit="1" customWidth="1"/>
    <col min="9225" max="9225" width="12.28515625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7.85546875" customWidth="1"/>
    <col min="9476" max="9476" width="16.42578125" customWidth="1"/>
    <col min="9477" max="9477" width="26.28515625" customWidth="1"/>
    <col min="9478" max="9478" width="12.7109375" customWidth="1"/>
    <col min="9480" max="9480" width="10.140625" bestFit="1" customWidth="1"/>
    <col min="9481" max="9481" width="12.28515625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7.85546875" customWidth="1"/>
    <col min="9732" max="9732" width="16.42578125" customWidth="1"/>
    <col min="9733" max="9733" width="26.28515625" customWidth="1"/>
    <col min="9734" max="9734" width="12.7109375" customWidth="1"/>
    <col min="9736" max="9736" width="10.140625" bestFit="1" customWidth="1"/>
    <col min="9737" max="9737" width="12.28515625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7.85546875" customWidth="1"/>
    <col min="9988" max="9988" width="16.42578125" customWidth="1"/>
    <col min="9989" max="9989" width="26.28515625" customWidth="1"/>
    <col min="9990" max="9990" width="12.7109375" customWidth="1"/>
    <col min="9992" max="9992" width="10.140625" bestFit="1" customWidth="1"/>
    <col min="9993" max="9993" width="12.28515625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7.85546875" customWidth="1"/>
    <col min="10244" max="10244" width="16.42578125" customWidth="1"/>
    <col min="10245" max="10245" width="26.28515625" customWidth="1"/>
    <col min="10246" max="10246" width="12.7109375" customWidth="1"/>
    <col min="10248" max="10248" width="10.140625" bestFit="1" customWidth="1"/>
    <col min="10249" max="10249" width="12.28515625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7.85546875" customWidth="1"/>
    <col min="10500" max="10500" width="16.42578125" customWidth="1"/>
    <col min="10501" max="10501" width="26.28515625" customWidth="1"/>
    <col min="10502" max="10502" width="12.7109375" customWidth="1"/>
    <col min="10504" max="10504" width="10.140625" bestFit="1" customWidth="1"/>
    <col min="10505" max="10505" width="12.28515625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7.85546875" customWidth="1"/>
    <col min="10756" max="10756" width="16.42578125" customWidth="1"/>
    <col min="10757" max="10757" width="26.28515625" customWidth="1"/>
    <col min="10758" max="10758" width="12.7109375" customWidth="1"/>
    <col min="10760" max="10760" width="10.140625" bestFit="1" customWidth="1"/>
    <col min="10761" max="10761" width="12.28515625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7.85546875" customWidth="1"/>
    <col min="11012" max="11012" width="16.42578125" customWidth="1"/>
    <col min="11013" max="11013" width="26.28515625" customWidth="1"/>
    <col min="11014" max="11014" width="12.7109375" customWidth="1"/>
    <col min="11016" max="11016" width="10.140625" bestFit="1" customWidth="1"/>
    <col min="11017" max="11017" width="12.28515625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7.85546875" customWidth="1"/>
    <col min="11268" max="11268" width="16.42578125" customWidth="1"/>
    <col min="11269" max="11269" width="26.28515625" customWidth="1"/>
    <col min="11270" max="11270" width="12.7109375" customWidth="1"/>
    <col min="11272" max="11272" width="10.140625" bestFit="1" customWidth="1"/>
    <col min="11273" max="11273" width="12.28515625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7.85546875" customWidth="1"/>
    <col min="11524" max="11524" width="16.42578125" customWidth="1"/>
    <col min="11525" max="11525" width="26.28515625" customWidth="1"/>
    <col min="11526" max="11526" width="12.7109375" customWidth="1"/>
    <col min="11528" max="11528" width="10.140625" bestFit="1" customWidth="1"/>
    <col min="11529" max="11529" width="12.28515625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7.85546875" customWidth="1"/>
    <col min="11780" max="11780" width="16.42578125" customWidth="1"/>
    <col min="11781" max="11781" width="26.28515625" customWidth="1"/>
    <col min="11782" max="11782" width="12.7109375" customWidth="1"/>
    <col min="11784" max="11784" width="10.140625" bestFit="1" customWidth="1"/>
    <col min="11785" max="11785" width="12.28515625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7.85546875" customWidth="1"/>
    <col min="12036" max="12036" width="16.42578125" customWidth="1"/>
    <col min="12037" max="12037" width="26.28515625" customWidth="1"/>
    <col min="12038" max="12038" width="12.7109375" customWidth="1"/>
    <col min="12040" max="12040" width="10.140625" bestFit="1" customWidth="1"/>
    <col min="12041" max="12041" width="12.28515625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7.85546875" customWidth="1"/>
    <col min="12292" max="12292" width="16.42578125" customWidth="1"/>
    <col min="12293" max="12293" width="26.28515625" customWidth="1"/>
    <col min="12294" max="12294" width="12.7109375" customWidth="1"/>
    <col min="12296" max="12296" width="10.140625" bestFit="1" customWidth="1"/>
    <col min="12297" max="12297" width="12.28515625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7.85546875" customWidth="1"/>
    <col min="12548" max="12548" width="16.42578125" customWidth="1"/>
    <col min="12549" max="12549" width="26.28515625" customWidth="1"/>
    <col min="12550" max="12550" width="12.7109375" customWidth="1"/>
    <col min="12552" max="12552" width="10.140625" bestFit="1" customWidth="1"/>
    <col min="12553" max="12553" width="12.28515625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7.85546875" customWidth="1"/>
    <col min="12804" max="12804" width="16.42578125" customWidth="1"/>
    <col min="12805" max="12805" width="26.28515625" customWidth="1"/>
    <col min="12806" max="12806" width="12.7109375" customWidth="1"/>
    <col min="12808" max="12808" width="10.140625" bestFit="1" customWidth="1"/>
    <col min="12809" max="12809" width="12.28515625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7.85546875" customWidth="1"/>
    <col min="13060" max="13060" width="16.42578125" customWidth="1"/>
    <col min="13061" max="13061" width="26.28515625" customWidth="1"/>
    <col min="13062" max="13062" width="12.7109375" customWidth="1"/>
    <col min="13064" max="13064" width="10.140625" bestFit="1" customWidth="1"/>
    <col min="13065" max="13065" width="12.28515625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7.85546875" customWidth="1"/>
    <col min="13316" max="13316" width="16.42578125" customWidth="1"/>
    <col min="13317" max="13317" width="26.28515625" customWidth="1"/>
    <col min="13318" max="13318" width="12.7109375" customWidth="1"/>
    <col min="13320" max="13320" width="10.140625" bestFit="1" customWidth="1"/>
    <col min="13321" max="13321" width="12.28515625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7.85546875" customWidth="1"/>
    <col min="13572" max="13572" width="16.42578125" customWidth="1"/>
    <col min="13573" max="13573" width="26.28515625" customWidth="1"/>
    <col min="13574" max="13574" width="12.7109375" customWidth="1"/>
    <col min="13576" max="13576" width="10.140625" bestFit="1" customWidth="1"/>
    <col min="13577" max="13577" width="12.28515625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7.85546875" customWidth="1"/>
    <col min="13828" max="13828" width="16.42578125" customWidth="1"/>
    <col min="13829" max="13829" width="26.28515625" customWidth="1"/>
    <col min="13830" max="13830" width="12.7109375" customWidth="1"/>
    <col min="13832" max="13832" width="10.140625" bestFit="1" customWidth="1"/>
    <col min="13833" max="13833" width="12.28515625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7.85546875" customWidth="1"/>
    <col min="14084" max="14084" width="16.42578125" customWidth="1"/>
    <col min="14085" max="14085" width="26.28515625" customWidth="1"/>
    <col min="14086" max="14086" width="12.7109375" customWidth="1"/>
    <col min="14088" max="14088" width="10.140625" bestFit="1" customWidth="1"/>
    <col min="14089" max="14089" width="12.28515625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7.85546875" customWidth="1"/>
    <col min="14340" max="14340" width="16.42578125" customWidth="1"/>
    <col min="14341" max="14341" width="26.28515625" customWidth="1"/>
    <col min="14342" max="14342" width="12.7109375" customWidth="1"/>
    <col min="14344" max="14344" width="10.140625" bestFit="1" customWidth="1"/>
    <col min="14345" max="14345" width="12.28515625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7.85546875" customWidth="1"/>
    <col min="14596" max="14596" width="16.42578125" customWidth="1"/>
    <col min="14597" max="14597" width="26.28515625" customWidth="1"/>
    <col min="14598" max="14598" width="12.7109375" customWidth="1"/>
    <col min="14600" max="14600" width="10.140625" bestFit="1" customWidth="1"/>
    <col min="14601" max="14601" width="12.28515625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7.85546875" customWidth="1"/>
    <col min="14852" max="14852" width="16.42578125" customWidth="1"/>
    <col min="14853" max="14853" width="26.28515625" customWidth="1"/>
    <col min="14854" max="14854" width="12.7109375" customWidth="1"/>
    <col min="14856" max="14856" width="10.140625" bestFit="1" customWidth="1"/>
    <col min="14857" max="14857" width="12.28515625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7.85546875" customWidth="1"/>
    <col min="15108" max="15108" width="16.42578125" customWidth="1"/>
    <col min="15109" max="15109" width="26.28515625" customWidth="1"/>
    <col min="15110" max="15110" width="12.7109375" customWidth="1"/>
    <col min="15112" max="15112" width="10.140625" bestFit="1" customWidth="1"/>
    <col min="15113" max="15113" width="12.28515625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7.85546875" customWidth="1"/>
    <col min="15364" max="15364" width="16.42578125" customWidth="1"/>
    <col min="15365" max="15365" width="26.28515625" customWidth="1"/>
    <col min="15366" max="15366" width="12.7109375" customWidth="1"/>
    <col min="15368" max="15368" width="10.140625" bestFit="1" customWidth="1"/>
    <col min="15369" max="15369" width="12.28515625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7.85546875" customWidth="1"/>
    <col min="15620" max="15620" width="16.42578125" customWidth="1"/>
    <col min="15621" max="15621" width="26.28515625" customWidth="1"/>
    <col min="15622" max="15622" width="12.7109375" customWidth="1"/>
    <col min="15624" max="15624" width="10.140625" bestFit="1" customWidth="1"/>
    <col min="15625" max="15625" width="12.28515625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7.85546875" customWidth="1"/>
    <col min="15876" max="15876" width="16.42578125" customWidth="1"/>
    <col min="15877" max="15877" width="26.28515625" customWidth="1"/>
    <col min="15878" max="15878" width="12.7109375" customWidth="1"/>
    <col min="15880" max="15880" width="10.140625" bestFit="1" customWidth="1"/>
    <col min="15881" max="15881" width="12.28515625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7.85546875" customWidth="1"/>
    <col min="16132" max="16132" width="16.42578125" customWidth="1"/>
    <col min="16133" max="16133" width="26.28515625" customWidth="1"/>
    <col min="16134" max="16134" width="12.7109375" customWidth="1"/>
    <col min="16136" max="16136" width="10.140625" bestFit="1" customWidth="1"/>
    <col min="16137" max="16137" width="12.28515625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13" x14ac:dyDescent="0.25">
      <c r="A2" s="125" t="s">
        <v>139</v>
      </c>
      <c r="B2" s="126"/>
      <c r="C2" s="126"/>
      <c r="D2" s="126"/>
    </row>
    <row r="3" spans="1:13" x14ac:dyDescent="0.25">
      <c r="A3" s="125"/>
      <c r="B3" s="126"/>
      <c r="C3" s="126"/>
      <c r="D3" s="126"/>
    </row>
    <row r="4" spans="1:13" ht="15.75" thickBot="1" x14ac:dyDescent="0.3">
      <c r="A4" s="128" t="s">
        <v>73</v>
      </c>
      <c r="B4" s="129"/>
      <c r="C4" s="129"/>
      <c r="D4" s="129"/>
    </row>
    <row r="5" spans="1:13" ht="40.5" customHeight="1" thickBot="1" x14ac:dyDescent="0.3">
      <c r="A5" s="130" t="s">
        <v>0</v>
      </c>
      <c r="B5" s="131"/>
      <c r="C5" s="132" t="s">
        <v>74</v>
      </c>
      <c r="D5" s="133" t="s">
        <v>1</v>
      </c>
    </row>
    <row r="6" spans="1:13" x14ac:dyDescent="0.25">
      <c r="A6" s="134" t="s">
        <v>75</v>
      </c>
      <c r="B6" s="135"/>
      <c r="C6" s="135">
        <v>2093.3000000000002</v>
      </c>
      <c r="D6" s="136">
        <v>75</v>
      </c>
      <c r="M6">
        <v>138315.1</v>
      </c>
    </row>
    <row r="7" spans="1:13" x14ac:dyDescent="0.25">
      <c r="A7" s="137" t="s">
        <v>76</v>
      </c>
      <c r="B7" s="138"/>
      <c r="C7" s="138"/>
      <c r="D7" s="139"/>
    </row>
    <row r="8" spans="1:13" ht="15.75" thickBot="1" x14ac:dyDescent="0.3">
      <c r="A8" s="140" t="s">
        <v>77</v>
      </c>
      <c r="B8" s="141"/>
      <c r="C8" s="141">
        <f>C6+C7</f>
        <v>2093.3000000000002</v>
      </c>
      <c r="D8" s="142">
        <f>D6</f>
        <v>75</v>
      </c>
      <c r="L8" t="s">
        <v>78</v>
      </c>
    </row>
    <row r="9" spans="1:13" ht="15.75" thickBot="1" x14ac:dyDescent="0.3">
      <c r="A9" s="143"/>
      <c r="B9" s="144"/>
      <c r="C9" s="144"/>
      <c r="D9" s="145"/>
      <c r="L9" t="s">
        <v>79</v>
      </c>
      <c r="M9">
        <v>27457.91</v>
      </c>
    </row>
    <row r="10" spans="1:13" ht="15.75" thickBot="1" x14ac:dyDescent="0.3">
      <c r="A10" s="146" t="s">
        <v>141</v>
      </c>
      <c r="B10" s="147"/>
      <c r="C10" s="147"/>
      <c r="D10" s="148" t="s">
        <v>80</v>
      </c>
      <c r="L10" t="s">
        <v>81</v>
      </c>
      <c r="M10">
        <f>10800+1260</f>
        <v>12060</v>
      </c>
    </row>
    <row r="11" spans="1:13" x14ac:dyDescent="0.25">
      <c r="A11" s="149" t="s">
        <v>82</v>
      </c>
      <c r="B11" s="150"/>
      <c r="C11" s="150"/>
      <c r="D11" s="151">
        <f>D12+D13+D14+D15+D18</f>
        <v>13.46</v>
      </c>
      <c r="E11" s="127">
        <v>11.37</v>
      </c>
      <c r="L11" t="s">
        <v>83</v>
      </c>
      <c r="M11">
        <v>5653.46</v>
      </c>
    </row>
    <row r="12" spans="1:13" x14ac:dyDescent="0.25">
      <c r="A12" s="152" t="s">
        <v>84</v>
      </c>
      <c r="B12" s="144"/>
      <c r="C12" s="144"/>
      <c r="D12" s="153">
        <v>3.85</v>
      </c>
      <c r="E12" s="127">
        <v>1.85</v>
      </c>
      <c r="L12" t="s">
        <v>85</v>
      </c>
      <c r="M12">
        <v>10760.12</v>
      </c>
    </row>
    <row r="13" spans="1:13" x14ac:dyDescent="0.25">
      <c r="A13" s="152" t="s">
        <v>86</v>
      </c>
      <c r="B13" s="144"/>
      <c r="C13" s="144"/>
      <c r="D13" s="153">
        <v>1.31</v>
      </c>
      <c r="E13" s="127">
        <v>1.29</v>
      </c>
    </row>
    <row r="14" spans="1:13" x14ac:dyDescent="0.25">
      <c r="A14" s="152" t="s">
        <v>87</v>
      </c>
      <c r="B14" s="144"/>
      <c r="C14" s="144"/>
      <c r="D14" s="153">
        <v>1.57</v>
      </c>
      <c r="E14" s="127">
        <v>1.56</v>
      </c>
    </row>
    <row r="15" spans="1:13" x14ac:dyDescent="0.25">
      <c r="A15" s="152" t="s">
        <v>88</v>
      </c>
      <c r="B15" s="144"/>
      <c r="C15" s="144"/>
      <c r="D15" s="153">
        <f>8.3-1.57-0.48</f>
        <v>6.25</v>
      </c>
      <c r="E15" s="127">
        <v>6.67</v>
      </c>
    </row>
    <row r="16" spans="1:13" ht="15.75" thickBot="1" x14ac:dyDescent="0.3">
      <c r="A16" s="154" t="s">
        <v>140</v>
      </c>
      <c r="B16" s="155"/>
      <c r="C16" s="155"/>
      <c r="D16" s="156"/>
      <c r="L16" t="s">
        <v>89</v>
      </c>
      <c r="M16">
        <v>15569.24</v>
      </c>
    </row>
    <row r="17" spans="1:22" ht="15.75" hidden="1" thickBot="1" x14ac:dyDescent="0.3">
      <c r="A17" s="154" t="s">
        <v>90</v>
      </c>
      <c r="B17" s="157"/>
      <c r="C17" s="157"/>
      <c r="D17" s="156">
        <v>0</v>
      </c>
      <c r="L17" t="s">
        <v>91</v>
      </c>
      <c r="M17">
        <v>94783.32</v>
      </c>
      <c r="O17" s="158"/>
      <c r="P17" s="158"/>
      <c r="Q17" s="158"/>
      <c r="R17" s="158"/>
      <c r="S17" s="158"/>
      <c r="T17" s="158"/>
      <c r="U17" s="158"/>
      <c r="V17" s="158"/>
    </row>
    <row r="18" spans="1:22" ht="15.75" thickBot="1" x14ac:dyDescent="0.3">
      <c r="A18" s="231" t="s">
        <v>142</v>
      </c>
      <c r="B18" s="232"/>
      <c r="C18" s="232"/>
      <c r="D18" s="233">
        <v>0.48</v>
      </c>
      <c r="E18" s="127">
        <v>0.34</v>
      </c>
      <c r="L18" t="s">
        <v>92</v>
      </c>
      <c r="M18">
        <v>3319.44</v>
      </c>
      <c r="O18" s="158"/>
      <c r="P18" s="158"/>
      <c r="Q18" s="158"/>
      <c r="R18" s="158"/>
      <c r="S18" s="158"/>
      <c r="T18" s="158"/>
      <c r="U18" s="158"/>
      <c r="V18" s="158"/>
    </row>
    <row r="19" spans="1:22" x14ac:dyDescent="0.25">
      <c r="A19" s="160"/>
      <c r="B19" s="161"/>
      <c r="C19" s="162"/>
      <c r="D19" s="162"/>
      <c r="E19" s="162"/>
      <c r="F19" s="127"/>
      <c r="J19" t="s">
        <v>93</v>
      </c>
      <c r="K19" s="127" t="e">
        <f>#REF!</f>
        <v>#REF!</v>
      </c>
      <c r="L19" t="e">
        <f>#REF!*0.9177</f>
        <v>#REF!</v>
      </c>
      <c r="M19" s="158"/>
      <c r="N19" s="158"/>
      <c r="O19" s="158"/>
      <c r="P19" s="158"/>
      <c r="Q19" s="158"/>
      <c r="R19" s="158"/>
      <c r="S19" s="158"/>
      <c r="T19" s="158"/>
      <c r="U19" s="158"/>
      <c r="V19" s="158"/>
    </row>
    <row r="20" spans="1:22" ht="15.75" thickBot="1" x14ac:dyDescent="0.3">
      <c r="A20" s="163" t="s">
        <v>94</v>
      </c>
      <c r="B20" s="164"/>
      <c r="C20" s="162"/>
      <c r="D20" s="162"/>
      <c r="E20" s="162"/>
      <c r="F20" s="127"/>
    </row>
    <row r="21" spans="1:22" ht="15.75" thickBot="1" x14ac:dyDescent="0.3">
      <c r="A21" s="165" t="s">
        <v>95</v>
      </c>
      <c r="B21" s="166" t="s">
        <v>96</v>
      </c>
      <c r="C21" s="167" t="s">
        <v>97</v>
      </c>
      <c r="D21" s="167" t="s">
        <v>98</v>
      </c>
      <c r="E21" s="168" t="s">
        <v>99</v>
      </c>
      <c r="F21" s="127"/>
      <c r="J21" t="s">
        <v>100</v>
      </c>
      <c r="K21" t="e">
        <f>100-K19</f>
        <v>#REF!</v>
      </c>
      <c r="L21" t="e">
        <f>#REF!*0.0823</f>
        <v>#REF!</v>
      </c>
    </row>
    <row r="22" spans="1:22" x14ac:dyDescent="0.25">
      <c r="A22" s="169"/>
      <c r="B22" s="170"/>
      <c r="C22" s="171"/>
      <c r="D22" s="171"/>
      <c r="E22" s="172"/>
      <c r="F22" s="127"/>
    </row>
    <row r="23" spans="1:22" ht="15.75" thickBot="1" x14ac:dyDescent="0.3">
      <c r="A23" s="173" t="s">
        <v>101</v>
      </c>
      <c r="B23" s="174">
        <f>B24+B25+B26</f>
        <v>329319.92</v>
      </c>
      <c r="C23" s="174">
        <f>C24+C25+C26</f>
        <v>0</v>
      </c>
      <c r="D23" s="175">
        <f>B23-C23</f>
        <v>329319.92</v>
      </c>
      <c r="E23" s="176"/>
      <c r="F23" s="127"/>
    </row>
    <row r="24" spans="1:22" ht="42.75" customHeight="1" thickBot="1" x14ac:dyDescent="0.3">
      <c r="A24" s="177" t="s">
        <v>102</v>
      </c>
      <c r="B24" s="178">
        <f>319313.98-B26</f>
        <v>319313.98</v>
      </c>
      <c r="C24" s="179"/>
      <c r="D24" s="175">
        <f>B24-C24</f>
        <v>319313.98</v>
      </c>
      <c r="E24" s="180"/>
      <c r="F24" s="127"/>
      <c r="H24" s="262">
        <v>2012</v>
      </c>
      <c r="I24" s="263"/>
    </row>
    <row r="25" spans="1:22" x14ac:dyDescent="0.25">
      <c r="A25" s="177" t="s">
        <v>103</v>
      </c>
      <c r="B25" s="178">
        <v>10005.94</v>
      </c>
      <c r="C25" s="179"/>
      <c r="D25" s="175">
        <f>B25-C25</f>
        <v>10005.94</v>
      </c>
      <c r="E25" s="176"/>
      <c r="F25" s="127"/>
      <c r="G25" s="181"/>
      <c r="H25" s="182"/>
      <c r="I25" s="234"/>
      <c r="J25" s="181"/>
    </row>
    <row r="26" spans="1:22" x14ac:dyDescent="0.25">
      <c r="A26" s="177" t="s">
        <v>104</v>
      </c>
      <c r="B26" s="178"/>
      <c r="C26" s="179"/>
      <c r="D26" s="175">
        <f>B26-C26</f>
        <v>0</v>
      </c>
      <c r="E26" s="176"/>
      <c r="F26" s="127"/>
      <c r="G26" s="183"/>
      <c r="H26" s="184" t="s">
        <v>105</v>
      </c>
      <c r="I26" s="235">
        <v>5228898.0599999996</v>
      </c>
      <c r="J26" s="185">
        <f>I26/I32*C8</f>
        <v>91203.516446342823</v>
      </c>
    </row>
    <row r="27" spans="1:22" x14ac:dyDescent="0.25">
      <c r="A27" s="173" t="s">
        <v>106</v>
      </c>
      <c r="B27" s="186">
        <f>B28+B37+B38</f>
        <v>127671.06</v>
      </c>
      <c r="C27" s="186">
        <f>C28+C37+C38</f>
        <v>26861.626</v>
      </c>
      <c r="D27" s="186">
        <f>D28+D37+D38</f>
        <v>100809.43400000001</v>
      </c>
      <c r="E27" s="176"/>
      <c r="F27" s="127"/>
      <c r="G27" s="183"/>
      <c r="H27" s="184" t="s">
        <v>107</v>
      </c>
      <c r="I27" s="235">
        <v>1017312.51</v>
      </c>
      <c r="J27" s="185">
        <f>I27/I32*C8</f>
        <v>17744.174235604682</v>
      </c>
    </row>
    <row r="28" spans="1:22" x14ac:dyDescent="0.25">
      <c r="A28" s="173" t="s">
        <v>108</v>
      </c>
      <c r="B28" s="186">
        <f>B29+B30+B31+B33+B34+B35+B32+B36</f>
        <v>127671.06</v>
      </c>
      <c r="C28" s="186">
        <f>C29+C30+C31+C32+C33+C34+C35+C36</f>
        <v>7535.88</v>
      </c>
      <c r="D28" s="175">
        <f>B28-C28</f>
        <v>120135.18</v>
      </c>
      <c r="E28" s="176"/>
      <c r="F28" s="127"/>
      <c r="G28" s="183"/>
      <c r="H28" s="184" t="s">
        <v>109</v>
      </c>
      <c r="I28" s="235"/>
      <c r="J28" s="185">
        <f>I28/I32*C8</f>
        <v>0</v>
      </c>
    </row>
    <row r="29" spans="1:22" x14ac:dyDescent="0.25">
      <c r="A29" s="177" t="s">
        <v>110</v>
      </c>
      <c r="B29" s="178"/>
      <c r="C29" s="178"/>
      <c r="D29" s="179">
        <f>B29-C29</f>
        <v>0</v>
      </c>
      <c r="E29" s="176"/>
      <c r="F29" s="127"/>
      <c r="G29" s="183"/>
      <c r="H29" s="184" t="s">
        <v>32</v>
      </c>
      <c r="I29" s="235">
        <v>206457.71</v>
      </c>
      <c r="J29" s="185">
        <f>I29/I32*C8</f>
        <v>3601.0778816864672</v>
      </c>
    </row>
    <row r="30" spans="1:22" x14ac:dyDescent="0.25">
      <c r="A30" s="177" t="s">
        <v>111</v>
      </c>
      <c r="B30" s="178"/>
      <c r="C30" s="178">
        <f>0.3*C8*12</f>
        <v>7535.88</v>
      </c>
      <c r="D30" s="179">
        <f t="shared" ref="D30:D38" si="0">B30-C30</f>
        <v>-7535.88</v>
      </c>
      <c r="E30" s="187"/>
      <c r="G30" s="183"/>
      <c r="H30" s="188" t="s">
        <v>112</v>
      </c>
      <c r="I30" s="235">
        <v>35134.480000000003</v>
      </c>
      <c r="J30" s="185">
        <f>I30/I32*C8</f>
        <v>612.82283336648243</v>
      </c>
    </row>
    <row r="31" spans="1:22" x14ac:dyDescent="0.25">
      <c r="A31" s="177" t="s">
        <v>113</v>
      </c>
      <c r="B31" s="178"/>
      <c r="C31" s="179"/>
      <c r="D31" s="179">
        <f t="shared" si="0"/>
        <v>0</v>
      </c>
      <c r="E31" s="187"/>
      <c r="G31" s="183"/>
      <c r="H31" s="188" t="s">
        <v>114</v>
      </c>
      <c r="I31" s="235">
        <f>7038875.3-I30</f>
        <v>7003740.8199999994</v>
      </c>
      <c r="J31" s="185">
        <f>I31/I32*C8</f>
        <v>122160.68925673272</v>
      </c>
    </row>
    <row r="32" spans="1:22" x14ac:dyDescent="0.25">
      <c r="A32" s="177" t="s">
        <v>115</v>
      </c>
      <c r="B32" s="178"/>
      <c r="C32" s="179"/>
      <c r="D32" s="179">
        <f t="shared" si="0"/>
        <v>0</v>
      </c>
      <c r="E32" s="187"/>
      <c r="G32" s="183"/>
      <c r="H32" s="189" t="s">
        <v>116</v>
      </c>
      <c r="I32" s="235">
        <v>120013.49</v>
      </c>
      <c r="J32" s="185"/>
    </row>
    <row r="33" spans="1:12" ht="15.75" thickBot="1" x14ac:dyDescent="0.3">
      <c r="A33" s="190" t="s">
        <v>117</v>
      </c>
      <c r="B33" s="179"/>
      <c r="C33" s="179">
        <v>0</v>
      </c>
      <c r="D33" s="179">
        <f t="shared" si="0"/>
        <v>0</v>
      </c>
      <c r="E33" s="187"/>
      <c r="G33" s="183"/>
      <c r="H33" s="191"/>
      <c r="I33" s="192">
        <f>I30*0.6559</f>
        <v>23044.705432000002</v>
      </c>
      <c r="J33" s="193"/>
      <c r="K33" s="125"/>
      <c r="L33" s="125"/>
    </row>
    <row r="34" spans="1:12" x14ac:dyDescent="0.25">
      <c r="A34" s="177" t="s">
        <v>118</v>
      </c>
      <c r="B34" s="179">
        <f>101189.23+26481.83</f>
        <v>127671.06</v>
      </c>
      <c r="C34" s="179"/>
      <c r="D34" s="179">
        <f t="shared" si="0"/>
        <v>127671.06</v>
      </c>
      <c r="E34" s="187"/>
      <c r="G34" s="194"/>
      <c r="H34" s="195"/>
      <c r="I34" s="196"/>
      <c r="J34" s="125"/>
      <c r="K34" s="125"/>
      <c r="L34" s="125"/>
    </row>
    <row r="35" spans="1:12" x14ac:dyDescent="0.25">
      <c r="A35" s="177" t="s">
        <v>119</v>
      </c>
      <c r="B35" s="179"/>
      <c r="C35" s="179"/>
      <c r="D35" s="179">
        <f t="shared" si="0"/>
        <v>0</v>
      </c>
      <c r="E35" s="187"/>
    </row>
    <row r="36" spans="1:12" x14ac:dyDescent="0.25">
      <c r="A36" s="177" t="s">
        <v>120</v>
      </c>
      <c r="B36" s="179"/>
      <c r="C36" s="179"/>
      <c r="D36" s="179">
        <f t="shared" si="0"/>
        <v>0</v>
      </c>
      <c r="E36" s="187"/>
      <c r="H36" t="s">
        <v>121</v>
      </c>
    </row>
    <row r="37" spans="1:12" x14ac:dyDescent="0.25">
      <c r="A37" s="173" t="s">
        <v>122</v>
      </c>
      <c r="B37" s="179"/>
      <c r="C37" s="179">
        <f>0.34*6*C8+D18*6*C8</f>
        <v>10299.036</v>
      </c>
      <c r="D37" s="179">
        <f t="shared" si="0"/>
        <v>-10299.036</v>
      </c>
      <c r="E37" s="187"/>
      <c r="H37" s="127">
        <f>B28+B38</f>
        <v>127671.06</v>
      </c>
      <c r="I37">
        <v>100</v>
      </c>
    </row>
    <row r="38" spans="1:12" x14ac:dyDescent="0.25">
      <c r="A38" s="173" t="s">
        <v>123</v>
      </c>
      <c r="B38" s="179">
        <f>B39</f>
        <v>0</v>
      </c>
      <c r="C38" s="179">
        <f>C26/1.2526/1.05+9026.71</f>
        <v>9026.7099999999991</v>
      </c>
      <c r="D38" s="179">
        <f t="shared" si="0"/>
        <v>-9026.7099999999991</v>
      </c>
      <c r="E38" s="187"/>
      <c r="H38">
        <v>315941.96000000002</v>
      </c>
      <c r="I38" s="197">
        <f>H38*I37/H37</f>
        <v>247.46560418625808</v>
      </c>
      <c r="J38" s="197">
        <f>J31*0.9737</f>
        <v>118947.86312928065</v>
      </c>
    </row>
    <row r="39" spans="1:12" ht="15.75" thickBot="1" x14ac:dyDescent="0.3">
      <c r="A39" s="198" t="s">
        <v>124</v>
      </c>
      <c r="B39" s="199"/>
      <c r="C39" s="199">
        <v>9026.7099999999991</v>
      </c>
      <c r="D39" s="199"/>
      <c r="E39" s="200"/>
      <c r="H39" s="127">
        <f>B38</f>
        <v>0</v>
      </c>
      <c r="I39" s="197">
        <f>I37-I38</f>
        <v>-147.46560418625808</v>
      </c>
      <c r="J39" s="197">
        <f>J31-J38</f>
        <v>3212.8261274520628</v>
      </c>
    </row>
    <row r="40" spans="1:12" ht="15.75" thickBot="1" x14ac:dyDescent="0.3">
      <c r="A40" s="201" t="s">
        <v>125</v>
      </c>
      <c r="B40" s="202">
        <f>B23-B27</f>
        <v>201648.86</v>
      </c>
      <c r="C40" s="202">
        <f>C23-C27</f>
        <v>-26861.626</v>
      </c>
      <c r="D40" s="202">
        <f>D23-D27</f>
        <v>228510.48599999998</v>
      </c>
      <c r="E40" s="203"/>
    </row>
    <row r="41" spans="1:12" x14ac:dyDescent="0.25">
      <c r="A41" s="204" t="s">
        <v>126</v>
      </c>
      <c r="B41" s="205">
        <f>B24-B28</f>
        <v>191642.91999999998</v>
      </c>
      <c r="C41" s="205">
        <f>C24-C28</f>
        <v>-7535.88</v>
      </c>
      <c r="D41" s="206"/>
      <c r="E41" s="207"/>
      <c r="F41" s="197"/>
      <c r="G41" s="127"/>
    </row>
    <row r="42" spans="1:12" x14ac:dyDescent="0.25">
      <c r="A42" s="173" t="s">
        <v>127</v>
      </c>
      <c r="B42" s="179">
        <f>B25-B37</f>
        <v>10005.94</v>
      </c>
      <c r="C42" s="179">
        <f>C25-C37</f>
        <v>-10299.036</v>
      </c>
      <c r="D42" s="179"/>
      <c r="E42" s="187"/>
    </row>
    <row r="43" spans="1:12" ht="15.75" thickBot="1" x14ac:dyDescent="0.3">
      <c r="A43" s="173" t="s">
        <v>128</v>
      </c>
      <c r="B43" s="175">
        <f>B26-B38</f>
        <v>0</v>
      </c>
      <c r="C43" s="175">
        <f>C26-C38</f>
        <v>-9026.7099999999991</v>
      </c>
      <c r="D43" s="179"/>
      <c r="E43" s="176"/>
      <c r="F43" s="127"/>
    </row>
    <row r="44" spans="1:12" ht="15.75" thickBot="1" x14ac:dyDescent="0.3">
      <c r="A44" s="201" t="s">
        <v>129</v>
      </c>
      <c r="B44" s="202"/>
      <c r="C44" s="208"/>
      <c r="D44" s="208"/>
      <c r="E44" s="209"/>
      <c r="F44" s="127"/>
    </row>
    <row r="45" spans="1:12" x14ac:dyDescent="0.25">
      <c r="A45" s="210" t="s">
        <v>130</v>
      </c>
      <c r="B45" s="211">
        <f>B41/B28</f>
        <v>1.5010678222613645</v>
      </c>
      <c r="C45" s="211">
        <f>C41/C28</f>
        <v>-1</v>
      </c>
      <c r="D45" s="212"/>
      <c r="E45" s="213"/>
      <c r="F45" s="127"/>
    </row>
    <row r="46" spans="1:12" x14ac:dyDescent="0.25">
      <c r="A46" s="173" t="s">
        <v>131</v>
      </c>
      <c r="B46" s="214" t="e">
        <f>B42/B37</f>
        <v>#DIV/0!</v>
      </c>
      <c r="C46" s="214">
        <f>C42/C37</f>
        <v>-1</v>
      </c>
      <c r="D46" s="179"/>
      <c r="E46" s="175"/>
      <c r="F46" s="127"/>
    </row>
    <row r="47" spans="1:12" ht="15.75" thickBot="1" x14ac:dyDescent="0.3">
      <c r="A47" s="215" t="s">
        <v>132</v>
      </c>
      <c r="B47" s="214" t="e">
        <f>B43/B38</f>
        <v>#DIV/0!</v>
      </c>
      <c r="C47" s="214">
        <f>C43/C38</f>
        <v>-1</v>
      </c>
      <c r="D47" s="179"/>
      <c r="E47" s="175"/>
      <c r="F47" s="127"/>
    </row>
    <row r="48" spans="1:12" ht="15.75" thickBot="1" x14ac:dyDescent="0.3">
      <c r="A48" s="201" t="s">
        <v>133</v>
      </c>
      <c r="B48" s="216"/>
      <c r="C48" s="202"/>
      <c r="D48" s="202"/>
      <c r="E48" s="209"/>
      <c r="F48" s="127"/>
      <c r="I48" s="217"/>
      <c r="J48" s="217"/>
      <c r="K48" s="217"/>
      <c r="L48" s="218" t="s">
        <v>41</v>
      </c>
    </row>
    <row r="49" spans="1:12" x14ac:dyDescent="0.25">
      <c r="A49" s="204" t="s">
        <v>134</v>
      </c>
      <c r="B49" s="135">
        <f>B28/C6/12</f>
        <v>5.0825275880189169</v>
      </c>
      <c r="C49" s="135">
        <f>(C28+C41)/C8/12</f>
        <v>0</v>
      </c>
      <c r="D49" s="205"/>
      <c r="E49" s="219"/>
      <c r="F49" s="127"/>
      <c r="I49" s="217"/>
      <c r="J49" s="217"/>
      <c r="K49" s="217"/>
      <c r="L49" s="217"/>
    </row>
    <row r="50" spans="1:12" x14ac:dyDescent="0.25">
      <c r="A50" s="173" t="s">
        <v>135</v>
      </c>
      <c r="B50" s="138">
        <f>B37/C8/12</f>
        <v>0</v>
      </c>
      <c r="C50" s="175">
        <f>(C37+C42)/C8/12</f>
        <v>0</v>
      </c>
      <c r="D50" s="175"/>
      <c r="E50" s="176"/>
      <c r="F50" s="127"/>
      <c r="I50" s="218"/>
      <c r="J50" s="218"/>
      <c r="K50" s="218"/>
      <c r="L50" s="218"/>
    </row>
    <row r="51" spans="1:12" ht="15.75" thickBot="1" x14ac:dyDescent="0.3">
      <c r="A51" s="220" t="s">
        <v>136</v>
      </c>
      <c r="B51" s="141">
        <f>(B38)/C8/12</f>
        <v>0</v>
      </c>
      <c r="C51" s="221">
        <f>(C38+C43)/C8/12</f>
        <v>0</v>
      </c>
      <c r="D51" s="221"/>
      <c r="E51" s="222"/>
      <c r="F51" s="127"/>
      <c r="I51" s="218"/>
      <c r="J51" s="218"/>
      <c r="K51" s="218"/>
      <c r="L51" s="218"/>
    </row>
    <row r="52" spans="1:12" x14ac:dyDescent="0.25">
      <c r="A52" s="223"/>
      <c r="B52" s="224"/>
      <c r="C52" s="162"/>
      <c r="D52" s="162"/>
      <c r="E52" s="162"/>
      <c r="F52" s="127"/>
      <c r="I52" s="218"/>
      <c r="J52" s="218"/>
      <c r="K52" s="218"/>
      <c r="L52" s="218"/>
    </row>
    <row r="53" spans="1:12" x14ac:dyDescent="0.25">
      <c r="A53" s="223"/>
      <c r="B53" s="224">
        <f>B41/C8/12</f>
        <v>7.6292186181308601</v>
      </c>
      <c r="C53" s="162"/>
      <c r="D53" s="162"/>
      <c r="E53" s="162"/>
      <c r="F53" s="127"/>
      <c r="I53" s="218"/>
      <c r="J53" s="218"/>
      <c r="K53" s="218"/>
      <c r="L53" s="218"/>
    </row>
    <row r="54" spans="1:12" x14ac:dyDescent="0.25">
      <c r="A54" s="223"/>
      <c r="B54" s="224"/>
      <c r="C54" s="162"/>
      <c r="D54" s="162"/>
      <c r="E54" s="162"/>
      <c r="F54" s="127"/>
      <c r="I54" s="218"/>
      <c r="J54" s="218"/>
      <c r="K54" s="218"/>
      <c r="L54" s="218"/>
    </row>
    <row r="55" spans="1:12" x14ac:dyDescent="0.25">
      <c r="A55" s="223"/>
      <c r="B55" s="224"/>
      <c r="C55" s="162"/>
      <c r="D55" s="162"/>
      <c r="E55" s="162"/>
      <c r="F55" s="127"/>
      <c r="I55" s="218"/>
      <c r="J55" s="218"/>
      <c r="K55" s="218"/>
      <c r="L55" s="218"/>
    </row>
    <row r="56" spans="1:12" x14ac:dyDescent="0.25">
      <c r="A56" s="160"/>
      <c r="B56" s="126"/>
      <c r="C56" s="162"/>
      <c r="D56" s="162"/>
      <c r="E56" s="162"/>
      <c r="F56" s="127"/>
      <c r="I56" s="218"/>
      <c r="J56" s="218"/>
      <c r="K56" s="218"/>
      <c r="L56" s="218"/>
    </row>
    <row r="57" spans="1:12" x14ac:dyDescent="0.25">
      <c r="A57" s="160"/>
      <c r="B57" s="159"/>
      <c r="C57" s="225"/>
      <c r="D57" s="183"/>
      <c r="E57" s="194"/>
    </row>
    <row r="58" spans="1:12" x14ac:dyDescent="0.25">
      <c r="A58" s="143" t="s">
        <v>137</v>
      </c>
      <c r="B58" s="144"/>
      <c r="C58" s="226"/>
      <c r="D58" s="162" t="s">
        <v>138</v>
      </c>
      <c r="E58" s="162"/>
    </row>
    <row r="59" spans="1:12" x14ac:dyDescent="0.25">
      <c r="A59" s="143"/>
      <c r="B59" s="144"/>
      <c r="C59" s="226"/>
      <c r="D59" s="227"/>
      <c r="E59" s="162"/>
    </row>
    <row r="60" spans="1:12" x14ac:dyDescent="0.25">
      <c r="A60" s="158"/>
      <c r="B60" s="159"/>
      <c r="C60" s="225"/>
      <c r="D60" s="183"/>
      <c r="E60" s="194"/>
    </row>
    <row r="61" spans="1:12" x14ac:dyDescent="0.25">
      <c r="A61" s="158"/>
      <c r="B61" s="159"/>
      <c r="C61" s="225"/>
      <c r="D61" s="183"/>
      <c r="E61" s="194"/>
    </row>
    <row r="62" spans="1:12" x14ac:dyDescent="0.25">
      <c r="A62" s="228"/>
      <c r="B62" s="195"/>
      <c r="C62" s="225"/>
      <c r="D62" s="225"/>
      <c r="E62" s="194"/>
    </row>
    <row r="63" spans="1:12" x14ac:dyDescent="0.25">
      <c r="A63" s="228"/>
      <c r="B63" s="195"/>
      <c r="C63" s="225"/>
      <c r="D63" s="225"/>
      <c r="E63" s="194"/>
    </row>
    <row r="64" spans="1:12" x14ac:dyDescent="0.25">
      <c r="A64" s="228"/>
      <c r="B64" s="195"/>
      <c r="C64" s="225"/>
      <c r="D64" s="225"/>
      <c r="E64" s="194"/>
      <c r="F64" s="197"/>
    </row>
    <row r="65" spans="1:6" x14ac:dyDescent="0.25">
      <c r="A65" s="228"/>
      <c r="B65" s="195"/>
      <c r="C65" s="225"/>
      <c r="D65" s="225"/>
      <c r="E65" s="194"/>
    </row>
    <row r="66" spans="1:6" x14ac:dyDescent="0.25">
      <c r="A66" s="158"/>
      <c r="B66" s="159"/>
      <c r="C66" s="225"/>
      <c r="D66" s="225"/>
      <c r="E66" s="194"/>
    </row>
    <row r="67" spans="1:6" x14ac:dyDescent="0.25">
      <c r="A67" s="158"/>
      <c r="B67" s="159"/>
      <c r="C67" s="225"/>
      <c r="D67" s="225"/>
      <c r="E67" s="194"/>
    </row>
    <row r="68" spans="1:6" x14ac:dyDescent="0.25">
      <c r="A68" s="143"/>
      <c r="B68" s="144"/>
      <c r="C68" s="162"/>
      <c r="D68" s="162"/>
      <c r="E68" s="162"/>
      <c r="F68" s="127"/>
    </row>
    <row r="69" spans="1:6" x14ac:dyDescent="0.25">
      <c r="A69" s="143"/>
      <c r="B69" s="144"/>
      <c r="C69" s="162"/>
      <c r="D69" s="162"/>
      <c r="E69" s="194"/>
    </row>
    <row r="70" spans="1:6" x14ac:dyDescent="0.25">
      <c r="A70" s="143"/>
      <c r="B70" s="144"/>
      <c r="C70" s="162"/>
      <c r="D70" s="162"/>
      <c r="E70" s="162"/>
    </row>
    <row r="71" spans="1:6" x14ac:dyDescent="0.25">
      <c r="A71" s="158"/>
      <c r="B71" s="159"/>
      <c r="C71" s="194"/>
      <c r="D71" s="194"/>
      <c r="E71" s="194"/>
    </row>
    <row r="72" spans="1:6" hidden="1" x14ac:dyDescent="0.25">
      <c r="A72" s="158"/>
      <c r="B72" s="159"/>
      <c r="C72" s="194"/>
      <c r="D72" s="194"/>
      <c r="E72" s="194"/>
    </row>
    <row r="73" spans="1:6" hidden="1" x14ac:dyDescent="0.25">
      <c r="A73" s="229"/>
      <c r="B73" s="230"/>
      <c r="C73" s="194"/>
      <c r="D73" s="194"/>
      <c r="E73" s="194"/>
    </row>
    <row r="74" spans="1:6" hidden="1" x14ac:dyDescent="0.25">
      <c r="A74" s="229"/>
      <c r="B74" s="230"/>
      <c r="C74" s="194"/>
      <c r="D74" s="194"/>
      <c r="E74" s="194"/>
    </row>
    <row r="75" spans="1:6" x14ac:dyDescent="0.25">
      <c r="A75" s="158"/>
      <c r="B75" s="159"/>
      <c r="C75" s="194"/>
      <c r="D75" s="194"/>
      <c r="E75" s="194"/>
    </row>
    <row r="76" spans="1:6" x14ac:dyDescent="0.25">
      <c r="A76" s="158"/>
      <c r="B76" s="159"/>
      <c r="C76" s="194"/>
      <c r="D76" s="194"/>
      <c r="E76" s="194"/>
    </row>
    <row r="77" spans="1:6" x14ac:dyDescent="0.25">
      <c r="A77" s="143"/>
      <c r="B77" s="144"/>
      <c r="C77" s="162"/>
      <c r="D77" s="162"/>
      <c r="E77" s="162"/>
      <c r="F77" s="127"/>
    </row>
    <row r="78" spans="1:6" x14ac:dyDescent="0.25">
      <c r="A78" s="158"/>
      <c r="B78" s="159"/>
      <c r="C78" s="194"/>
      <c r="D78" s="194"/>
      <c r="E78" s="194"/>
      <c r="F78" s="127"/>
    </row>
    <row r="79" spans="1:6" x14ac:dyDescent="0.25">
      <c r="A79" s="158"/>
      <c r="B79" s="159"/>
      <c r="C79" s="194"/>
      <c r="D79" s="194"/>
      <c r="E79" s="194"/>
    </row>
    <row r="80" spans="1:6" x14ac:dyDescent="0.25">
      <c r="A80" s="158"/>
      <c r="B80" s="159"/>
      <c r="C80" s="159"/>
      <c r="D80" s="159"/>
      <c r="E80" s="159"/>
    </row>
    <row r="81" spans="1:5" x14ac:dyDescent="0.25">
      <c r="A81" s="158"/>
      <c r="B81" s="159"/>
      <c r="C81" s="159"/>
      <c r="D81" s="159"/>
      <c r="E81" s="159"/>
    </row>
    <row r="82" spans="1:5" x14ac:dyDescent="0.25">
      <c r="A82" s="158"/>
      <c r="B82" s="159"/>
      <c r="C82" s="159"/>
      <c r="D82" s="159"/>
      <c r="E82" s="159"/>
    </row>
  </sheetData>
  <mergeCells count="1">
    <mergeCell ref="H24:I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кедр</vt:lpstr>
      <vt:lpstr>ангара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Леонтьева</cp:lastModifiedBy>
  <cp:lastPrinted>2013-03-29T04:31:06Z</cp:lastPrinted>
  <dcterms:created xsi:type="dcterms:W3CDTF">2013-03-22T05:34:44Z</dcterms:created>
  <dcterms:modified xsi:type="dcterms:W3CDTF">2013-03-29T04:32:15Z</dcterms:modified>
</cp:coreProperties>
</file>