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3355" windowHeight="9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0" i="1" l="1"/>
  <c r="D54" i="1" l="1"/>
  <c r="D42" i="1"/>
  <c r="D61" i="1" l="1"/>
  <c r="B28" i="1" l="1"/>
  <c r="D32" i="1" l="1"/>
  <c r="B87" i="1" s="1"/>
  <c r="B89" i="1"/>
  <c r="B88" i="1"/>
  <c r="D60" i="1" l="1"/>
  <c r="D62" i="1" s="1"/>
  <c r="B79" i="1"/>
  <c r="D48" i="1" l="1"/>
  <c r="D36" i="1" l="1"/>
  <c r="D35" i="1"/>
  <c r="D34" i="1"/>
  <c r="D38" i="1"/>
  <c r="D51" i="1"/>
  <c r="D50" i="1"/>
  <c r="D43" i="1"/>
  <c r="C38" i="1" l="1"/>
  <c r="C36" i="1"/>
  <c r="C35" i="1"/>
  <c r="C34" i="1"/>
  <c r="C12" i="1" l="1"/>
  <c r="D12" i="1"/>
  <c r="B12" i="1"/>
  <c r="E26" i="1"/>
  <c r="D24" i="1"/>
  <c r="C24" i="1"/>
  <c r="B24" i="1"/>
  <c r="B20" i="1"/>
  <c r="D22" i="1"/>
  <c r="D21" i="1"/>
  <c r="D20" i="1"/>
  <c r="C20" i="1"/>
  <c r="D19" i="1"/>
  <c r="D16" i="1"/>
  <c r="D15" i="1"/>
  <c r="C6" i="1"/>
  <c r="D72" i="1" l="1"/>
  <c r="D74" i="1"/>
  <c r="D55" i="1"/>
  <c r="C55" i="1"/>
  <c r="D67" i="1"/>
  <c r="D68" i="1"/>
  <c r="B39" i="1"/>
  <c r="B36" i="1"/>
  <c r="D66" i="1"/>
  <c r="D73" i="1"/>
  <c r="D69" i="1"/>
  <c r="E23" i="1"/>
  <c r="E22" i="1"/>
  <c r="E21" i="1"/>
  <c r="E20" i="1"/>
  <c r="E19" i="1"/>
  <c r="D18" i="1"/>
  <c r="C18" i="1"/>
  <c r="C28" i="1" s="1"/>
  <c r="B18" i="1"/>
  <c r="E17" i="1"/>
  <c r="E16" i="1"/>
  <c r="E15" i="1"/>
  <c r="E14" i="1"/>
  <c r="E13" i="1"/>
  <c r="D28" i="1"/>
  <c r="C8" i="1"/>
  <c r="C51" i="1" s="1"/>
  <c r="B33" i="1" l="1"/>
  <c r="D70" i="1"/>
  <c r="E18" i="1"/>
  <c r="C39" i="1"/>
  <c r="E12" i="1"/>
  <c r="E28" i="1" s="1"/>
  <c r="E24" i="1"/>
  <c r="C48" i="1"/>
  <c r="C32" i="1" s="1"/>
  <c r="C60" i="1" s="1"/>
  <c r="D64" i="1" l="1"/>
</calcChain>
</file>

<file path=xl/sharedStrings.xml><?xml version="1.0" encoding="utf-8"?>
<sst xmlns="http://schemas.openxmlformats.org/spreadsheetml/2006/main" count="100" uniqueCount="89">
  <si>
    <t>1.Техническая характеристика</t>
  </si>
  <si>
    <t>Адрес</t>
  </si>
  <si>
    <t>кол-во проживающих чел.</t>
  </si>
  <si>
    <t>площадь, м2</t>
  </si>
  <si>
    <t>Итого</t>
  </si>
  <si>
    <t>2.Информация по начислению</t>
  </si>
  <si>
    <t>Статьи</t>
  </si>
  <si>
    <t>Оплачено собственниками , руб.</t>
  </si>
  <si>
    <t>1.Содержание общего имущества</t>
  </si>
  <si>
    <t>в том числе нежилые</t>
  </si>
  <si>
    <t>2.Текущий ремонт</t>
  </si>
  <si>
    <t xml:space="preserve">3.Аренда </t>
  </si>
  <si>
    <t>4.Домофоны</t>
  </si>
  <si>
    <t>5.Содержание приборов учета</t>
  </si>
  <si>
    <t>6.Коммунальные ,всего</t>
  </si>
  <si>
    <t>5.1.Отопление</t>
  </si>
  <si>
    <t>5.2.ГВС</t>
  </si>
  <si>
    <t>5.3.ХВС</t>
  </si>
  <si>
    <t>5.4.Стоки</t>
  </si>
  <si>
    <t xml:space="preserve">7.Электроэнергия </t>
  </si>
  <si>
    <t xml:space="preserve">Итого </t>
  </si>
  <si>
    <t>3.Расходы ТСЖ</t>
  </si>
  <si>
    <t xml:space="preserve">Наименование </t>
  </si>
  <si>
    <t>тариф</t>
  </si>
  <si>
    <t>Факт руб.</t>
  </si>
  <si>
    <t>руб/м2</t>
  </si>
  <si>
    <t>Управление</t>
  </si>
  <si>
    <t>Уборка лестничных клеток</t>
  </si>
  <si>
    <t xml:space="preserve">Техническое обслуживание </t>
  </si>
  <si>
    <t>Обслуживание шлакбаума</t>
  </si>
  <si>
    <t>Обслуживание лифта ООО УК "Ангара"</t>
  </si>
  <si>
    <t>Обслуживание лифта ООО "Контактор"</t>
  </si>
  <si>
    <t>Домофоны</t>
  </si>
  <si>
    <t>Налог на окружающую среду</t>
  </si>
  <si>
    <t>из прибыли ТСЖ</t>
  </si>
  <si>
    <t>Освещение мест общего пользования</t>
  </si>
  <si>
    <t>ТБО</t>
  </si>
  <si>
    <t xml:space="preserve">Расходы председателя </t>
  </si>
  <si>
    <t>Акты повторного допуска</t>
  </si>
  <si>
    <t>РКО</t>
  </si>
  <si>
    <t>Автоматическое регулирование приборов учета</t>
  </si>
  <si>
    <t>2.Обслуживание приборов учета</t>
  </si>
  <si>
    <t>3.Текущий ремонт общего имущества</t>
  </si>
  <si>
    <t>4.Капитальный ремонт</t>
  </si>
  <si>
    <t>5.Электроэнергия  (нежилые)</t>
  </si>
  <si>
    <t>6.Коммунальные услуги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</si>
  <si>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</si>
  <si>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</si>
  <si>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</si>
  <si>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</si>
  <si>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</si>
  <si>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</si>
  <si>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</si>
  <si>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</si>
  <si>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руб.</t>
  </si>
  <si>
    <t>Директор УК "Ангара"</t>
  </si>
  <si>
    <t>Отчет ФХД ТСЖ "ЛучЪ"  за 2012год</t>
  </si>
  <si>
    <t>Задолженность собственников на начало года, руб.</t>
  </si>
  <si>
    <t>Доходы ТСЖ, руб.</t>
  </si>
  <si>
    <t>Задолженность  собственников на отчетный период, руб.</t>
  </si>
  <si>
    <t>перерасчет за 2011г.</t>
  </si>
  <si>
    <t xml:space="preserve">Материалы </t>
  </si>
  <si>
    <t>примечание</t>
  </si>
  <si>
    <t>Марата, 26а нежилые</t>
  </si>
  <si>
    <t>Марата, 26а</t>
  </si>
  <si>
    <t>8. Пени</t>
  </si>
  <si>
    <t>ПЛАН, руб.</t>
  </si>
  <si>
    <t>Госпошлина, пени, штрафы</t>
  </si>
  <si>
    <t>Финансовый результат 2012года</t>
  </si>
  <si>
    <t>Финансовый результат  2011года</t>
  </si>
  <si>
    <t>Финансовый результат по ТСЖ за 2012год с учетом результата 2011 года.</t>
  </si>
  <si>
    <t>5. Коммунальные услуги</t>
  </si>
  <si>
    <t>4. Электроэнергия</t>
  </si>
  <si>
    <t>3. Обслуживание приборов учета</t>
  </si>
  <si>
    <t>2. Текущий ремонт общего имущества</t>
  </si>
  <si>
    <t>1. Содержание общего имущества</t>
  </si>
  <si>
    <t>6. Аренда</t>
  </si>
  <si>
    <t>7. Пени</t>
  </si>
  <si>
    <t>8. Налог</t>
  </si>
  <si>
    <t>1. Уборка снега с крыши домов и вывоз  его автотранспортом по ул Марата,26А</t>
  </si>
  <si>
    <t>Договор с МУП "Водоканал" не заключен, счета за весь 2012г. не выставлены</t>
  </si>
  <si>
    <t>Д.А. Днепровский</t>
  </si>
  <si>
    <t>руб./м2</t>
  </si>
  <si>
    <t>3.Содержание приборов учета</t>
  </si>
  <si>
    <t>4. Выполнение работ по текущему ремонту за период с  01.01.2012г.по 31.12.2012г.</t>
  </si>
  <si>
    <t>Комиссия, почтовые, нотариальные</t>
  </si>
  <si>
    <t>Клапан балансир., муфта чугунная, сгон, резьба</t>
  </si>
  <si>
    <t>*Примечание</t>
  </si>
  <si>
    <t>Повышение показателей по статье расходов "РКО" в сравнении с предыдущим отчетным периодом произошло в связи с повышением количества совершаемых банковских операций собственниками жилых помещений, арендаторов (Оплата за ЖКУ по безналичному расчету-услуги Сбербанка, система "Город" и пр.).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</si>
</sst>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4" fontId="1" fillId="0" borderId="6" xfId="0" applyNumberFormat="1" applyFont="1" applyBorder="1"/>
    <xf numFmtId="4" fontId="1" fillId="0" borderId="9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7" xfId="0" applyFont="1" applyBorder="1"/>
    <xf numFmtId="0" fontId="1" fillId="0" borderId="17" xfId="0" applyFont="1" applyBorder="1"/>
    <xf numFmtId="4" fontId="2" fillId="0" borderId="12" xfId="0" applyNumberFormat="1" applyFont="1" applyBorder="1"/>
    <xf numFmtId="4" fontId="1" fillId="0" borderId="8" xfId="0" applyNumberFormat="1" applyFont="1" applyBorder="1"/>
    <xf numFmtId="0" fontId="2" fillId="0" borderId="1" xfId="0" applyFont="1" applyBorder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4" fontId="2" fillId="0" borderId="5" xfId="0" applyNumberFormat="1" applyFont="1" applyBorder="1"/>
    <xf numFmtId="0" fontId="3" fillId="0" borderId="0" xfId="0" applyFont="1"/>
    <xf numFmtId="4" fontId="3" fillId="0" borderId="0" xfId="0" applyNumberFormat="1" applyFont="1"/>
    <xf numFmtId="0" fontId="2" fillId="0" borderId="7" xfId="0" applyFont="1" applyBorder="1"/>
    <xf numFmtId="4" fontId="2" fillId="0" borderId="8" xfId="0" applyNumberFormat="1" applyFont="1" applyBorder="1"/>
    <xf numFmtId="0" fontId="2" fillId="0" borderId="10" xfId="0" applyFont="1" applyBorder="1"/>
    <xf numFmtId="4" fontId="2" fillId="0" borderId="11" xfId="0" applyNumberFormat="1" applyFont="1" applyBorder="1"/>
    <xf numFmtId="0" fontId="2" fillId="0" borderId="13" xfId="0" applyFont="1" applyBorder="1"/>
    <xf numFmtId="4" fontId="2" fillId="0" borderId="0" xfId="0" applyNumberFormat="1" applyFont="1" applyBorder="1"/>
    <xf numFmtId="0" fontId="2" fillId="0" borderId="14" xfId="0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4" fillId="0" borderId="0" xfId="0" applyFont="1"/>
    <xf numFmtId="4" fontId="3" fillId="0" borderId="5" xfId="0" applyNumberFormat="1" applyFont="1" applyBorder="1"/>
    <xf numFmtId="4" fontId="3" fillId="0" borderId="6" xfId="0" applyNumberFormat="1" applyFont="1" applyBorder="1"/>
    <xf numFmtId="4" fontId="4" fillId="0" borderId="0" xfId="0" applyNumberFormat="1" applyFont="1"/>
    <xf numFmtId="4" fontId="3" fillId="0" borderId="8" xfId="0" applyNumberFormat="1" applyFont="1" applyBorder="1"/>
    <xf numFmtId="4" fontId="3" fillId="0" borderId="9" xfId="0" applyNumberFormat="1" applyFont="1" applyBorder="1"/>
    <xf numFmtId="4" fontId="3" fillId="0" borderId="8" xfId="0" applyNumberFormat="1" applyFont="1" applyFill="1" applyBorder="1"/>
    <xf numFmtId="4" fontId="2" fillId="0" borderId="8" xfId="0" applyNumberFormat="1" applyFont="1" applyFill="1" applyBorder="1"/>
    <xf numFmtId="4" fontId="2" fillId="0" borderId="9" xfId="0" applyNumberFormat="1" applyFont="1" applyBorder="1"/>
    <xf numFmtId="4" fontId="3" fillId="0" borderId="11" xfId="0" applyNumberFormat="1" applyFont="1" applyBorder="1"/>
    <xf numFmtId="4" fontId="3" fillId="0" borderId="11" xfId="0" applyNumberFormat="1" applyFont="1" applyFill="1" applyBorder="1"/>
    <xf numFmtId="4" fontId="3" fillId="0" borderId="18" xfId="0" applyNumberFormat="1" applyFont="1" applyBorder="1"/>
    <xf numFmtId="4" fontId="3" fillId="0" borderId="19" xfId="0" applyNumberFormat="1" applyFont="1" applyFill="1" applyBorder="1"/>
    <xf numFmtId="0" fontId="2" fillId="0" borderId="20" xfId="0" applyFont="1" applyFill="1" applyBorder="1"/>
    <xf numFmtId="4" fontId="2" fillId="0" borderId="21" xfId="0" applyNumberFormat="1" applyFont="1" applyBorder="1"/>
    <xf numFmtId="4" fontId="2" fillId="0" borderId="22" xfId="0" applyNumberFormat="1" applyFont="1" applyBorder="1"/>
    <xf numFmtId="4" fontId="2" fillId="0" borderId="23" xfId="0" applyNumberFormat="1" applyFont="1" applyBorder="1"/>
    <xf numFmtId="0" fontId="3" fillId="0" borderId="29" xfId="0" applyFont="1" applyBorder="1"/>
    <xf numFmtId="2" fontId="3" fillId="0" borderId="30" xfId="0" applyNumberFormat="1" applyFont="1" applyBorder="1" applyAlignment="1">
      <alignment horizontal="center"/>
    </xf>
    <xf numFmtId="4" fontId="3" fillId="0" borderId="30" xfId="0" applyNumberFormat="1" applyFont="1" applyFill="1" applyBorder="1"/>
    <xf numFmtId="0" fontId="3" fillId="0" borderId="31" xfId="0" applyFont="1" applyBorder="1"/>
    <xf numFmtId="0" fontId="3" fillId="0" borderId="32" xfId="0" applyFont="1" applyFill="1" applyBorder="1" applyAlignment="1">
      <alignment horizontal="center"/>
    </xf>
    <xf numFmtId="4" fontId="3" fillId="0" borderId="32" xfId="0" applyNumberFormat="1" applyFont="1" applyFill="1" applyBorder="1"/>
    <xf numFmtId="2" fontId="5" fillId="0" borderId="0" xfId="0" applyNumberFormat="1" applyFont="1"/>
    <xf numFmtId="0" fontId="5" fillId="0" borderId="0" xfId="0" applyFont="1"/>
    <xf numFmtId="2" fontId="3" fillId="0" borderId="32" xfId="0" applyNumberFormat="1" applyFont="1" applyFill="1" applyBorder="1" applyAlignment="1">
      <alignment horizontal="center"/>
    </xf>
    <xf numFmtId="0" fontId="3" fillId="0" borderId="32" xfId="0" applyFont="1" applyBorder="1"/>
    <xf numFmtId="0" fontId="3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4" fontId="2" fillId="0" borderId="32" xfId="0" applyNumberFormat="1" applyFont="1" applyFill="1" applyBorder="1"/>
    <xf numFmtId="0" fontId="2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4" fontId="3" fillId="0" borderId="34" xfId="0" applyNumberFormat="1" applyFont="1" applyFill="1" applyBorder="1"/>
    <xf numFmtId="0" fontId="2" fillId="0" borderId="35" xfId="0" applyFont="1" applyBorder="1"/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4" fontId="2" fillId="0" borderId="38" xfId="0" applyNumberFormat="1" applyFont="1" applyBorder="1" applyAlignment="1">
      <alignment horizontal="left"/>
    </xf>
    <xf numFmtId="4" fontId="2" fillId="0" borderId="39" xfId="0" applyNumberFormat="1" applyFont="1" applyBorder="1"/>
    <xf numFmtId="0" fontId="2" fillId="0" borderId="7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164" fontId="4" fillId="0" borderId="0" xfId="0" applyNumberFormat="1" applyFont="1"/>
    <xf numFmtId="0" fontId="2" fillId="0" borderId="28" xfId="0" applyFont="1" applyBorder="1"/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3" fillId="0" borderId="32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3" fillId="0" borderId="29" xfId="0" applyNumberFormat="1" applyFont="1" applyFill="1" applyBorder="1"/>
    <xf numFmtId="4" fontId="3" fillId="0" borderId="31" xfId="0" applyNumberFormat="1" applyFont="1" applyFill="1" applyBorder="1"/>
    <xf numFmtId="4" fontId="2" fillId="0" borderId="31" xfId="0" applyNumberFormat="1" applyFont="1" applyFill="1" applyBorder="1"/>
    <xf numFmtId="4" fontId="3" fillId="0" borderId="33" xfId="0" applyNumberFormat="1" applyFont="1" applyFill="1" applyBorder="1"/>
    <xf numFmtId="4" fontId="2" fillId="0" borderId="14" xfId="0" applyNumberFormat="1" applyFont="1" applyBorder="1"/>
    <xf numFmtId="4" fontId="2" fillId="0" borderId="44" xfId="0" applyNumberFormat="1" applyFont="1" applyBorder="1"/>
    <xf numFmtId="4" fontId="2" fillId="0" borderId="45" xfId="0" applyNumberFormat="1" applyFont="1" applyBorder="1"/>
    <xf numFmtId="4" fontId="2" fillId="0" borderId="46" xfId="0" applyNumberFormat="1" applyFont="1" applyBorder="1"/>
    <xf numFmtId="4" fontId="2" fillId="0" borderId="47" xfId="0" applyNumberFormat="1" applyFont="1" applyBorder="1"/>
    <xf numFmtId="4" fontId="3" fillId="0" borderId="44" xfId="0" applyNumberFormat="1" applyFont="1" applyBorder="1"/>
    <xf numFmtId="4" fontId="3" fillId="0" borderId="46" xfId="0" applyNumberFormat="1" applyFont="1" applyBorder="1"/>
    <xf numFmtId="4" fontId="3" fillId="0" borderId="47" xfId="0" applyNumberFormat="1" applyFont="1" applyBorder="1"/>
    <xf numFmtId="0" fontId="1" fillId="0" borderId="8" xfId="0" applyFont="1" applyBorder="1"/>
    <xf numFmtId="4" fontId="4" fillId="0" borderId="8" xfId="0" applyNumberFormat="1" applyFont="1" applyBorder="1"/>
    <xf numFmtId="0" fontId="4" fillId="0" borderId="8" xfId="0" applyFont="1" applyBorder="1"/>
    <xf numFmtId="2" fontId="4" fillId="0" borderId="8" xfId="0" applyNumberFormat="1" applyFont="1" applyBorder="1"/>
    <xf numFmtId="4" fontId="1" fillId="0" borderId="8" xfId="0" applyNumberFormat="1" applyFont="1" applyBorder="1" applyAlignment="1">
      <alignment horizontal="center"/>
    </xf>
    <xf numFmtId="0" fontId="1" fillId="0" borderId="38" xfId="0" applyFont="1" applyBorder="1"/>
    <xf numFmtId="4" fontId="6" fillId="2" borderId="28" xfId="0" applyNumberFormat="1" applyFont="1" applyFill="1" applyBorder="1" applyAlignment="1">
      <alignment horizontal="center"/>
    </xf>
    <xf numFmtId="0" fontId="6" fillId="0" borderId="10" xfId="0" applyFont="1" applyBorder="1"/>
    <xf numFmtId="4" fontId="6" fillId="0" borderId="12" xfId="0" applyNumberFormat="1" applyFont="1" applyBorder="1"/>
    <xf numFmtId="4" fontId="2" fillId="0" borderId="27" xfId="0" applyNumberFormat="1" applyFont="1" applyBorder="1"/>
    <xf numFmtId="0" fontId="2" fillId="2" borderId="24" xfId="0" applyFont="1" applyFill="1" applyBorder="1"/>
    <xf numFmtId="4" fontId="2" fillId="2" borderId="25" xfId="0" applyNumberFormat="1" applyFont="1" applyFill="1" applyBorder="1"/>
    <xf numFmtId="0" fontId="2" fillId="4" borderId="1" xfId="0" applyFont="1" applyFill="1" applyBorder="1"/>
    <xf numFmtId="0" fontId="2" fillId="4" borderId="27" xfId="0" applyFont="1" applyFill="1" applyBorder="1"/>
    <xf numFmtId="4" fontId="3" fillId="4" borderId="27" xfId="0" applyNumberFormat="1" applyFont="1" applyFill="1" applyBorder="1"/>
    <xf numFmtId="0" fontId="2" fillId="3" borderId="38" xfId="0" applyFont="1" applyFill="1" applyBorder="1" applyAlignment="1">
      <alignment wrapText="1"/>
    </xf>
    <xf numFmtId="4" fontId="2" fillId="3" borderId="38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Border="1"/>
    <xf numFmtId="4" fontId="8" fillId="0" borderId="0" xfId="0" applyNumberFormat="1" applyFont="1" applyFill="1" applyBorder="1"/>
    <xf numFmtId="4" fontId="3" fillId="3" borderId="31" xfId="0" applyNumberFormat="1" applyFont="1" applyFill="1" applyBorder="1"/>
    <xf numFmtId="0" fontId="3" fillId="2" borderId="49" xfId="0" applyFont="1" applyFill="1" applyBorder="1"/>
    <xf numFmtId="0" fontId="10" fillId="3" borderId="8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5" borderId="8" xfId="0" applyFont="1" applyFill="1" applyBorder="1"/>
    <xf numFmtId="4" fontId="2" fillId="5" borderId="8" xfId="0" applyNumberFormat="1" applyFont="1" applyFill="1" applyBorder="1"/>
    <xf numFmtId="0" fontId="1" fillId="5" borderId="8" xfId="0" applyFont="1" applyFill="1" applyBorder="1"/>
    <xf numFmtId="4" fontId="3" fillId="3" borderId="32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9" fillId="0" borderId="48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9"/>
  <sheetViews>
    <sheetView tabSelected="1" topLeftCell="A69" workbookViewId="0">
      <selection activeCell="A86" sqref="A86:E86"/>
    </sheetView>
  </sheetViews>
  <sheetFormatPr defaultRowHeight="15" x14ac:dyDescent="0.25"/>
  <cols>
    <col min="1" max="1" width="43" style="1" customWidth="1"/>
    <col min="2" max="2" width="16.7109375" style="4" customWidth="1"/>
    <col min="3" max="3" width="18.140625" style="4" customWidth="1"/>
    <col min="4" max="4" width="18.85546875" style="1" customWidth="1"/>
    <col min="5" max="5" width="23.85546875" style="1" customWidth="1"/>
    <col min="6" max="6" width="13.5703125" style="1" customWidth="1"/>
    <col min="7" max="7" width="9.140625" style="1"/>
    <col min="8" max="8" width="12.42578125" style="1" customWidth="1"/>
    <col min="9" max="256" width="9.140625" style="1"/>
    <col min="257" max="257" width="43" style="1" customWidth="1"/>
    <col min="258" max="258" width="14" style="1" customWidth="1"/>
    <col min="259" max="259" width="16.42578125" style="1" customWidth="1"/>
    <col min="260" max="260" width="15.7109375" style="1" customWidth="1"/>
    <col min="261" max="261" width="15.42578125" style="1" customWidth="1"/>
    <col min="262" max="262" width="13.5703125" style="1" customWidth="1"/>
    <col min="263" max="263" width="9.140625" style="1"/>
    <col min="264" max="264" width="12.42578125" style="1" customWidth="1"/>
    <col min="265" max="512" width="9.140625" style="1"/>
    <col min="513" max="513" width="43" style="1" customWidth="1"/>
    <col min="514" max="514" width="14" style="1" customWidth="1"/>
    <col min="515" max="515" width="16.42578125" style="1" customWidth="1"/>
    <col min="516" max="516" width="15.7109375" style="1" customWidth="1"/>
    <col min="517" max="517" width="15.42578125" style="1" customWidth="1"/>
    <col min="518" max="518" width="13.5703125" style="1" customWidth="1"/>
    <col min="519" max="519" width="9.140625" style="1"/>
    <col min="520" max="520" width="12.42578125" style="1" customWidth="1"/>
    <col min="521" max="768" width="9.140625" style="1"/>
    <col min="769" max="769" width="43" style="1" customWidth="1"/>
    <col min="770" max="770" width="14" style="1" customWidth="1"/>
    <col min="771" max="771" width="16.42578125" style="1" customWidth="1"/>
    <col min="772" max="772" width="15.7109375" style="1" customWidth="1"/>
    <col min="773" max="773" width="15.42578125" style="1" customWidth="1"/>
    <col min="774" max="774" width="13.5703125" style="1" customWidth="1"/>
    <col min="775" max="775" width="9.140625" style="1"/>
    <col min="776" max="776" width="12.42578125" style="1" customWidth="1"/>
    <col min="777" max="1024" width="9.140625" style="1"/>
    <col min="1025" max="1025" width="43" style="1" customWidth="1"/>
    <col min="1026" max="1026" width="14" style="1" customWidth="1"/>
    <col min="1027" max="1027" width="16.42578125" style="1" customWidth="1"/>
    <col min="1028" max="1028" width="15.7109375" style="1" customWidth="1"/>
    <col min="1029" max="1029" width="15.42578125" style="1" customWidth="1"/>
    <col min="1030" max="1030" width="13.5703125" style="1" customWidth="1"/>
    <col min="1031" max="1031" width="9.140625" style="1"/>
    <col min="1032" max="1032" width="12.42578125" style="1" customWidth="1"/>
    <col min="1033" max="1280" width="9.140625" style="1"/>
    <col min="1281" max="1281" width="43" style="1" customWidth="1"/>
    <col min="1282" max="1282" width="14" style="1" customWidth="1"/>
    <col min="1283" max="1283" width="16.42578125" style="1" customWidth="1"/>
    <col min="1284" max="1284" width="15.7109375" style="1" customWidth="1"/>
    <col min="1285" max="1285" width="15.42578125" style="1" customWidth="1"/>
    <col min="1286" max="1286" width="13.5703125" style="1" customWidth="1"/>
    <col min="1287" max="1287" width="9.140625" style="1"/>
    <col min="1288" max="1288" width="12.42578125" style="1" customWidth="1"/>
    <col min="1289" max="1536" width="9.140625" style="1"/>
    <col min="1537" max="1537" width="43" style="1" customWidth="1"/>
    <col min="1538" max="1538" width="14" style="1" customWidth="1"/>
    <col min="1539" max="1539" width="16.42578125" style="1" customWidth="1"/>
    <col min="1540" max="1540" width="15.7109375" style="1" customWidth="1"/>
    <col min="1541" max="1541" width="15.42578125" style="1" customWidth="1"/>
    <col min="1542" max="1542" width="13.5703125" style="1" customWidth="1"/>
    <col min="1543" max="1543" width="9.140625" style="1"/>
    <col min="1544" max="1544" width="12.42578125" style="1" customWidth="1"/>
    <col min="1545" max="1792" width="9.140625" style="1"/>
    <col min="1793" max="1793" width="43" style="1" customWidth="1"/>
    <col min="1794" max="1794" width="14" style="1" customWidth="1"/>
    <col min="1795" max="1795" width="16.42578125" style="1" customWidth="1"/>
    <col min="1796" max="1796" width="15.7109375" style="1" customWidth="1"/>
    <col min="1797" max="1797" width="15.42578125" style="1" customWidth="1"/>
    <col min="1798" max="1798" width="13.5703125" style="1" customWidth="1"/>
    <col min="1799" max="1799" width="9.140625" style="1"/>
    <col min="1800" max="1800" width="12.42578125" style="1" customWidth="1"/>
    <col min="1801" max="2048" width="9.140625" style="1"/>
    <col min="2049" max="2049" width="43" style="1" customWidth="1"/>
    <col min="2050" max="2050" width="14" style="1" customWidth="1"/>
    <col min="2051" max="2051" width="16.42578125" style="1" customWidth="1"/>
    <col min="2052" max="2052" width="15.7109375" style="1" customWidth="1"/>
    <col min="2053" max="2053" width="15.42578125" style="1" customWidth="1"/>
    <col min="2054" max="2054" width="13.5703125" style="1" customWidth="1"/>
    <col min="2055" max="2055" width="9.140625" style="1"/>
    <col min="2056" max="2056" width="12.42578125" style="1" customWidth="1"/>
    <col min="2057" max="2304" width="9.140625" style="1"/>
    <col min="2305" max="2305" width="43" style="1" customWidth="1"/>
    <col min="2306" max="2306" width="14" style="1" customWidth="1"/>
    <col min="2307" max="2307" width="16.42578125" style="1" customWidth="1"/>
    <col min="2308" max="2308" width="15.7109375" style="1" customWidth="1"/>
    <col min="2309" max="2309" width="15.42578125" style="1" customWidth="1"/>
    <col min="2310" max="2310" width="13.5703125" style="1" customWidth="1"/>
    <col min="2311" max="2311" width="9.140625" style="1"/>
    <col min="2312" max="2312" width="12.42578125" style="1" customWidth="1"/>
    <col min="2313" max="2560" width="9.140625" style="1"/>
    <col min="2561" max="2561" width="43" style="1" customWidth="1"/>
    <col min="2562" max="2562" width="14" style="1" customWidth="1"/>
    <col min="2563" max="2563" width="16.42578125" style="1" customWidth="1"/>
    <col min="2564" max="2564" width="15.7109375" style="1" customWidth="1"/>
    <col min="2565" max="2565" width="15.42578125" style="1" customWidth="1"/>
    <col min="2566" max="2566" width="13.5703125" style="1" customWidth="1"/>
    <col min="2567" max="2567" width="9.140625" style="1"/>
    <col min="2568" max="2568" width="12.42578125" style="1" customWidth="1"/>
    <col min="2569" max="2816" width="9.140625" style="1"/>
    <col min="2817" max="2817" width="43" style="1" customWidth="1"/>
    <col min="2818" max="2818" width="14" style="1" customWidth="1"/>
    <col min="2819" max="2819" width="16.42578125" style="1" customWidth="1"/>
    <col min="2820" max="2820" width="15.7109375" style="1" customWidth="1"/>
    <col min="2821" max="2821" width="15.42578125" style="1" customWidth="1"/>
    <col min="2822" max="2822" width="13.5703125" style="1" customWidth="1"/>
    <col min="2823" max="2823" width="9.140625" style="1"/>
    <col min="2824" max="2824" width="12.42578125" style="1" customWidth="1"/>
    <col min="2825" max="3072" width="9.140625" style="1"/>
    <col min="3073" max="3073" width="43" style="1" customWidth="1"/>
    <col min="3074" max="3074" width="14" style="1" customWidth="1"/>
    <col min="3075" max="3075" width="16.42578125" style="1" customWidth="1"/>
    <col min="3076" max="3076" width="15.7109375" style="1" customWidth="1"/>
    <col min="3077" max="3077" width="15.42578125" style="1" customWidth="1"/>
    <col min="3078" max="3078" width="13.5703125" style="1" customWidth="1"/>
    <col min="3079" max="3079" width="9.140625" style="1"/>
    <col min="3080" max="3080" width="12.42578125" style="1" customWidth="1"/>
    <col min="3081" max="3328" width="9.140625" style="1"/>
    <col min="3329" max="3329" width="43" style="1" customWidth="1"/>
    <col min="3330" max="3330" width="14" style="1" customWidth="1"/>
    <col min="3331" max="3331" width="16.42578125" style="1" customWidth="1"/>
    <col min="3332" max="3332" width="15.7109375" style="1" customWidth="1"/>
    <col min="3333" max="3333" width="15.42578125" style="1" customWidth="1"/>
    <col min="3334" max="3334" width="13.5703125" style="1" customWidth="1"/>
    <col min="3335" max="3335" width="9.140625" style="1"/>
    <col min="3336" max="3336" width="12.42578125" style="1" customWidth="1"/>
    <col min="3337" max="3584" width="9.140625" style="1"/>
    <col min="3585" max="3585" width="43" style="1" customWidth="1"/>
    <col min="3586" max="3586" width="14" style="1" customWidth="1"/>
    <col min="3587" max="3587" width="16.42578125" style="1" customWidth="1"/>
    <col min="3588" max="3588" width="15.7109375" style="1" customWidth="1"/>
    <col min="3589" max="3589" width="15.42578125" style="1" customWidth="1"/>
    <col min="3590" max="3590" width="13.5703125" style="1" customWidth="1"/>
    <col min="3591" max="3591" width="9.140625" style="1"/>
    <col min="3592" max="3592" width="12.42578125" style="1" customWidth="1"/>
    <col min="3593" max="3840" width="9.140625" style="1"/>
    <col min="3841" max="3841" width="43" style="1" customWidth="1"/>
    <col min="3842" max="3842" width="14" style="1" customWidth="1"/>
    <col min="3843" max="3843" width="16.42578125" style="1" customWidth="1"/>
    <col min="3844" max="3844" width="15.7109375" style="1" customWidth="1"/>
    <col min="3845" max="3845" width="15.42578125" style="1" customWidth="1"/>
    <col min="3846" max="3846" width="13.5703125" style="1" customWidth="1"/>
    <col min="3847" max="3847" width="9.140625" style="1"/>
    <col min="3848" max="3848" width="12.42578125" style="1" customWidth="1"/>
    <col min="3849" max="4096" width="9.140625" style="1"/>
    <col min="4097" max="4097" width="43" style="1" customWidth="1"/>
    <col min="4098" max="4098" width="14" style="1" customWidth="1"/>
    <col min="4099" max="4099" width="16.42578125" style="1" customWidth="1"/>
    <col min="4100" max="4100" width="15.7109375" style="1" customWidth="1"/>
    <col min="4101" max="4101" width="15.42578125" style="1" customWidth="1"/>
    <col min="4102" max="4102" width="13.5703125" style="1" customWidth="1"/>
    <col min="4103" max="4103" width="9.140625" style="1"/>
    <col min="4104" max="4104" width="12.42578125" style="1" customWidth="1"/>
    <col min="4105" max="4352" width="9.140625" style="1"/>
    <col min="4353" max="4353" width="43" style="1" customWidth="1"/>
    <col min="4354" max="4354" width="14" style="1" customWidth="1"/>
    <col min="4355" max="4355" width="16.42578125" style="1" customWidth="1"/>
    <col min="4356" max="4356" width="15.7109375" style="1" customWidth="1"/>
    <col min="4357" max="4357" width="15.42578125" style="1" customWidth="1"/>
    <col min="4358" max="4358" width="13.5703125" style="1" customWidth="1"/>
    <col min="4359" max="4359" width="9.140625" style="1"/>
    <col min="4360" max="4360" width="12.42578125" style="1" customWidth="1"/>
    <col min="4361" max="4608" width="9.140625" style="1"/>
    <col min="4609" max="4609" width="43" style="1" customWidth="1"/>
    <col min="4610" max="4610" width="14" style="1" customWidth="1"/>
    <col min="4611" max="4611" width="16.42578125" style="1" customWidth="1"/>
    <col min="4612" max="4612" width="15.7109375" style="1" customWidth="1"/>
    <col min="4613" max="4613" width="15.42578125" style="1" customWidth="1"/>
    <col min="4614" max="4614" width="13.5703125" style="1" customWidth="1"/>
    <col min="4615" max="4615" width="9.140625" style="1"/>
    <col min="4616" max="4616" width="12.42578125" style="1" customWidth="1"/>
    <col min="4617" max="4864" width="9.140625" style="1"/>
    <col min="4865" max="4865" width="43" style="1" customWidth="1"/>
    <col min="4866" max="4866" width="14" style="1" customWidth="1"/>
    <col min="4867" max="4867" width="16.42578125" style="1" customWidth="1"/>
    <col min="4868" max="4868" width="15.7109375" style="1" customWidth="1"/>
    <col min="4869" max="4869" width="15.42578125" style="1" customWidth="1"/>
    <col min="4870" max="4870" width="13.5703125" style="1" customWidth="1"/>
    <col min="4871" max="4871" width="9.140625" style="1"/>
    <col min="4872" max="4872" width="12.42578125" style="1" customWidth="1"/>
    <col min="4873" max="5120" width="9.140625" style="1"/>
    <col min="5121" max="5121" width="43" style="1" customWidth="1"/>
    <col min="5122" max="5122" width="14" style="1" customWidth="1"/>
    <col min="5123" max="5123" width="16.42578125" style="1" customWidth="1"/>
    <col min="5124" max="5124" width="15.7109375" style="1" customWidth="1"/>
    <col min="5125" max="5125" width="15.42578125" style="1" customWidth="1"/>
    <col min="5126" max="5126" width="13.5703125" style="1" customWidth="1"/>
    <col min="5127" max="5127" width="9.140625" style="1"/>
    <col min="5128" max="5128" width="12.42578125" style="1" customWidth="1"/>
    <col min="5129" max="5376" width="9.140625" style="1"/>
    <col min="5377" max="5377" width="43" style="1" customWidth="1"/>
    <col min="5378" max="5378" width="14" style="1" customWidth="1"/>
    <col min="5379" max="5379" width="16.42578125" style="1" customWidth="1"/>
    <col min="5380" max="5380" width="15.7109375" style="1" customWidth="1"/>
    <col min="5381" max="5381" width="15.42578125" style="1" customWidth="1"/>
    <col min="5382" max="5382" width="13.5703125" style="1" customWidth="1"/>
    <col min="5383" max="5383" width="9.140625" style="1"/>
    <col min="5384" max="5384" width="12.42578125" style="1" customWidth="1"/>
    <col min="5385" max="5632" width="9.140625" style="1"/>
    <col min="5633" max="5633" width="43" style="1" customWidth="1"/>
    <col min="5634" max="5634" width="14" style="1" customWidth="1"/>
    <col min="5635" max="5635" width="16.42578125" style="1" customWidth="1"/>
    <col min="5636" max="5636" width="15.7109375" style="1" customWidth="1"/>
    <col min="5637" max="5637" width="15.42578125" style="1" customWidth="1"/>
    <col min="5638" max="5638" width="13.5703125" style="1" customWidth="1"/>
    <col min="5639" max="5639" width="9.140625" style="1"/>
    <col min="5640" max="5640" width="12.42578125" style="1" customWidth="1"/>
    <col min="5641" max="5888" width="9.140625" style="1"/>
    <col min="5889" max="5889" width="43" style="1" customWidth="1"/>
    <col min="5890" max="5890" width="14" style="1" customWidth="1"/>
    <col min="5891" max="5891" width="16.42578125" style="1" customWidth="1"/>
    <col min="5892" max="5892" width="15.7109375" style="1" customWidth="1"/>
    <col min="5893" max="5893" width="15.42578125" style="1" customWidth="1"/>
    <col min="5894" max="5894" width="13.5703125" style="1" customWidth="1"/>
    <col min="5895" max="5895" width="9.140625" style="1"/>
    <col min="5896" max="5896" width="12.42578125" style="1" customWidth="1"/>
    <col min="5897" max="6144" width="9.140625" style="1"/>
    <col min="6145" max="6145" width="43" style="1" customWidth="1"/>
    <col min="6146" max="6146" width="14" style="1" customWidth="1"/>
    <col min="6147" max="6147" width="16.42578125" style="1" customWidth="1"/>
    <col min="6148" max="6148" width="15.7109375" style="1" customWidth="1"/>
    <col min="6149" max="6149" width="15.42578125" style="1" customWidth="1"/>
    <col min="6150" max="6150" width="13.5703125" style="1" customWidth="1"/>
    <col min="6151" max="6151" width="9.140625" style="1"/>
    <col min="6152" max="6152" width="12.42578125" style="1" customWidth="1"/>
    <col min="6153" max="6400" width="9.140625" style="1"/>
    <col min="6401" max="6401" width="43" style="1" customWidth="1"/>
    <col min="6402" max="6402" width="14" style="1" customWidth="1"/>
    <col min="6403" max="6403" width="16.42578125" style="1" customWidth="1"/>
    <col min="6404" max="6404" width="15.7109375" style="1" customWidth="1"/>
    <col min="6405" max="6405" width="15.42578125" style="1" customWidth="1"/>
    <col min="6406" max="6406" width="13.5703125" style="1" customWidth="1"/>
    <col min="6407" max="6407" width="9.140625" style="1"/>
    <col min="6408" max="6408" width="12.42578125" style="1" customWidth="1"/>
    <col min="6409" max="6656" width="9.140625" style="1"/>
    <col min="6657" max="6657" width="43" style="1" customWidth="1"/>
    <col min="6658" max="6658" width="14" style="1" customWidth="1"/>
    <col min="6659" max="6659" width="16.42578125" style="1" customWidth="1"/>
    <col min="6660" max="6660" width="15.7109375" style="1" customWidth="1"/>
    <col min="6661" max="6661" width="15.42578125" style="1" customWidth="1"/>
    <col min="6662" max="6662" width="13.5703125" style="1" customWidth="1"/>
    <col min="6663" max="6663" width="9.140625" style="1"/>
    <col min="6664" max="6664" width="12.42578125" style="1" customWidth="1"/>
    <col min="6665" max="6912" width="9.140625" style="1"/>
    <col min="6913" max="6913" width="43" style="1" customWidth="1"/>
    <col min="6914" max="6914" width="14" style="1" customWidth="1"/>
    <col min="6915" max="6915" width="16.42578125" style="1" customWidth="1"/>
    <col min="6916" max="6916" width="15.7109375" style="1" customWidth="1"/>
    <col min="6917" max="6917" width="15.42578125" style="1" customWidth="1"/>
    <col min="6918" max="6918" width="13.5703125" style="1" customWidth="1"/>
    <col min="6919" max="6919" width="9.140625" style="1"/>
    <col min="6920" max="6920" width="12.42578125" style="1" customWidth="1"/>
    <col min="6921" max="7168" width="9.140625" style="1"/>
    <col min="7169" max="7169" width="43" style="1" customWidth="1"/>
    <col min="7170" max="7170" width="14" style="1" customWidth="1"/>
    <col min="7171" max="7171" width="16.42578125" style="1" customWidth="1"/>
    <col min="7172" max="7172" width="15.7109375" style="1" customWidth="1"/>
    <col min="7173" max="7173" width="15.42578125" style="1" customWidth="1"/>
    <col min="7174" max="7174" width="13.5703125" style="1" customWidth="1"/>
    <col min="7175" max="7175" width="9.140625" style="1"/>
    <col min="7176" max="7176" width="12.42578125" style="1" customWidth="1"/>
    <col min="7177" max="7424" width="9.140625" style="1"/>
    <col min="7425" max="7425" width="43" style="1" customWidth="1"/>
    <col min="7426" max="7426" width="14" style="1" customWidth="1"/>
    <col min="7427" max="7427" width="16.42578125" style="1" customWidth="1"/>
    <col min="7428" max="7428" width="15.7109375" style="1" customWidth="1"/>
    <col min="7429" max="7429" width="15.42578125" style="1" customWidth="1"/>
    <col min="7430" max="7430" width="13.5703125" style="1" customWidth="1"/>
    <col min="7431" max="7431" width="9.140625" style="1"/>
    <col min="7432" max="7432" width="12.42578125" style="1" customWidth="1"/>
    <col min="7433" max="7680" width="9.140625" style="1"/>
    <col min="7681" max="7681" width="43" style="1" customWidth="1"/>
    <col min="7682" max="7682" width="14" style="1" customWidth="1"/>
    <col min="7683" max="7683" width="16.42578125" style="1" customWidth="1"/>
    <col min="7684" max="7684" width="15.7109375" style="1" customWidth="1"/>
    <col min="7685" max="7685" width="15.42578125" style="1" customWidth="1"/>
    <col min="7686" max="7686" width="13.5703125" style="1" customWidth="1"/>
    <col min="7687" max="7687" width="9.140625" style="1"/>
    <col min="7688" max="7688" width="12.42578125" style="1" customWidth="1"/>
    <col min="7689" max="7936" width="9.140625" style="1"/>
    <col min="7937" max="7937" width="43" style="1" customWidth="1"/>
    <col min="7938" max="7938" width="14" style="1" customWidth="1"/>
    <col min="7939" max="7939" width="16.42578125" style="1" customWidth="1"/>
    <col min="7940" max="7940" width="15.7109375" style="1" customWidth="1"/>
    <col min="7941" max="7941" width="15.42578125" style="1" customWidth="1"/>
    <col min="7942" max="7942" width="13.5703125" style="1" customWidth="1"/>
    <col min="7943" max="7943" width="9.140625" style="1"/>
    <col min="7944" max="7944" width="12.42578125" style="1" customWidth="1"/>
    <col min="7945" max="8192" width="9.140625" style="1"/>
    <col min="8193" max="8193" width="43" style="1" customWidth="1"/>
    <col min="8194" max="8194" width="14" style="1" customWidth="1"/>
    <col min="8195" max="8195" width="16.42578125" style="1" customWidth="1"/>
    <col min="8196" max="8196" width="15.7109375" style="1" customWidth="1"/>
    <col min="8197" max="8197" width="15.42578125" style="1" customWidth="1"/>
    <col min="8198" max="8198" width="13.5703125" style="1" customWidth="1"/>
    <col min="8199" max="8199" width="9.140625" style="1"/>
    <col min="8200" max="8200" width="12.42578125" style="1" customWidth="1"/>
    <col min="8201" max="8448" width="9.140625" style="1"/>
    <col min="8449" max="8449" width="43" style="1" customWidth="1"/>
    <col min="8450" max="8450" width="14" style="1" customWidth="1"/>
    <col min="8451" max="8451" width="16.42578125" style="1" customWidth="1"/>
    <col min="8452" max="8452" width="15.7109375" style="1" customWidth="1"/>
    <col min="8453" max="8453" width="15.42578125" style="1" customWidth="1"/>
    <col min="8454" max="8454" width="13.5703125" style="1" customWidth="1"/>
    <col min="8455" max="8455" width="9.140625" style="1"/>
    <col min="8456" max="8456" width="12.42578125" style="1" customWidth="1"/>
    <col min="8457" max="8704" width="9.140625" style="1"/>
    <col min="8705" max="8705" width="43" style="1" customWidth="1"/>
    <col min="8706" max="8706" width="14" style="1" customWidth="1"/>
    <col min="8707" max="8707" width="16.42578125" style="1" customWidth="1"/>
    <col min="8708" max="8708" width="15.7109375" style="1" customWidth="1"/>
    <col min="8709" max="8709" width="15.42578125" style="1" customWidth="1"/>
    <col min="8710" max="8710" width="13.5703125" style="1" customWidth="1"/>
    <col min="8711" max="8711" width="9.140625" style="1"/>
    <col min="8712" max="8712" width="12.42578125" style="1" customWidth="1"/>
    <col min="8713" max="8960" width="9.140625" style="1"/>
    <col min="8961" max="8961" width="43" style="1" customWidth="1"/>
    <col min="8962" max="8962" width="14" style="1" customWidth="1"/>
    <col min="8963" max="8963" width="16.42578125" style="1" customWidth="1"/>
    <col min="8964" max="8964" width="15.7109375" style="1" customWidth="1"/>
    <col min="8965" max="8965" width="15.42578125" style="1" customWidth="1"/>
    <col min="8966" max="8966" width="13.5703125" style="1" customWidth="1"/>
    <col min="8967" max="8967" width="9.140625" style="1"/>
    <col min="8968" max="8968" width="12.42578125" style="1" customWidth="1"/>
    <col min="8969" max="9216" width="9.140625" style="1"/>
    <col min="9217" max="9217" width="43" style="1" customWidth="1"/>
    <col min="9218" max="9218" width="14" style="1" customWidth="1"/>
    <col min="9219" max="9219" width="16.42578125" style="1" customWidth="1"/>
    <col min="9220" max="9220" width="15.7109375" style="1" customWidth="1"/>
    <col min="9221" max="9221" width="15.42578125" style="1" customWidth="1"/>
    <col min="9222" max="9222" width="13.5703125" style="1" customWidth="1"/>
    <col min="9223" max="9223" width="9.140625" style="1"/>
    <col min="9224" max="9224" width="12.42578125" style="1" customWidth="1"/>
    <col min="9225" max="9472" width="9.140625" style="1"/>
    <col min="9473" max="9473" width="43" style="1" customWidth="1"/>
    <col min="9474" max="9474" width="14" style="1" customWidth="1"/>
    <col min="9475" max="9475" width="16.42578125" style="1" customWidth="1"/>
    <col min="9476" max="9476" width="15.7109375" style="1" customWidth="1"/>
    <col min="9477" max="9477" width="15.42578125" style="1" customWidth="1"/>
    <col min="9478" max="9478" width="13.5703125" style="1" customWidth="1"/>
    <col min="9479" max="9479" width="9.140625" style="1"/>
    <col min="9480" max="9480" width="12.42578125" style="1" customWidth="1"/>
    <col min="9481" max="9728" width="9.140625" style="1"/>
    <col min="9729" max="9729" width="43" style="1" customWidth="1"/>
    <col min="9730" max="9730" width="14" style="1" customWidth="1"/>
    <col min="9731" max="9731" width="16.42578125" style="1" customWidth="1"/>
    <col min="9732" max="9732" width="15.7109375" style="1" customWidth="1"/>
    <col min="9733" max="9733" width="15.42578125" style="1" customWidth="1"/>
    <col min="9734" max="9734" width="13.5703125" style="1" customWidth="1"/>
    <col min="9735" max="9735" width="9.140625" style="1"/>
    <col min="9736" max="9736" width="12.42578125" style="1" customWidth="1"/>
    <col min="9737" max="9984" width="9.140625" style="1"/>
    <col min="9985" max="9985" width="43" style="1" customWidth="1"/>
    <col min="9986" max="9986" width="14" style="1" customWidth="1"/>
    <col min="9987" max="9987" width="16.42578125" style="1" customWidth="1"/>
    <col min="9988" max="9988" width="15.7109375" style="1" customWidth="1"/>
    <col min="9989" max="9989" width="15.42578125" style="1" customWidth="1"/>
    <col min="9990" max="9990" width="13.5703125" style="1" customWidth="1"/>
    <col min="9991" max="9991" width="9.140625" style="1"/>
    <col min="9992" max="9992" width="12.42578125" style="1" customWidth="1"/>
    <col min="9993" max="10240" width="9.140625" style="1"/>
    <col min="10241" max="10241" width="43" style="1" customWidth="1"/>
    <col min="10242" max="10242" width="14" style="1" customWidth="1"/>
    <col min="10243" max="10243" width="16.42578125" style="1" customWidth="1"/>
    <col min="10244" max="10244" width="15.7109375" style="1" customWidth="1"/>
    <col min="10245" max="10245" width="15.42578125" style="1" customWidth="1"/>
    <col min="10246" max="10246" width="13.5703125" style="1" customWidth="1"/>
    <col min="10247" max="10247" width="9.140625" style="1"/>
    <col min="10248" max="10248" width="12.42578125" style="1" customWidth="1"/>
    <col min="10249" max="10496" width="9.140625" style="1"/>
    <col min="10497" max="10497" width="43" style="1" customWidth="1"/>
    <col min="10498" max="10498" width="14" style="1" customWidth="1"/>
    <col min="10499" max="10499" width="16.42578125" style="1" customWidth="1"/>
    <col min="10500" max="10500" width="15.7109375" style="1" customWidth="1"/>
    <col min="10501" max="10501" width="15.42578125" style="1" customWidth="1"/>
    <col min="10502" max="10502" width="13.5703125" style="1" customWidth="1"/>
    <col min="10503" max="10503" width="9.140625" style="1"/>
    <col min="10504" max="10504" width="12.42578125" style="1" customWidth="1"/>
    <col min="10505" max="10752" width="9.140625" style="1"/>
    <col min="10753" max="10753" width="43" style="1" customWidth="1"/>
    <col min="10754" max="10754" width="14" style="1" customWidth="1"/>
    <col min="10755" max="10755" width="16.42578125" style="1" customWidth="1"/>
    <col min="10756" max="10756" width="15.7109375" style="1" customWidth="1"/>
    <col min="10757" max="10757" width="15.42578125" style="1" customWidth="1"/>
    <col min="10758" max="10758" width="13.5703125" style="1" customWidth="1"/>
    <col min="10759" max="10759" width="9.140625" style="1"/>
    <col min="10760" max="10760" width="12.42578125" style="1" customWidth="1"/>
    <col min="10761" max="11008" width="9.140625" style="1"/>
    <col min="11009" max="11009" width="43" style="1" customWidth="1"/>
    <col min="11010" max="11010" width="14" style="1" customWidth="1"/>
    <col min="11011" max="11011" width="16.42578125" style="1" customWidth="1"/>
    <col min="11012" max="11012" width="15.7109375" style="1" customWidth="1"/>
    <col min="11013" max="11013" width="15.42578125" style="1" customWidth="1"/>
    <col min="11014" max="11014" width="13.5703125" style="1" customWidth="1"/>
    <col min="11015" max="11015" width="9.140625" style="1"/>
    <col min="11016" max="11016" width="12.42578125" style="1" customWidth="1"/>
    <col min="11017" max="11264" width="9.140625" style="1"/>
    <col min="11265" max="11265" width="43" style="1" customWidth="1"/>
    <col min="11266" max="11266" width="14" style="1" customWidth="1"/>
    <col min="11267" max="11267" width="16.42578125" style="1" customWidth="1"/>
    <col min="11268" max="11268" width="15.7109375" style="1" customWidth="1"/>
    <col min="11269" max="11269" width="15.42578125" style="1" customWidth="1"/>
    <col min="11270" max="11270" width="13.5703125" style="1" customWidth="1"/>
    <col min="11271" max="11271" width="9.140625" style="1"/>
    <col min="11272" max="11272" width="12.42578125" style="1" customWidth="1"/>
    <col min="11273" max="11520" width="9.140625" style="1"/>
    <col min="11521" max="11521" width="43" style="1" customWidth="1"/>
    <col min="11522" max="11522" width="14" style="1" customWidth="1"/>
    <col min="11523" max="11523" width="16.42578125" style="1" customWidth="1"/>
    <col min="11524" max="11524" width="15.7109375" style="1" customWidth="1"/>
    <col min="11525" max="11525" width="15.42578125" style="1" customWidth="1"/>
    <col min="11526" max="11526" width="13.5703125" style="1" customWidth="1"/>
    <col min="11527" max="11527" width="9.140625" style="1"/>
    <col min="11528" max="11528" width="12.42578125" style="1" customWidth="1"/>
    <col min="11529" max="11776" width="9.140625" style="1"/>
    <col min="11777" max="11777" width="43" style="1" customWidth="1"/>
    <col min="11778" max="11778" width="14" style="1" customWidth="1"/>
    <col min="11779" max="11779" width="16.42578125" style="1" customWidth="1"/>
    <col min="11780" max="11780" width="15.7109375" style="1" customWidth="1"/>
    <col min="11781" max="11781" width="15.42578125" style="1" customWidth="1"/>
    <col min="11782" max="11782" width="13.5703125" style="1" customWidth="1"/>
    <col min="11783" max="11783" width="9.140625" style="1"/>
    <col min="11784" max="11784" width="12.42578125" style="1" customWidth="1"/>
    <col min="11785" max="12032" width="9.140625" style="1"/>
    <col min="12033" max="12033" width="43" style="1" customWidth="1"/>
    <col min="12034" max="12034" width="14" style="1" customWidth="1"/>
    <col min="12035" max="12035" width="16.42578125" style="1" customWidth="1"/>
    <col min="12036" max="12036" width="15.7109375" style="1" customWidth="1"/>
    <col min="12037" max="12037" width="15.42578125" style="1" customWidth="1"/>
    <col min="12038" max="12038" width="13.5703125" style="1" customWidth="1"/>
    <col min="12039" max="12039" width="9.140625" style="1"/>
    <col min="12040" max="12040" width="12.42578125" style="1" customWidth="1"/>
    <col min="12041" max="12288" width="9.140625" style="1"/>
    <col min="12289" max="12289" width="43" style="1" customWidth="1"/>
    <col min="12290" max="12290" width="14" style="1" customWidth="1"/>
    <col min="12291" max="12291" width="16.42578125" style="1" customWidth="1"/>
    <col min="12292" max="12292" width="15.7109375" style="1" customWidth="1"/>
    <col min="12293" max="12293" width="15.42578125" style="1" customWidth="1"/>
    <col min="12294" max="12294" width="13.5703125" style="1" customWidth="1"/>
    <col min="12295" max="12295" width="9.140625" style="1"/>
    <col min="12296" max="12296" width="12.42578125" style="1" customWidth="1"/>
    <col min="12297" max="12544" width="9.140625" style="1"/>
    <col min="12545" max="12545" width="43" style="1" customWidth="1"/>
    <col min="12546" max="12546" width="14" style="1" customWidth="1"/>
    <col min="12547" max="12547" width="16.42578125" style="1" customWidth="1"/>
    <col min="12548" max="12548" width="15.7109375" style="1" customWidth="1"/>
    <col min="12549" max="12549" width="15.42578125" style="1" customWidth="1"/>
    <col min="12550" max="12550" width="13.5703125" style="1" customWidth="1"/>
    <col min="12551" max="12551" width="9.140625" style="1"/>
    <col min="12552" max="12552" width="12.42578125" style="1" customWidth="1"/>
    <col min="12553" max="12800" width="9.140625" style="1"/>
    <col min="12801" max="12801" width="43" style="1" customWidth="1"/>
    <col min="12802" max="12802" width="14" style="1" customWidth="1"/>
    <col min="12803" max="12803" width="16.42578125" style="1" customWidth="1"/>
    <col min="12804" max="12804" width="15.7109375" style="1" customWidth="1"/>
    <col min="12805" max="12805" width="15.42578125" style="1" customWidth="1"/>
    <col min="12806" max="12806" width="13.5703125" style="1" customWidth="1"/>
    <col min="12807" max="12807" width="9.140625" style="1"/>
    <col min="12808" max="12808" width="12.42578125" style="1" customWidth="1"/>
    <col min="12809" max="13056" width="9.140625" style="1"/>
    <col min="13057" max="13057" width="43" style="1" customWidth="1"/>
    <col min="13058" max="13058" width="14" style="1" customWidth="1"/>
    <col min="13059" max="13059" width="16.42578125" style="1" customWidth="1"/>
    <col min="13060" max="13060" width="15.7109375" style="1" customWidth="1"/>
    <col min="13061" max="13061" width="15.42578125" style="1" customWidth="1"/>
    <col min="13062" max="13062" width="13.5703125" style="1" customWidth="1"/>
    <col min="13063" max="13063" width="9.140625" style="1"/>
    <col min="13064" max="13064" width="12.42578125" style="1" customWidth="1"/>
    <col min="13065" max="13312" width="9.140625" style="1"/>
    <col min="13313" max="13313" width="43" style="1" customWidth="1"/>
    <col min="13314" max="13314" width="14" style="1" customWidth="1"/>
    <col min="13315" max="13315" width="16.42578125" style="1" customWidth="1"/>
    <col min="13316" max="13316" width="15.7109375" style="1" customWidth="1"/>
    <col min="13317" max="13317" width="15.42578125" style="1" customWidth="1"/>
    <col min="13318" max="13318" width="13.5703125" style="1" customWidth="1"/>
    <col min="13319" max="13319" width="9.140625" style="1"/>
    <col min="13320" max="13320" width="12.42578125" style="1" customWidth="1"/>
    <col min="13321" max="13568" width="9.140625" style="1"/>
    <col min="13569" max="13569" width="43" style="1" customWidth="1"/>
    <col min="13570" max="13570" width="14" style="1" customWidth="1"/>
    <col min="13571" max="13571" width="16.42578125" style="1" customWidth="1"/>
    <col min="13572" max="13572" width="15.7109375" style="1" customWidth="1"/>
    <col min="13573" max="13573" width="15.42578125" style="1" customWidth="1"/>
    <col min="13574" max="13574" width="13.5703125" style="1" customWidth="1"/>
    <col min="13575" max="13575" width="9.140625" style="1"/>
    <col min="13576" max="13576" width="12.42578125" style="1" customWidth="1"/>
    <col min="13577" max="13824" width="9.140625" style="1"/>
    <col min="13825" max="13825" width="43" style="1" customWidth="1"/>
    <col min="13826" max="13826" width="14" style="1" customWidth="1"/>
    <col min="13827" max="13827" width="16.42578125" style="1" customWidth="1"/>
    <col min="13828" max="13828" width="15.7109375" style="1" customWidth="1"/>
    <col min="13829" max="13829" width="15.42578125" style="1" customWidth="1"/>
    <col min="13830" max="13830" width="13.5703125" style="1" customWidth="1"/>
    <col min="13831" max="13831" width="9.140625" style="1"/>
    <col min="13832" max="13832" width="12.42578125" style="1" customWidth="1"/>
    <col min="13833" max="14080" width="9.140625" style="1"/>
    <col min="14081" max="14081" width="43" style="1" customWidth="1"/>
    <col min="14082" max="14082" width="14" style="1" customWidth="1"/>
    <col min="14083" max="14083" width="16.42578125" style="1" customWidth="1"/>
    <col min="14084" max="14084" width="15.7109375" style="1" customWidth="1"/>
    <col min="14085" max="14085" width="15.42578125" style="1" customWidth="1"/>
    <col min="14086" max="14086" width="13.5703125" style="1" customWidth="1"/>
    <col min="14087" max="14087" width="9.140625" style="1"/>
    <col min="14088" max="14088" width="12.42578125" style="1" customWidth="1"/>
    <col min="14089" max="14336" width="9.140625" style="1"/>
    <col min="14337" max="14337" width="43" style="1" customWidth="1"/>
    <col min="14338" max="14338" width="14" style="1" customWidth="1"/>
    <col min="14339" max="14339" width="16.42578125" style="1" customWidth="1"/>
    <col min="14340" max="14340" width="15.7109375" style="1" customWidth="1"/>
    <col min="14341" max="14341" width="15.42578125" style="1" customWidth="1"/>
    <col min="14342" max="14342" width="13.5703125" style="1" customWidth="1"/>
    <col min="14343" max="14343" width="9.140625" style="1"/>
    <col min="14344" max="14344" width="12.42578125" style="1" customWidth="1"/>
    <col min="14345" max="14592" width="9.140625" style="1"/>
    <col min="14593" max="14593" width="43" style="1" customWidth="1"/>
    <col min="14594" max="14594" width="14" style="1" customWidth="1"/>
    <col min="14595" max="14595" width="16.42578125" style="1" customWidth="1"/>
    <col min="14596" max="14596" width="15.7109375" style="1" customWidth="1"/>
    <col min="14597" max="14597" width="15.42578125" style="1" customWidth="1"/>
    <col min="14598" max="14598" width="13.5703125" style="1" customWidth="1"/>
    <col min="14599" max="14599" width="9.140625" style="1"/>
    <col min="14600" max="14600" width="12.42578125" style="1" customWidth="1"/>
    <col min="14601" max="14848" width="9.140625" style="1"/>
    <col min="14849" max="14849" width="43" style="1" customWidth="1"/>
    <col min="14850" max="14850" width="14" style="1" customWidth="1"/>
    <col min="14851" max="14851" width="16.42578125" style="1" customWidth="1"/>
    <col min="14852" max="14852" width="15.7109375" style="1" customWidth="1"/>
    <col min="14853" max="14853" width="15.42578125" style="1" customWidth="1"/>
    <col min="14854" max="14854" width="13.5703125" style="1" customWidth="1"/>
    <col min="14855" max="14855" width="9.140625" style="1"/>
    <col min="14856" max="14856" width="12.42578125" style="1" customWidth="1"/>
    <col min="14857" max="15104" width="9.140625" style="1"/>
    <col min="15105" max="15105" width="43" style="1" customWidth="1"/>
    <col min="15106" max="15106" width="14" style="1" customWidth="1"/>
    <col min="15107" max="15107" width="16.42578125" style="1" customWidth="1"/>
    <col min="15108" max="15108" width="15.7109375" style="1" customWidth="1"/>
    <col min="15109" max="15109" width="15.42578125" style="1" customWidth="1"/>
    <col min="15110" max="15110" width="13.5703125" style="1" customWidth="1"/>
    <col min="15111" max="15111" width="9.140625" style="1"/>
    <col min="15112" max="15112" width="12.42578125" style="1" customWidth="1"/>
    <col min="15113" max="15360" width="9.140625" style="1"/>
    <col min="15361" max="15361" width="43" style="1" customWidth="1"/>
    <col min="15362" max="15362" width="14" style="1" customWidth="1"/>
    <col min="15363" max="15363" width="16.42578125" style="1" customWidth="1"/>
    <col min="15364" max="15364" width="15.7109375" style="1" customWidth="1"/>
    <col min="15365" max="15365" width="15.42578125" style="1" customWidth="1"/>
    <col min="15366" max="15366" width="13.5703125" style="1" customWidth="1"/>
    <col min="15367" max="15367" width="9.140625" style="1"/>
    <col min="15368" max="15368" width="12.42578125" style="1" customWidth="1"/>
    <col min="15369" max="15616" width="9.140625" style="1"/>
    <col min="15617" max="15617" width="43" style="1" customWidth="1"/>
    <col min="15618" max="15618" width="14" style="1" customWidth="1"/>
    <col min="15619" max="15619" width="16.42578125" style="1" customWidth="1"/>
    <col min="15620" max="15620" width="15.7109375" style="1" customWidth="1"/>
    <col min="15621" max="15621" width="15.42578125" style="1" customWidth="1"/>
    <col min="15622" max="15622" width="13.5703125" style="1" customWidth="1"/>
    <col min="15623" max="15623" width="9.140625" style="1"/>
    <col min="15624" max="15624" width="12.42578125" style="1" customWidth="1"/>
    <col min="15625" max="15872" width="9.140625" style="1"/>
    <col min="15873" max="15873" width="43" style="1" customWidth="1"/>
    <col min="15874" max="15874" width="14" style="1" customWidth="1"/>
    <col min="15875" max="15875" width="16.42578125" style="1" customWidth="1"/>
    <col min="15876" max="15876" width="15.7109375" style="1" customWidth="1"/>
    <col min="15877" max="15877" width="15.42578125" style="1" customWidth="1"/>
    <col min="15878" max="15878" width="13.5703125" style="1" customWidth="1"/>
    <col min="15879" max="15879" width="9.140625" style="1"/>
    <col min="15880" max="15880" width="12.42578125" style="1" customWidth="1"/>
    <col min="15881" max="16128" width="9.140625" style="1"/>
    <col min="16129" max="16129" width="43" style="1" customWidth="1"/>
    <col min="16130" max="16130" width="14" style="1" customWidth="1"/>
    <col min="16131" max="16131" width="16.42578125" style="1" customWidth="1"/>
    <col min="16132" max="16132" width="15.7109375" style="1" customWidth="1"/>
    <col min="16133" max="16133" width="15.42578125" style="1" customWidth="1"/>
    <col min="16134" max="16134" width="13.5703125" style="1" customWidth="1"/>
    <col min="16135" max="16135" width="9.140625" style="1"/>
    <col min="16136" max="16136" width="12.42578125" style="1" customWidth="1"/>
    <col min="16137" max="16384" width="9.140625" style="1"/>
  </cols>
  <sheetData>
    <row r="2" spans="1:6" x14ac:dyDescent="0.25">
      <c r="A2" s="127" t="s">
        <v>56</v>
      </c>
      <c r="B2" s="128"/>
      <c r="C2" s="128"/>
      <c r="D2" s="128"/>
      <c r="E2" s="128"/>
    </row>
    <row r="3" spans="1:6" ht="15.75" thickBot="1" x14ac:dyDescent="0.3">
      <c r="A3" s="128"/>
      <c r="B3" s="128"/>
      <c r="C3" s="128"/>
      <c r="D3" s="128"/>
      <c r="E3" s="128"/>
    </row>
    <row r="4" spans="1:6" ht="15.75" thickBot="1" x14ac:dyDescent="0.3">
      <c r="A4" s="134" t="s">
        <v>0</v>
      </c>
      <c r="B4" s="135"/>
      <c r="C4" s="136"/>
    </row>
    <row r="5" spans="1:6" ht="43.5" thickBot="1" x14ac:dyDescent="0.3">
      <c r="A5" s="10" t="s">
        <v>1</v>
      </c>
      <c r="B5" s="11" t="s">
        <v>2</v>
      </c>
      <c r="C5" s="12" t="s">
        <v>3</v>
      </c>
    </row>
    <row r="6" spans="1:6" x14ac:dyDescent="0.25">
      <c r="A6" s="13" t="s">
        <v>64</v>
      </c>
      <c r="B6" s="14">
        <v>124</v>
      </c>
      <c r="C6" s="2">
        <f>5294-78.55</f>
        <v>5215.45</v>
      </c>
      <c r="D6" s="15"/>
      <c r="E6" s="16"/>
    </row>
    <row r="7" spans="1:6" x14ac:dyDescent="0.25">
      <c r="A7" s="17" t="s">
        <v>63</v>
      </c>
      <c r="B7" s="18"/>
      <c r="C7" s="3">
        <v>676.9</v>
      </c>
    </row>
    <row r="8" spans="1:6" ht="15.75" thickBot="1" x14ac:dyDescent="0.3">
      <c r="A8" s="19" t="s">
        <v>4</v>
      </c>
      <c r="B8" s="20"/>
      <c r="C8" s="107">
        <f>C6+C7</f>
        <v>5892.3499999999995</v>
      </c>
      <c r="E8" s="4"/>
    </row>
    <row r="9" spans="1:6" ht="15.75" thickBot="1" x14ac:dyDescent="0.3">
      <c r="A9" s="21"/>
      <c r="B9" s="22"/>
      <c r="C9" s="5"/>
    </row>
    <row r="10" spans="1:6" ht="15.75" thickBot="1" x14ac:dyDescent="0.3">
      <c r="A10" s="134" t="s">
        <v>5</v>
      </c>
      <c r="B10" s="135"/>
      <c r="C10" s="135"/>
      <c r="D10" s="135"/>
      <c r="E10" s="136"/>
    </row>
    <row r="11" spans="1:6" ht="66" customHeight="1" thickBot="1" x14ac:dyDescent="0.3">
      <c r="A11" s="23" t="s">
        <v>6</v>
      </c>
      <c r="B11" s="24" t="s">
        <v>58</v>
      </c>
      <c r="C11" s="25" t="s">
        <v>57</v>
      </c>
      <c r="D11" s="26" t="s">
        <v>7</v>
      </c>
      <c r="E11" s="25" t="s">
        <v>59</v>
      </c>
      <c r="F11" s="27"/>
    </row>
    <row r="12" spans="1:6" x14ac:dyDescent="0.25">
      <c r="A12" s="13" t="s">
        <v>8</v>
      </c>
      <c r="B12" s="28">
        <f>709008.42+21414+12963.12</f>
        <v>743385.54</v>
      </c>
      <c r="C12" s="28">
        <f>128005.37+4319.24+3566.75-1097.57</f>
        <v>134793.78999999998</v>
      </c>
      <c r="D12" s="28">
        <f>672055.87+36360.14+14968.44+218.48+9429.31+146.32</f>
        <v>733178.55999999994</v>
      </c>
      <c r="E12" s="29">
        <f>C12-D12+B12</f>
        <v>145000.77000000002</v>
      </c>
      <c r="F12" s="77"/>
    </row>
    <row r="13" spans="1:6" hidden="1" x14ac:dyDescent="0.25">
      <c r="A13" s="6" t="s">
        <v>9</v>
      </c>
      <c r="B13" s="31"/>
      <c r="C13" s="31"/>
      <c r="D13" s="31"/>
      <c r="E13" s="32">
        <f>C13-D13+B13</f>
        <v>0</v>
      </c>
      <c r="F13" s="77"/>
    </row>
    <row r="14" spans="1:6" x14ac:dyDescent="0.25">
      <c r="A14" s="17" t="s">
        <v>10</v>
      </c>
      <c r="B14" s="33">
        <v>0</v>
      </c>
      <c r="C14" s="31">
        <v>-6242.4</v>
      </c>
      <c r="D14" s="31">
        <v>0.01</v>
      </c>
      <c r="E14" s="32">
        <f>C14-D14+B14</f>
        <v>-6242.41</v>
      </c>
      <c r="F14" s="77"/>
    </row>
    <row r="15" spans="1:6" x14ac:dyDescent="0.25">
      <c r="A15" s="17" t="s">
        <v>11</v>
      </c>
      <c r="B15" s="33">
        <v>911252.96</v>
      </c>
      <c r="C15" s="31">
        <v>207138.4</v>
      </c>
      <c r="D15" s="33">
        <f>508194.58+26172.24</f>
        <v>534366.82000000007</v>
      </c>
      <c r="E15" s="32">
        <f>C15-D15+B15</f>
        <v>584024.53999999992</v>
      </c>
      <c r="F15" s="77"/>
    </row>
    <row r="16" spans="1:6" x14ac:dyDescent="0.25">
      <c r="A16" s="17" t="s">
        <v>12</v>
      </c>
      <c r="B16" s="33">
        <v>4320</v>
      </c>
      <c r="C16" s="31">
        <v>583.5</v>
      </c>
      <c r="D16" s="33">
        <f>3947.51+201.92</f>
        <v>4149.43</v>
      </c>
      <c r="E16" s="32">
        <f t="shared" ref="E16:E26" si="0">C16-D16+B16</f>
        <v>754.06999999999971</v>
      </c>
      <c r="F16" s="27"/>
    </row>
    <row r="17" spans="1:6" x14ac:dyDescent="0.25">
      <c r="A17" s="17" t="s">
        <v>13</v>
      </c>
      <c r="B17" s="33"/>
      <c r="C17" s="31">
        <v>-3512.5</v>
      </c>
      <c r="D17" s="33">
        <v>8.99</v>
      </c>
      <c r="E17" s="32">
        <f t="shared" si="0"/>
        <v>-3521.49</v>
      </c>
    </row>
    <row r="18" spans="1:6" x14ac:dyDescent="0.25">
      <c r="A18" s="17" t="s">
        <v>14</v>
      </c>
      <c r="B18" s="34">
        <f>B19+B20+B21+B22</f>
        <v>1671701.1900000002</v>
      </c>
      <c r="C18" s="18">
        <f>C19+C20+C21+C22</f>
        <v>332005.07</v>
      </c>
      <c r="D18" s="34">
        <f>D19+D20+D21+D22</f>
        <v>1580153.6800000004</v>
      </c>
      <c r="E18" s="35">
        <f>C18-D18+B18</f>
        <v>423552.57999999984</v>
      </c>
    </row>
    <row r="19" spans="1:6" x14ac:dyDescent="0.25">
      <c r="A19" s="6" t="s">
        <v>15</v>
      </c>
      <c r="B19" s="33">
        <v>1213980.3</v>
      </c>
      <c r="C19" s="31">
        <v>273273.02</v>
      </c>
      <c r="D19" s="33">
        <f>1074057.55+32031.87</f>
        <v>1106089.4200000002</v>
      </c>
      <c r="E19" s="32">
        <f t="shared" si="0"/>
        <v>381163.89999999991</v>
      </c>
    </row>
    <row r="20" spans="1:6" x14ac:dyDescent="0.25">
      <c r="A20" s="6" t="s">
        <v>16</v>
      </c>
      <c r="B20" s="33">
        <f>265148.59-6204.02+2779.31-10.22-12427.75+70345.71-1570.13+930.1-2.89-3492.65</f>
        <v>315496.05</v>
      </c>
      <c r="C20" s="31">
        <f>31554.81+9491.61</f>
        <v>41046.42</v>
      </c>
      <c r="D20" s="33">
        <f>249478.79+12258.54+63164.85+3224.41</f>
        <v>328126.58999999997</v>
      </c>
      <c r="E20" s="32">
        <f t="shared" si="0"/>
        <v>28415.880000000005</v>
      </c>
    </row>
    <row r="21" spans="1:6" x14ac:dyDescent="0.25">
      <c r="A21" s="6" t="s">
        <v>17</v>
      </c>
      <c r="B21" s="33">
        <v>47753</v>
      </c>
      <c r="C21" s="33">
        <v>5571.51</v>
      </c>
      <c r="D21" s="33">
        <f>45990.43+2449.63</f>
        <v>48440.06</v>
      </c>
      <c r="E21" s="32">
        <f t="shared" si="0"/>
        <v>4884.4500000000044</v>
      </c>
    </row>
    <row r="22" spans="1:6" x14ac:dyDescent="0.25">
      <c r="A22" s="6" t="s">
        <v>18</v>
      </c>
      <c r="B22" s="33">
        <v>94471.84</v>
      </c>
      <c r="C22" s="33">
        <v>12114.12</v>
      </c>
      <c r="D22" s="33">
        <f>92531.15+4966.46</f>
        <v>97497.61</v>
      </c>
      <c r="E22" s="32">
        <f t="shared" si="0"/>
        <v>9088.3499999999913</v>
      </c>
    </row>
    <row r="23" spans="1:6" hidden="1" x14ac:dyDescent="0.25">
      <c r="A23" s="6" t="s">
        <v>9</v>
      </c>
      <c r="B23" s="33"/>
      <c r="C23" s="33"/>
      <c r="D23" s="33"/>
      <c r="E23" s="32">
        <f t="shared" si="0"/>
        <v>0</v>
      </c>
    </row>
    <row r="24" spans="1:6" x14ac:dyDescent="0.25">
      <c r="A24" s="17" t="s">
        <v>19</v>
      </c>
      <c r="B24" s="18">
        <f>38633.73+1228.47-1694.73-2812.66</f>
        <v>35354.81</v>
      </c>
      <c r="C24" s="34">
        <f>44465.95+2534.22</f>
        <v>47000.17</v>
      </c>
      <c r="D24" s="34">
        <f>66243.95+149.29+2055.43+0.01</f>
        <v>68448.679999999978</v>
      </c>
      <c r="E24" s="35">
        <f t="shared" si="0"/>
        <v>13906.300000000017</v>
      </c>
    </row>
    <row r="25" spans="1:6" ht="15.75" thickBot="1" x14ac:dyDescent="0.3">
      <c r="A25" s="106" t="s">
        <v>65</v>
      </c>
      <c r="B25" s="20">
        <v>27399.86</v>
      </c>
      <c r="C25" s="20">
        <v>-1257.26</v>
      </c>
      <c r="D25" s="37"/>
      <c r="E25" s="8"/>
    </row>
    <row r="26" spans="1:6" ht="15.75" hidden="1" thickBot="1" x14ac:dyDescent="0.3">
      <c r="A26" s="7"/>
      <c r="B26" s="38"/>
      <c r="C26" s="38"/>
      <c r="D26" s="39"/>
      <c r="E26" s="67">
        <f t="shared" si="0"/>
        <v>0</v>
      </c>
    </row>
    <row r="27" spans="1:6" ht="15.75" thickBot="1" x14ac:dyDescent="0.3">
      <c r="A27" s="7"/>
      <c r="B27" s="38"/>
      <c r="C27" s="38"/>
      <c r="D27" s="39"/>
      <c r="E27" s="35"/>
    </row>
    <row r="28" spans="1:6" ht="15.75" thickBot="1" x14ac:dyDescent="0.3">
      <c r="A28" s="40" t="s">
        <v>20</v>
      </c>
      <c r="B28" s="41">
        <f>B12+B14+B19+B20+B21+B22+B24+B25+B15+B16+B17+B27</f>
        <v>3393414.36</v>
      </c>
      <c r="C28" s="41">
        <f>C24+C18+C16+C15+C14+C12+C25+C17</f>
        <v>710508.77</v>
      </c>
      <c r="D28" s="42">
        <f>D12+D14+D19+D20+D21+D22+D24+D25+D15+D16+D17</f>
        <v>2920306.1700000004</v>
      </c>
      <c r="E28" s="43">
        <f>E12+E14+E15+E16+E17+E18+E24+E25</f>
        <v>1157474.3599999996</v>
      </c>
    </row>
    <row r="29" spans="1:6" ht="15.75" thickBot="1" x14ac:dyDescent="0.3">
      <c r="F29" s="4"/>
    </row>
    <row r="30" spans="1:6" ht="15.75" thickBot="1" x14ac:dyDescent="0.3">
      <c r="A30" s="129" t="s">
        <v>21</v>
      </c>
      <c r="B30" s="130"/>
      <c r="C30" s="130"/>
      <c r="D30" s="130"/>
      <c r="E30" s="105" t="s">
        <v>62</v>
      </c>
    </row>
    <row r="31" spans="1:6" ht="15.75" thickBot="1" x14ac:dyDescent="0.3">
      <c r="A31" s="79" t="s">
        <v>22</v>
      </c>
      <c r="B31" s="80" t="s">
        <v>23</v>
      </c>
      <c r="C31" s="81" t="s">
        <v>66</v>
      </c>
      <c r="D31" s="85" t="s">
        <v>24</v>
      </c>
      <c r="E31" s="104"/>
    </row>
    <row r="32" spans="1:6" ht="15.75" thickBot="1" x14ac:dyDescent="0.3">
      <c r="A32" s="78" t="s">
        <v>8</v>
      </c>
      <c r="B32" s="83" t="s">
        <v>25</v>
      </c>
      <c r="C32" s="82">
        <f>C33+C34+C35+C36+C38+C40+C41+C51+C43+C42+C44+C45+C47+C52+C48</f>
        <v>785463.5736</v>
      </c>
      <c r="D32" s="86">
        <f>D34+D35+D36+D37+D38+D40+D41+D42+D43+D44+D45+D46+D47+D48+D49+D50+D39</f>
        <v>936224.6100000001</v>
      </c>
      <c r="E32" s="99"/>
    </row>
    <row r="33" spans="1:21" x14ac:dyDescent="0.25">
      <c r="A33" s="44"/>
      <c r="B33" s="45">
        <f>B34+B35+B36+B38+B48+B39</f>
        <v>11.400000000000002</v>
      </c>
      <c r="C33" s="46"/>
      <c r="D33" s="87"/>
      <c r="E33" s="99"/>
      <c r="G33" s="27"/>
    </row>
    <row r="34" spans="1:21" x14ac:dyDescent="0.25">
      <c r="A34" s="47" t="s">
        <v>26</v>
      </c>
      <c r="B34" s="48">
        <v>1.86</v>
      </c>
      <c r="C34" s="49">
        <f>B34*5937.15*12</f>
        <v>132517.18799999999</v>
      </c>
      <c r="D34" s="88">
        <f>11151.54+11151.54+11151.54+11151.54+11151.54+11151.54+11151.54+11151.54+11151.54+11151.54-11151.54-11151.54-11151.54-11151.54+11043.1-11151.54-11151.54-11151.54-11151.54-11151.54-11151.54+11043.1+11043.1+11043.1+11043.1+11043.1+11043.1+11043.1+11043.1+11043.1+11043.1+11043.1</f>
        <v>132517.20000000001</v>
      </c>
      <c r="E34" s="9"/>
      <c r="F34" s="50"/>
      <c r="G34" s="27"/>
    </row>
    <row r="35" spans="1:21" x14ac:dyDescent="0.25">
      <c r="A35" s="47" t="s">
        <v>27</v>
      </c>
      <c r="B35" s="48">
        <v>1.29</v>
      </c>
      <c r="C35" s="49">
        <f>1.29*3578.5*12</f>
        <v>55395.180000000008</v>
      </c>
      <c r="D35" s="88">
        <f>4766.29+4766.29+6829.2+6829.2+6829.2+6829.2+6829.2+6829.2+6829.2+6829.2-4766.29-4766.29-6829.2-6829.2+6327.64-6829.2-6829.2-6829.2-6829.2-6829.2-6829.2+4616.27+4616.27+6327.64+6327.64+6327.64+6327.64+6327.64+6327.64+6327.64+6327.64+6327.64</f>
        <v>72508.939999999988</v>
      </c>
      <c r="E35" s="9"/>
      <c r="F35" s="50"/>
      <c r="G35" s="27"/>
    </row>
    <row r="36" spans="1:21" x14ac:dyDescent="0.25">
      <c r="A36" s="47" t="s">
        <v>28</v>
      </c>
      <c r="B36" s="48">
        <f>5.33+1.31</f>
        <v>6.6400000000000006</v>
      </c>
      <c r="C36" s="49">
        <f>6.64*5937.15*12</f>
        <v>473072.11199999991</v>
      </c>
      <c r="D36" s="88">
        <f>39809.79+39809.79+39809.78-23210.04+39809.78+39809.78+39809.78+39809.78+39809.78+39809.78+39809.78-39809.79-39809.79-39809.78-39809.78+39422.68-23210.04-39809.78+23210.04-39809.78-39809.78-39809.78-39809.78-39809.78+39422.68+39422.68+39422.68+39422.68+39422.68+39422.68+39422.68+39422.68+39422.68+39422.68+39422.68</f>
        <v>449862.12000000005</v>
      </c>
      <c r="E36" s="103" t="s">
        <v>60</v>
      </c>
      <c r="F36" s="51"/>
      <c r="G36" s="51"/>
    </row>
    <row r="37" spans="1:21" x14ac:dyDescent="0.25">
      <c r="A37" s="47" t="s">
        <v>29</v>
      </c>
      <c r="B37" s="52"/>
      <c r="C37" s="49"/>
      <c r="D37" s="88"/>
      <c r="E37" s="9"/>
      <c r="F37" s="50"/>
    </row>
    <row r="38" spans="1:21" x14ac:dyDescent="0.25">
      <c r="A38" s="47" t="s">
        <v>30</v>
      </c>
      <c r="B38" s="52">
        <v>1.06</v>
      </c>
      <c r="C38" s="84">
        <f>B38*5293.93*12</f>
        <v>67338.789600000004</v>
      </c>
      <c r="D38" s="88">
        <f>5528.38+5528.38+5528.38+5528.38+5528.38+5528.38+5528.38+5528.38+5528.38+5528.38-5528.38-5528.38-5528.38-5528.38+5611.58-5528.38-5528.38-5528.38-5528.38-5528.38-5528.38+5611.57+5611.57+5611.58+5611.58+5611.58+5611.58+5611.58+5611.58+5611.58+5611.58+5611.58</f>
        <v>67338.94</v>
      </c>
      <c r="E38" s="100"/>
      <c r="F38" s="3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 x14ac:dyDescent="0.25">
      <c r="A39" s="47" t="s">
        <v>31</v>
      </c>
      <c r="B39" s="52">
        <f>0.41</f>
        <v>0.41</v>
      </c>
      <c r="C39" s="84">
        <f>B39*C8*12</f>
        <v>28990.361999999994</v>
      </c>
      <c r="D39" s="88">
        <v>25970.400000000001</v>
      </c>
      <c r="E39" s="100"/>
      <c r="F39" s="30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 x14ac:dyDescent="0.25">
      <c r="A40" s="47" t="s">
        <v>32</v>
      </c>
      <c r="B40" s="53"/>
      <c r="C40" s="126">
        <f>1557.6*4</f>
        <v>6230.4</v>
      </c>
      <c r="D40" s="88">
        <v>6230.4</v>
      </c>
      <c r="E40" s="101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 ht="17.25" customHeight="1" x14ac:dyDescent="0.25">
      <c r="A41" s="47" t="s">
        <v>33</v>
      </c>
      <c r="B41" s="54" t="s">
        <v>34</v>
      </c>
      <c r="C41" s="49"/>
      <c r="D41" s="88">
        <v>9163.0499999999993</v>
      </c>
      <c r="E41" s="101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ht="18.75" customHeight="1" x14ac:dyDescent="0.25">
      <c r="A42" s="47" t="s">
        <v>35</v>
      </c>
      <c r="B42" s="54" t="s">
        <v>34</v>
      </c>
      <c r="C42" s="49"/>
      <c r="D42" s="119">
        <f>31493.24-15901.32</f>
        <v>15591.920000000002</v>
      </c>
      <c r="E42" s="101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 ht="17.25" customHeight="1" x14ac:dyDescent="0.25">
      <c r="A43" s="47" t="s">
        <v>36</v>
      </c>
      <c r="B43" s="54" t="s">
        <v>34</v>
      </c>
      <c r="C43" s="49"/>
      <c r="D43" s="88">
        <f>29423.1+29632.44</f>
        <v>59055.539999999994</v>
      </c>
      <c r="E43" s="101"/>
      <c r="F43" s="30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1" x14ac:dyDescent="0.25">
      <c r="A44" s="47" t="s">
        <v>85</v>
      </c>
      <c r="B44" s="55"/>
      <c r="C44" s="49"/>
      <c r="D44" s="88"/>
      <c r="E44" s="101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1" x14ac:dyDescent="0.25">
      <c r="A45" s="47" t="s">
        <v>67</v>
      </c>
      <c r="B45" s="53"/>
      <c r="C45" s="49"/>
      <c r="D45" s="88">
        <v>111.2</v>
      </c>
      <c r="E45" s="101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1" x14ac:dyDescent="0.25">
      <c r="A46" s="47" t="s">
        <v>37</v>
      </c>
      <c r="B46" s="53"/>
      <c r="C46" s="49"/>
      <c r="D46" s="88"/>
      <c r="E46" s="100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x14ac:dyDescent="0.25">
      <c r="A47" s="47" t="s">
        <v>38</v>
      </c>
      <c r="B47" s="55">
        <v>0</v>
      </c>
      <c r="C47" s="49"/>
      <c r="D47" s="119"/>
      <c r="E47" s="100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spans="1:21" x14ac:dyDescent="0.25">
      <c r="A48" s="47" t="s">
        <v>39</v>
      </c>
      <c r="B48" s="55">
        <v>0.14000000000000001</v>
      </c>
      <c r="C48" s="49">
        <f>B48*C8*12</f>
        <v>9899.1479999999992</v>
      </c>
      <c r="D48" s="119">
        <f>34196.31</f>
        <v>34196.31</v>
      </c>
      <c r="E48" s="101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 ht="30" x14ac:dyDescent="0.25">
      <c r="A49" s="47" t="s">
        <v>61</v>
      </c>
      <c r="B49" s="53"/>
      <c r="C49" s="49"/>
      <c r="D49" s="119">
        <v>44478.59</v>
      </c>
      <c r="E49" s="122" t="s">
        <v>86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30" customHeight="1" x14ac:dyDescent="0.25">
      <c r="A50" s="56" t="s">
        <v>40</v>
      </c>
      <c r="B50" s="55">
        <v>0</v>
      </c>
      <c r="C50" s="49"/>
      <c r="D50" s="88">
        <f>9600+9600</f>
        <v>19200</v>
      </c>
      <c r="E50" s="10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 ht="22.5" customHeight="1" x14ac:dyDescent="0.25">
      <c r="A51" s="57" t="s">
        <v>41</v>
      </c>
      <c r="B51" s="54" t="s">
        <v>34</v>
      </c>
      <c r="C51" s="58">
        <f>0.58*C8*12</f>
        <v>41010.755999999994</v>
      </c>
      <c r="D51" s="89">
        <f>3477.36+3477.36+3477.36+3477.36+3477.36+3477.36+3477.36+3477.36+3477.36+3477.36-3477.36-3477.36-3477.36-3477.36+3443.55-3477.36-3477.36-3477.36-3477.36-3477.36-3477.36+3443.55+3443.55+3443.55+3443.55+3443.55+3443.55+3443.55+3443.55+3443.55+3443.55+3443.55</f>
        <v>41322.6</v>
      </c>
      <c r="E51" s="100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21.75" customHeight="1" x14ac:dyDescent="0.25">
      <c r="A52" s="57" t="s">
        <v>42</v>
      </c>
      <c r="B52" s="54" t="s">
        <v>34</v>
      </c>
      <c r="C52" s="58"/>
      <c r="D52" s="89">
        <v>75527</v>
      </c>
      <c r="E52" s="102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x14ac:dyDescent="0.25">
      <c r="A53" s="57" t="s">
        <v>43</v>
      </c>
      <c r="B53" s="59"/>
      <c r="C53" s="58"/>
      <c r="D53" s="89">
        <v>0</v>
      </c>
      <c r="E53" s="101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x14ac:dyDescent="0.25">
      <c r="A54" s="57" t="s">
        <v>44</v>
      </c>
      <c r="B54" s="59"/>
      <c r="C54" s="58"/>
      <c r="D54" s="89">
        <f>58677.38+15901.32</f>
        <v>74578.7</v>
      </c>
      <c r="E54" s="101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x14ac:dyDescent="0.25">
      <c r="A55" s="57" t="s">
        <v>45</v>
      </c>
      <c r="B55" s="59"/>
      <c r="C55" s="58">
        <f>C56+C57+C58+C59</f>
        <v>0</v>
      </c>
      <c r="D55" s="89">
        <f>D56+D57+D58+D59</f>
        <v>1554276.81</v>
      </c>
      <c r="E55" s="101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x14ac:dyDescent="0.25">
      <c r="A56" s="47" t="s">
        <v>46</v>
      </c>
      <c r="B56" s="53"/>
      <c r="C56" s="49"/>
      <c r="D56" s="88">
        <v>1485296.75</v>
      </c>
      <c r="E56" s="100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x14ac:dyDescent="0.25">
      <c r="A57" s="47" t="s">
        <v>47</v>
      </c>
      <c r="B57" s="53"/>
      <c r="C57" s="49"/>
      <c r="D57" s="88">
        <v>68980.06</v>
      </c>
      <c r="E57" s="101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19.5" customHeight="1" x14ac:dyDescent="0.25">
      <c r="A58" s="47" t="s">
        <v>48</v>
      </c>
      <c r="B58" s="53"/>
      <c r="C58" s="49"/>
      <c r="D58" s="90"/>
      <c r="E58" s="137" t="s">
        <v>80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ht="21.75" customHeight="1" thickBot="1" x14ac:dyDescent="0.3">
      <c r="A59" s="60" t="s">
        <v>49</v>
      </c>
      <c r="B59" s="61"/>
      <c r="C59" s="62"/>
      <c r="D59" s="90"/>
      <c r="E59" s="138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 ht="15.75" thickBot="1" x14ac:dyDescent="0.3">
      <c r="A60" s="23" t="s">
        <v>50</v>
      </c>
      <c r="B60" s="78"/>
      <c r="C60" s="108">
        <f>C55+C54+C32</f>
        <v>785463.5736</v>
      </c>
      <c r="D60" s="91">
        <f>D55+D54+D32+D53+D52+D51</f>
        <v>2681929.7200000002</v>
      </c>
      <c r="E60" s="101"/>
      <c r="F60" s="30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 x14ac:dyDescent="0.25">
      <c r="A61" s="13" t="s">
        <v>51</v>
      </c>
      <c r="B61" s="63"/>
      <c r="C61" s="14"/>
      <c r="D61" s="92">
        <f>26053-D41-D45</f>
        <v>16778.75</v>
      </c>
      <c r="E61" s="101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x14ac:dyDescent="0.25">
      <c r="A62" s="64" t="s">
        <v>68</v>
      </c>
      <c r="B62" s="65"/>
      <c r="C62" s="66"/>
      <c r="D62" s="93">
        <f>B28-D60-D61</f>
        <v>694705.88999999966</v>
      </c>
      <c r="E62" s="101"/>
      <c r="F62" s="30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 ht="16.5" customHeight="1" x14ac:dyDescent="0.25">
      <c r="A63" s="68" t="s">
        <v>69</v>
      </c>
      <c r="B63" s="69"/>
      <c r="C63" s="70"/>
      <c r="D63" s="94">
        <v>636549.97</v>
      </c>
      <c r="E63" s="101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ht="37.5" customHeight="1" thickBot="1" x14ac:dyDescent="0.3">
      <c r="A64" s="131" t="s">
        <v>70</v>
      </c>
      <c r="B64" s="132"/>
      <c r="C64" s="133"/>
      <c r="D64" s="95">
        <f>D62+D63</f>
        <v>1331255.8599999996</v>
      </c>
      <c r="E64" s="10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1:21" ht="15.75" thickBot="1" x14ac:dyDescent="0.3">
      <c r="A65" s="111" t="s">
        <v>52</v>
      </c>
      <c r="B65" s="112"/>
      <c r="C65" s="113"/>
      <c r="D65" s="113"/>
      <c r="E65" s="101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1:21" x14ac:dyDescent="0.25">
      <c r="A66" s="71" t="s">
        <v>75</v>
      </c>
      <c r="B66" s="72"/>
      <c r="C66" s="28"/>
      <c r="D66" s="96">
        <f>B12+B16-D32+B27</f>
        <v>-188519.07000000007</v>
      </c>
      <c r="E66" s="101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1:21" x14ac:dyDescent="0.25">
      <c r="A67" s="73" t="s">
        <v>74</v>
      </c>
      <c r="B67" s="74"/>
      <c r="C67" s="31"/>
      <c r="D67" s="97">
        <f>B14-D52</f>
        <v>-75527</v>
      </c>
      <c r="E67" s="101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1:21" x14ac:dyDescent="0.25">
      <c r="A68" s="73" t="s">
        <v>73</v>
      </c>
      <c r="B68" s="74"/>
      <c r="C68" s="31"/>
      <c r="D68" s="97">
        <f>B17-D51</f>
        <v>-41322.6</v>
      </c>
      <c r="E68" s="10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1:21" x14ac:dyDescent="0.25">
      <c r="A69" s="73" t="s">
        <v>72</v>
      </c>
      <c r="B69" s="74"/>
      <c r="C69" s="31"/>
      <c r="D69" s="97">
        <f>B24-D54</f>
        <v>-39223.89</v>
      </c>
      <c r="E69" s="101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 x14ac:dyDescent="0.25">
      <c r="A70" s="73" t="s">
        <v>71</v>
      </c>
      <c r="B70" s="74"/>
      <c r="C70" s="31"/>
      <c r="D70" s="97">
        <f>B18-D55</f>
        <v>117424.38000000012</v>
      </c>
      <c r="E70" s="10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1:21" hidden="1" x14ac:dyDescent="0.25">
      <c r="A71" s="73"/>
      <c r="B71" s="74"/>
      <c r="C71" s="31"/>
      <c r="D71" s="97"/>
      <c r="E71" s="10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 x14ac:dyDescent="0.25">
      <c r="A72" s="73" t="s">
        <v>76</v>
      </c>
      <c r="B72" s="74"/>
      <c r="C72" s="31"/>
      <c r="D72" s="97">
        <f>B15</f>
        <v>911252.96</v>
      </c>
      <c r="E72" s="10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 x14ac:dyDescent="0.25">
      <c r="A73" s="73" t="s">
        <v>77</v>
      </c>
      <c r="B73" s="74"/>
      <c r="C73" s="31"/>
      <c r="D73" s="97">
        <f>B25</f>
        <v>27399.86</v>
      </c>
      <c r="E73" s="101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 ht="15.75" thickBot="1" x14ac:dyDescent="0.3">
      <c r="A74" s="75" t="s">
        <v>78</v>
      </c>
      <c r="B74" s="76"/>
      <c r="C74" s="36"/>
      <c r="D74" s="98">
        <f>-D61</f>
        <v>-16778.75</v>
      </c>
      <c r="E74" s="101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1" x14ac:dyDescent="0.25"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 ht="15.75" thickBot="1" x14ac:dyDescent="0.3"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 ht="15.75" thickBot="1" x14ac:dyDescent="0.3">
      <c r="A77" s="109" t="s">
        <v>84</v>
      </c>
      <c r="B77" s="110"/>
      <c r="C77" s="110"/>
      <c r="D77" s="120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 ht="33.75" customHeight="1" x14ac:dyDescent="0.25">
      <c r="A78" s="114" t="s">
        <v>79</v>
      </c>
      <c r="B78" s="115">
        <v>75527</v>
      </c>
      <c r="C78" s="18" t="s">
        <v>54</v>
      </c>
      <c r="D78" s="121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  <row r="79" spans="1:21" x14ac:dyDescent="0.25">
      <c r="A79" s="123" t="s">
        <v>20</v>
      </c>
      <c r="B79" s="124">
        <f>B78</f>
        <v>75527</v>
      </c>
      <c r="C79" s="124" t="s">
        <v>54</v>
      </c>
      <c r="D79" s="125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 x14ac:dyDescent="0.25"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</row>
    <row r="81" spans="1:21" x14ac:dyDescent="0.25"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21" x14ac:dyDescent="0.25"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spans="1:21" x14ac:dyDescent="0.25">
      <c r="A83" s="1" t="s">
        <v>55</v>
      </c>
      <c r="C83" s="4" t="s">
        <v>81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spans="1:21" x14ac:dyDescent="0.25"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</row>
    <row r="85" spans="1:21" x14ac:dyDescent="0.25">
      <c r="A85" s="1" t="s">
        <v>87</v>
      </c>
    </row>
    <row r="86" spans="1:21" ht="46.5" customHeight="1" x14ac:dyDescent="0.25">
      <c r="A86" s="139" t="s">
        <v>88</v>
      </c>
      <c r="B86" s="139"/>
      <c r="C86" s="139"/>
      <c r="D86" s="139"/>
      <c r="E86" s="139"/>
    </row>
    <row r="87" spans="1:21" x14ac:dyDescent="0.25">
      <c r="A87" s="116" t="s">
        <v>8</v>
      </c>
      <c r="B87" s="117">
        <f>D32/C8/12</f>
        <v>13.240679440291229</v>
      </c>
      <c r="C87" s="118" t="s">
        <v>82</v>
      </c>
    </row>
    <row r="88" spans="1:21" x14ac:dyDescent="0.25">
      <c r="A88" s="116" t="s">
        <v>53</v>
      </c>
      <c r="B88" s="117">
        <f>D52/C8/12</f>
        <v>1.0681505115389729</v>
      </c>
      <c r="C88" s="118" t="s">
        <v>82</v>
      </c>
    </row>
    <row r="89" spans="1:21" x14ac:dyDescent="0.25">
      <c r="A89" s="116" t="s">
        <v>83</v>
      </c>
      <c r="B89" s="117">
        <f>D51/C8/12</f>
        <v>0.5844102947041504</v>
      </c>
      <c r="C89" s="118" t="s">
        <v>82</v>
      </c>
    </row>
  </sheetData>
  <mergeCells count="7">
    <mergeCell ref="A86:E86"/>
    <mergeCell ref="A2:E3"/>
    <mergeCell ref="A30:D30"/>
    <mergeCell ref="A64:C64"/>
    <mergeCell ref="A10:E10"/>
    <mergeCell ref="A4:C4"/>
    <mergeCell ref="E58:E59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2013-05-30T00:58:14Z</cp:lastPrinted>
  <dcterms:created xsi:type="dcterms:W3CDTF">2013-03-26T01:13:33Z</dcterms:created>
  <dcterms:modified xsi:type="dcterms:W3CDTF">2013-05-30T01:04:58Z</dcterms:modified>
</cp:coreProperties>
</file>