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A140" i="1"/>
  <c r="A139" i="1"/>
  <c r="A135" i="1"/>
  <c r="G134" i="1"/>
  <c r="F134" i="1"/>
  <c r="D134" i="1"/>
  <c r="J133" i="1"/>
  <c r="J128" i="1"/>
  <c r="J127" i="1"/>
  <c r="G126" i="1"/>
  <c r="C37" i="3"/>
  <c r="A96" i="1" s="1"/>
  <c r="C45" i="3"/>
  <c r="A108" i="1" s="1"/>
  <c r="C53" i="3"/>
  <c r="C61" i="3"/>
  <c r="A124" i="1" s="1"/>
  <c r="C77" i="3"/>
  <c r="A138" i="1" s="1"/>
  <c r="C69" i="3"/>
  <c r="A132" i="1" s="1"/>
  <c r="J125" i="1"/>
  <c r="J120" i="1"/>
  <c r="J119" i="1"/>
  <c r="A125" i="1"/>
  <c r="A121" i="1"/>
  <c r="A120" i="1"/>
  <c r="A119" i="1"/>
  <c r="G118" i="1"/>
  <c r="F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A103" i="1"/>
  <c r="G102" i="1"/>
  <c r="F102" i="1"/>
  <c r="A102" i="1"/>
  <c r="J101" i="1"/>
  <c r="J96" i="1"/>
  <c r="J95" i="1"/>
  <c r="A97" i="1"/>
  <c r="G94" i="1"/>
  <c r="D94" i="1"/>
  <c r="A94" i="1"/>
  <c r="K94" i="1"/>
  <c r="A98" i="1" l="1"/>
  <c r="F94" i="1"/>
  <c r="A99" i="1"/>
  <c r="D118" i="1"/>
  <c r="A123" i="1"/>
  <c r="A141" i="1"/>
  <c r="A100" i="1"/>
  <c r="A95" i="1"/>
  <c r="A101" i="1"/>
  <c r="A136" i="1"/>
  <c r="A134" i="1"/>
  <c r="A137" i="1"/>
  <c r="A106" i="1"/>
  <c r="A122" i="1"/>
  <c r="A107" i="1"/>
  <c r="D102" i="1"/>
  <c r="A104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<sst xmlns="http://schemas.openxmlformats.org/spreadsheetml/2006/main" count="536" uniqueCount="191">
  <si>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</si>
  <si>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</si>
  <si>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</si>
  <si>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</si>
  <si>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</si>
  <si>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</si>
  <si>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</si>
  <si>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</si>
  <si>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</si>
  <si>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</si>
  <si>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</si>
  <si>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</si>
  <si>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</si>
  <si>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</si>
  <si>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</si>
  <si>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</si>
  <si>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</si>
  <si>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</si>
  <si>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</si>
  <si>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</si>
  <si>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</si>
  <si>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</si>
  <si>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</si>
  <si>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</si>
  <si>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</si>
  <si>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</si>
  <si>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</si>
  <si>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</si>
  <si>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</si>
  <si>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</si>
  <si>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</si>
  <si>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</si>
  <si>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</si>
  <si>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</si>
  <si>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</si>
  <si>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</si>
  <si>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</si>
  <si>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</si>
  <si>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</si>
  <si>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</si>
  <si>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</si>
  <si>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</si>
  <si>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</si>
  <si>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</si>
  <si>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</si>
  <si>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</si>
  <si>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</si>
  <si>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</si>
  <si>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</si>
  <si>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</si>
  <si>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</si>
  <si>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</si>
  <si>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</si>
  <si>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</si>
  <si>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</si>
  <si>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</si>
  <si>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</si>
  <si>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</si>
  <si>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</si>
  <si>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</si>
  <si>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</si>
  <si>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</si>
  <si>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</si>
  <si>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</si>
  <si>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</si>
  <si>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</si>
  <si>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</si>
  <si>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</si>
  <si>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</si>
  <si>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</si>
  <si>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</si>
  <si>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</si>
  <si>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</si>
  <si>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</si>
  <si>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</si>
  <si>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</si>
  <si>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</si>
  <si>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</si>
  <si>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</si>
  <si>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</si>
  <si>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</si>
  <si>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</si>
  <si>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</si>
  <si>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</si>
  <si>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</si>
  <si>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</si>
  <si>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</si>
  <si>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</si>
  <si>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</si>
  <si>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</si>
  <si>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</si>
  <si>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</si>
  <si>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</si>
  <si>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</si>
  <si>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</si>
  <si>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</si>
  <si>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</si>
  <si>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</si>
  <si>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</si>
  <si>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</si>
  <si>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</si>
  <si>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</si>
  <si>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</si>
  <si>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</si>
  <si>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</si>
  <si>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</si>
  <si>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</si>
  <si>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</si>
  <si>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</si>
  <si>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</si>
  <si>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</si>
  <si>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</si>
  <si>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</si>
  <si>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</si>
  <si>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</si>
  <si>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</si>
  <si>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</si>
  <si>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</si>
  <si>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</si>
  <si>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</si>
  <si>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</si>
  <si>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</si>
  <si>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</si>
  <si>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</si>
  <si>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</si>
  <si>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</si>
  <si>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</si>
  <si>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</si>
  <si>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</si>
  <si>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</si>
  <si>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</si>
  <si>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</si>
  <si>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</si>
  <si>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</si>
  <si>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</si>
  <si>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</si>
  <si>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</si>
  <si>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</si>
  <si>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</si>
  <si>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</si>
  <si>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</si>
  <si>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</si>
  <si>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</si>
  <si>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</si>
  <si>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</si>
  <si>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</si>
  <si>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</si>
  <si>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</si>
  <si>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</si>
  <si>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</si>
  <si>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</si>
  <si>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</si>
  <si>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</si>
  <si>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</si>
  <si>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</si>
  <si>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</si>
  <si>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</si>
  <si>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</si>
  <si>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</si>
  <si>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</si>
  <si>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</si>
  <si>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</si>
  <si>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</si>
  <si>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</si>
  <si>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</si>
  <si>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</si>
  <si>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</si>
  <si>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</si>
  <si>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</si>
  <si>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</si>
  <si>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</si>
  <si>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</si>
  <si>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</si>
  <si>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</si>
  <si>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</si>
  <si>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</si>
  <si>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</si>
  <si>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</si>
  <si>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119</t>
  </si>
  <si>
    <t>Тех. обслуживание охранной сигнализации.</t>
  </si>
  <si>
    <t>Ремонт прибора учета тепловой энергии.</t>
  </si>
  <si>
    <t>ежемесячно</t>
  </si>
  <si>
    <t>разово</t>
  </si>
  <si>
    <t>Счет №С-994 от 10.12.2018</t>
  </si>
  <si>
    <t>с 01.10.2018 Т.Р. 5,45, Приказ №47 от 26.10.2018, Протокол №1 от 24.08.2018</t>
  </si>
  <si>
    <t>площадь дома</t>
  </si>
  <si>
    <t xml:space="preserve">  -  ремонт подъезда</t>
  </si>
  <si>
    <t>Отчет об исполнении договора управления многоквартирного дома 
Березовый, 119 в части текущего ремонта</t>
  </si>
  <si>
    <t xml:space="preserve">Работы по содержанию земельного участка 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</si>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</sst>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165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/>
    </xf>
    <xf numFmtId="0" fontId="4" fillId="0" borderId="0" xfId="2" applyFill="1" applyBorder="1" applyAlignment="1"/>
    <xf numFmtId="4" fontId="16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6" fillId="0" borderId="0" xfId="2" applyFon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4" fontId="8" fillId="0" borderId="0" xfId="0" applyNumberFormat="1" applyFont="1" applyFill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0" fontId="1" fillId="6" borderId="0" xfId="5" applyFill="1" applyBorder="1" applyAlignment="1">
      <alignment horizontal="center" vertical="center"/>
    </xf>
    <xf numFmtId="4" fontId="16" fillId="0" borderId="0" xfId="5" applyNumberFormat="1" applyFont="1" applyFill="1" applyBorder="1" applyAlignment="1"/>
    <xf numFmtId="0" fontId="16" fillId="0" borderId="0" xfId="5" applyFont="1" applyFill="1" applyBorder="1" applyAlignment="1"/>
    <xf numFmtId="0" fontId="1" fillId="6" borderId="0" xfId="5" applyFill="1" applyBorder="1"/>
    <xf numFmtId="4" fontId="1" fillId="6" borderId="0" xfId="5" applyNumberFormat="1" applyFill="1" applyBorder="1" applyAlignment="1">
      <alignment vertical="center"/>
    </xf>
    <xf numFmtId="0" fontId="16" fillId="0" borderId="0" xfId="5" applyFont="1" applyFill="1" applyBorder="1" applyAlignment="1">
      <alignment horizontal="center"/>
    </xf>
    <xf numFmtId="0" fontId="1" fillId="6" borderId="0" xfId="5" applyFill="1" applyBorder="1" applyAlignment="1">
      <alignment horizontal="center"/>
    </xf>
    <xf numFmtId="0" fontId="16" fillId="6" borderId="0" xfId="5" applyFont="1" applyFill="1" applyBorder="1" applyAlignment="1"/>
    <xf numFmtId="0" fontId="9" fillId="0" borderId="0" xfId="0" applyFont="1" applyBorder="1" applyAlignment="1"/>
    <xf numFmtId="4" fontId="9" fillId="0" borderId="0" xfId="0" applyNumberFormat="1" applyFont="1" applyBorder="1" applyAlignment="1"/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9"/>
    <cellStyle name="Обычный 3 3" xfId="8"/>
    <cellStyle name="Обычный 3 4" xfId="7"/>
    <cellStyle name="Обычный 3 5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4"/>
      <c r="L1" s="114"/>
      <c r="M1" s="114"/>
      <c r="N1" s="114"/>
    </row>
    <row r="2" spans="1:18" ht="42" customHeight="1">
      <c r="A2" s="151" t="s">
        <v>178</v>
      </c>
      <c r="B2" s="151"/>
      <c r="C2" s="151"/>
      <c r="D2" s="151"/>
      <c r="E2" s="151"/>
      <c r="F2" s="151"/>
      <c r="G2" s="151"/>
      <c r="H2" s="151"/>
      <c r="I2" s="151"/>
      <c r="J2" s="151"/>
      <c r="K2" s="114"/>
      <c r="L2" s="114"/>
      <c r="M2" s="114"/>
      <c r="N2" s="114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4"/>
      <c r="L3" s="114"/>
      <c r="M3" s="114"/>
      <c r="N3" s="114"/>
    </row>
    <row r="4" spans="1:18">
      <c r="A4" s="1" t="s">
        <v>190</v>
      </c>
      <c r="E4" s="122">
        <v>43466</v>
      </c>
      <c r="K4" s="114"/>
      <c r="L4" s="114"/>
      <c r="M4" s="114"/>
      <c r="N4" s="114"/>
    </row>
    <row r="5" spans="1:18">
      <c r="A5" s="1" t="s">
        <v>0</v>
      </c>
      <c r="E5" s="122">
        <v>43830</v>
      </c>
      <c r="K5" s="114"/>
      <c r="L5" s="114"/>
      <c r="M5" s="114"/>
      <c r="N5" s="114"/>
    </row>
    <row r="6" spans="1:18" ht="12" customHeight="1">
      <c r="E6" s="3"/>
      <c r="K6" s="114"/>
      <c r="L6" s="114"/>
      <c r="M6" s="114"/>
      <c r="N6" s="114"/>
    </row>
    <row r="7" spans="1:18">
      <c r="A7" s="11" t="s">
        <v>31</v>
      </c>
      <c r="K7" s="114"/>
      <c r="L7" s="114"/>
      <c r="M7" s="114"/>
      <c r="N7" s="114"/>
    </row>
    <row r="8" spans="1:18" ht="18.75" customHeight="1" outlineLevel="1">
      <c r="A8" s="145" t="s">
        <v>1</v>
      </c>
      <c r="B8" s="146"/>
      <c r="C8" s="146"/>
      <c r="D8" s="146"/>
      <c r="E8" s="146"/>
      <c r="F8" s="146"/>
      <c r="G8" s="146"/>
      <c r="H8" s="146"/>
      <c r="I8" s="147"/>
      <c r="J8" s="17">
        <f t="shared" ref="J8:J24" si="0">VLOOKUP(O8,АО,3,FALSE)</f>
        <v>0</v>
      </c>
      <c r="K8" s="114"/>
      <c r="L8" s="152"/>
      <c r="M8" s="114"/>
      <c r="N8" s="114"/>
      <c r="O8" s="74" t="s">
        <v>85</v>
      </c>
      <c r="R8" s="16"/>
    </row>
    <row r="9" spans="1:18" ht="18.75" customHeight="1" outlineLevel="1">
      <c r="A9" s="145" t="s">
        <v>2</v>
      </c>
      <c r="B9" s="146"/>
      <c r="C9" s="146"/>
      <c r="D9" s="146"/>
      <c r="E9" s="146"/>
      <c r="F9" s="146"/>
      <c r="G9" s="146"/>
      <c r="H9" s="146"/>
      <c r="I9" s="147"/>
      <c r="J9" s="17">
        <f t="shared" si="0"/>
        <v>0</v>
      </c>
      <c r="K9" s="114"/>
      <c r="L9" s="152"/>
      <c r="M9" s="114"/>
      <c r="N9" s="114"/>
      <c r="O9" s="74" t="s">
        <v>86</v>
      </c>
    </row>
    <row r="10" spans="1:18" ht="18.75" customHeight="1" outlineLevel="1">
      <c r="A10" s="145" t="s">
        <v>3</v>
      </c>
      <c r="B10" s="146"/>
      <c r="C10" s="146"/>
      <c r="D10" s="146"/>
      <c r="E10" s="146"/>
      <c r="F10" s="146"/>
      <c r="G10" s="146"/>
      <c r="H10" s="146"/>
      <c r="I10" s="147"/>
      <c r="J10" s="17">
        <f t="shared" si="0"/>
        <v>59398.99</v>
      </c>
      <c r="K10" s="114"/>
      <c r="L10" s="152"/>
      <c r="M10" s="114"/>
      <c r="N10" s="114"/>
      <c r="O10" s="74" t="s">
        <v>87</v>
      </c>
    </row>
    <row r="11" spans="1:18" outlineLevel="1">
      <c r="A11" s="145" t="s">
        <v>4</v>
      </c>
      <c r="B11" s="146"/>
      <c r="C11" s="146"/>
      <c r="D11" s="146"/>
      <c r="E11" s="146"/>
      <c r="F11" s="146"/>
      <c r="G11" s="146"/>
      <c r="H11" s="146"/>
      <c r="I11" s="147"/>
      <c r="J11" s="17">
        <f t="shared" si="0"/>
        <v>228138.93</v>
      </c>
      <c r="K11" s="114"/>
      <c r="L11" s="152"/>
      <c r="M11" s="114"/>
      <c r="N11" s="114"/>
      <c r="O11" s="74" t="s">
        <v>88</v>
      </c>
    </row>
    <row r="12" spans="1:18" ht="18.75" customHeight="1" outlineLevel="1">
      <c r="A12" s="145" t="s">
        <v>5</v>
      </c>
      <c r="B12" s="146"/>
      <c r="C12" s="146"/>
      <c r="D12" s="146"/>
      <c r="E12" s="146"/>
      <c r="F12" s="146"/>
      <c r="G12" s="146"/>
      <c r="H12" s="146"/>
      <c r="I12" s="147"/>
      <c r="J12" s="17">
        <f t="shared" si="0"/>
        <v>109262.05</v>
      </c>
      <c r="K12" s="114"/>
      <c r="L12" s="152"/>
      <c r="M12" s="114"/>
      <c r="N12" s="114"/>
      <c r="O12" s="74" t="s">
        <v>89</v>
      </c>
    </row>
    <row r="13" spans="1:18" ht="18.75" customHeight="1" outlineLevel="1">
      <c r="A13" s="145" t="s">
        <v>6</v>
      </c>
      <c r="B13" s="146"/>
      <c r="C13" s="146"/>
      <c r="D13" s="146"/>
      <c r="E13" s="146"/>
      <c r="F13" s="146"/>
      <c r="G13" s="146"/>
      <c r="H13" s="146"/>
      <c r="I13" s="147"/>
      <c r="J13" s="17">
        <f t="shared" si="0"/>
        <v>61672.200000000004</v>
      </c>
      <c r="K13" s="114"/>
      <c r="L13" s="152"/>
      <c r="M13" s="114"/>
      <c r="N13" s="114"/>
      <c r="O13" s="74" t="s">
        <v>90</v>
      </c>
    </row>
    <row r="14" spans="1:18" ht="18.75" customHeight="1" outlineLevel="1">
      <c r="A14" s="145" t="s">
        <v>7</v>
      </c>
      <c r="B14" s="146"/>
      <c r="C14" s="146"/>
      <c r="D14" s="146"/>
      <c r="E14" s="146"/>
      <c r="F14" s="146"/>
      <c r="G14" s="146"/>
      <c r="H14" s="146"/>
      <c r="I14" s="147"/>
      <c r="J14" s="17">
        <f t="shared" si="0"/>
        <v>57204.68</v>
      </c>
      <c r="K14" s="114"/>
      <c r="L14" s="152"/>
      <c r="M14" s="114"/>
      <c r="N14" s="114"/>
      <c r="O14" s="74" t="s">
        <v>91</v>
      </c>
    </row>
    <row r="15" spans="1:18" ht="18.75" customHeight="1" outlineLevel="1">
      <c r="A15" s="145" t="s">
        <v>8</v>
      </c>
      <c r="B15" s="146"/>
      <c r="C15" s="146"/>
      <c r="D15" s="146"/>
      <c r="E15" s="146"/>
      <c r="F15" s="146"/>
      <c r="G15" s="146"/>
      <c r="H15" s="146"/>
      <c r="I15" s="147"/>
      <c r="J15" s="17">
        <f t="shared" si="0"/>
        <v>229906.98</v>
      </c>
      <c r="K15" s="114"/>
      <c r="L15" s="152"/>
      <c r="M15" s="114"/>
      <c r="N15" s="114"/>
      <c r="O15" s="74" t="s">
        <v>92</v>
      </c>
    </row>
    <row r="16" spans="1:18" ht="18.75" customHeight="1" outlineLevel="1">
      <c r="A16" s="145" t="s">
        <v>9</v>
      </c>
      <c r="B16" s="146"/>
      <c r="C16" s="146"/>
      <c r="D16" s="146"/>
      <c r="E16" s="146"/>
      <c r="F16" s="146"/>
      <c r="G16" s="146"/>
      <c r="H16" s="146"/>
      <c r="I16" s="147"/>
      <c r="J16" s="17">
        <f t="shared" si="0"/>
        <v>229906.98</v>
      </c>
      <c r="K16" s="114"/>
      <c r="L16" s="152"/>
      <c r="M16" s="114"/>
      <c r="N16" s="114"/>
      <c r="O16" s="74" t="s">
        <v>93</v>
      </c>
    </row>
    <row r="17" spans="1:23" ht="18.75" customHeight="1" outlineLevel="1">
      <c r="A17" s="145" t="s">
        <v>10</v>
      </c>
      <c r="B17" s="146"/>
      <c r="C17" s="146"/>
      <c r="D17" s="146"/>
      <c r="E17" s="146"/>
      <c r="F17" s="146"/>
      <c r="G17" s="146"/>
      <c r="H17" s="146"/>
      <c r="I17" s="147"/>
      <c r="J17" s="17">
        <f t="shared" si="0"/>
        <v>0</v>
      </c>
      <c r="K17" s="114"/>
      <c r="L17" s="152"/>
      <c r="M17" s="114"/>
      <c r="N17" s="114"/>
      <c r="O17" s="74" t="s">
        <v>94</v>
      </c>
    </row>
    <row r="18" spans="1:23" ht="18.75" customHeight="1" outlineLevel="1">
      <c r="A18" s="145" t="s">
        <v>11</v>
      </c>
      <c r="B18" s="146"/>
      <c r="C18" s="146"/>
      <c r="D18" s="146"/>
      <c r="E18" s="146"/>
      <c r="F18" s="146"/>
      <c r="G18" s="146"/>
      <c r="H18" s="146"/>
      <c r="I18" s="147"/>
      <c r="J18" s="17">
        <f t="shared" si="0"/>
        <v>0</v>
      </c>
      <c r="K18" s="114"/>
      <c r="L18" s="152"/>
      <c r="M18" s="114"/>
      <c r="N18" s="114"/>
      <c r="O18" s="74" t="s">
        <v>95</v>
      </c>
    </row>
    <row r="19" spans="1:23" ht="18.75" customHeight="1" outlineLevel="1">
      <c r="A19" s="145" t="s">
        <v>12</v>
      </c>
      <c r="B19" s="146"/>
      <c r="C19" s="146"/>
      <c r="D19" s="146"/>
      <c r="E19" s="146"/>
      <c r="F19" s="146"/>
      <c r="G19" s="146"/>
      <c r="H19" s="146"/>
      <c r="I19" s="147"/>
      <c r="J19" s="17">
        <f t="shared" si="0"/>
        <v>0</v>
      </c>
      <c r="K19" s="114"/>
      <c r="L19" s="152"/>
      <c r="M19" s="114"/>
      <c r="N19" s="114"/>
      <c r="O19" s="74" t="s">
        <v>96</v>
      </c>
    </row>
    <row r="20" spans="1:23" ht="18.75" customHeight="1" outlineLevel="1">
      <c r="A20" s="145" t="s">
        <v>13</v>
      </c>
      <c r="B20" s="146"/>
      <c r="C20" s="146"/>
      <c r="D20" s="146"/>
      <c r="E20" s="146"/>
      <c r="F20" s="146"/>
      <c r="G20" s="146"/>
      <c r="H20" s="146"/>
      <c r="I20" s="147"/>
      <c r="J20" s="17">
        <f t="shared" si="0"/>
        <v>0</v>
      </c>
      <c r="K20" s="114"/>
      <c r="L20" s="152"/>
      <c r="M20" s="114"/>
      <c r="N20" s="114"/>
      <c r="O20" s="74" t="s">
        <v>97</v>
      </c>
    </row>
    <row r="21" spans="1:23" ht="18.75" customHeight="1" outlineLevel="1">
      <c r="A21" s="145" t="s">
        <v>14</v>
      </c>
      <c r="B21" s="146"/>
      <c r="C21" s="146"/>
      <c r="D21" s="146"/>
      <c r="E21" s="146"/>
      <c r="F21" s="146"/>
      <c r="G21" s="146"/>
      <c r="H21" s="146"/>
      <c r="I21" s="147"/>
      <c r="J21" s="17">
        <f t="shared" si="0"/>
        <v>229906.98</v>
      </c>
      <c r="K21" s="114"/>
      <c r="L21" s="152"/>
      <c r="M21" s="114"/>
      <c r="N21" s="114"/>
      <c r="O21" s="74" t="s">
        <v>98</v>
      </c>
    </row>
    <row r="22" spans="1:23" ht="18.75" customHeight="1" outlineLevel="1">
      <c r="A22" s="145" t="s">
        <v>15</v>
      </c>
      <c r="B22" s="146"/>
      <c r="C22" s="146"/>
      <c r="D22" s="146"/>
      <c r="E22" s="146"/>
      <c r="F22" s="146"/>
      <c r="G22" s="146"/>
      <c r="H22" s="146"/>
      <c r="I22" s="147"/>
      <c r="J22" s="17">
        <f t="shared" si="0"/>
        <v>0</v>
      </c>
      <c r="K22" s="114"/>
      <c r="L22" s="152"/>
      <c r="M22" s="114"/>
      <c r="N22" s="114"/>
      <c r="O22" s="74" t="s">
        <v>99</v>
      </c>
    </row>
    <row r="23" spans="1:23" ht="18.75" customHeight="1" outlineLevel="1">
      <c r="A23" s="145" t="s">
        <v>16</v>
      </c>
      <c r="B23" s="146"/>
      <c r="C23" s="146"/>
      <c r="D23" s="146"/>
      <c r="E23" s="146"/>
      <c r="F23" s="146"/>
      <c r="G23" s="146"/>
      <c r="H23" s="146"/>
      <c r="I23" s="147"/>
      <c r="J23" s="17">
        <f t="shared" si="0"/>
        <v>0</v>
      </c>
      <c r="K23" s="114"/>
      <c r="L23" s="152"/>
      <c r="M23" s="114"/>
      <c r="N23" s="114"/>
      <c r="O23" s="74" t="s">
        <v>100</v>
      </c>
    </row>
    <row r="24" spans="1:23" ht="18.75" customHeight="1" outlineLevel="1">
      <c r="A24" s="145" t="s">
        <v>17</v>
      </c>
      <c r="B24" s="146"/>
      <c r="C24" s="146"/>
      <c r="D24" s="146"/>
      <c r="E24" s="146"/>
      <c r="F24" s="146"/>
      <c r="G24" s="146"/>
      <c r="H24" s="146"/>
      <c r="I24" s="147"/>
      <c r="J24" s="17">
        <f t="shared" si="0"/>
        <v>57630.939999999973</v>
      </c>
      <c r="K24" s="114"/>
      <c r="L24" s="152"/>
      <c r="M24" s="114"/>
      <c r="N24" s="114"/>
      <c r="O24" s="74" t="s">
        <v>101</v>
      </c>
    </row>
    <row r="25" spans="1:23">
      <c r="A25" s="4"/>
      <c r="K25" s="114"/>
      <c r="L25" s="114"/>
      <c r="M25" s="114"/>
      <c r="N25" s="114"/>
    </row>
    <row r="26" spans="1:23">
      <c r="A26" s="11" t="s">
        <v>30</v>
      </c>
      <c r="K26" s="114"/>
      <c r="L26" s="114"/>
      <c r="M26" s="114"/>
      <c r="N26" s="114"/>
    </row>
    <row r="27" spans="1:23" ht="92.25" customHeight="1" outlineLevel="1">
      <c r="A27" s="144" t="s">
        <v>18</v>
      </c>
      <c r="B27" s="144"/>
      <c r="C27" s="144"/>
      <c r="D27" s="144"/>
      <c r="E27" s="144"/>
      <c r="F27" s="144" t="s">
        <v>19</v>
      </c>
      <c r="G27" s="144"/>
      <c r="H27" s="5" t="s">
        <v>55</v>
      </c>
      <c r="I27" s="144" t="s">
        <v>20</v>
      </c>
      <c r="J27" s="144"/>
      <c r="K27" s="114"/>
      <c r="L27" s="153"/>
      <c r="M27" s="114"/>
      <c r="N27" s="114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41">
        <f>VLOOKUP(A28,ПТО!$A$39:$D$53,2,FALSE)</f>
        <v>15050.28</v>
      </c>
      <c r="G28" s="141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4"/>
      <c r="L28" s="153"/>
      <c r="M28" s="114"/>
      <c r="N28" s="114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6" t="str">
        <f>ПТО!A40</f>
        <v>Услуги и работы по управлению МКД</v>
      </c>
      <c r="B29" s="136"/>
      <c r="C29" s="136"/>
      <c r="D29" s="136"/>
      <c r="E29" s="136"/>
      <c r="F29" s="141">
        <f>VLOOKUP(A29,ПТО!$A$39:$D$53,2,FALSE)</f>
        <v>56580</v>
      </c>
      <c r="G29" s="141"/>
      <c r="H29" s="44" t="str">
        <f>VLOOKUP(A29,ПТО!$A$39:$D$53,3,FALSE)</f>
        <v>Ежемесячно</v>
      </c>
      <c r="I29" s="137">
        <f>VLOOKUP(A29,ПТО!$A$39:$D$53,4,FALSE)</f>
        <v>12</v>
      </c>
      <c r="J29" s="137"/>
      <c r="K29" s="114"/>
      <c r="L29" s="153"/>
      <c r="M29" s="114"/>
      <c r="N29" s="114"/>
      <c r="O29" s="23" t="str">
        <f t="shared" si="1"/>
        <v>Услуги и работы по управлению МКД</v>
      </c>
      <c r="R29" s="1" t="s">
        <v>73</v>
      </c>
    </row>
    <row r="30" spans="1:23" ht="45.75" customHeight="1" outlineLevel="1">
      <c r="A30" s="136" t="str">
        <f>ПТО!A41</f>
        <v xml:space="preserve">Работы по содержанию земельного участка </v>
      </c>
      <c r="B30" s="136"/>
      <c r="C30" s="136"/>
      <c r="D30" s="136"/>
      <c r="E30" s="136"/>
      <c r="F30" s="141">
        <f>VLOOKUP(A30,ПТО!$A$39:$D$53,2,FALSE)</f>
        <v>40511.279999999999</v>
      </c>
      <c r="G30" s="141"/>
      <c r="H30" s="44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4"/>
      <c r="L30" s="153"/>
      <c r="M30" s="114"/>
      <c r="N30" s="114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41">
        <f>VLOOKUP(A31,ПТО!$A$39:$D$53,2,FALSE)</f>
        <v>13352.88</v>
      </c>
      <c r="G31" s="141"/>
      <c r="H31" s="44" t="str">
        <f>VLOOKUP(A31,ПТО!$A$39:$D$53,3,FALSE)</f>
        <v>Ежемесячно</v>
      </c>
      <c r="I31" s="137">
        <f>VLOOKUP(A31,ПТО!$A$39:$D$53,4,FALSE)</f>
        <v>12</v>
      </c>
      <c r="J31" s="137"/>
      <c r="K31" s="114"/>
      <c r="L31" s="153"/>
      <c r="M31" s="114"/>
      <c r="N31" s="114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41" t="e">
        <f>VLOOKUP(A32,ПТО!$A$39:$D$53,2,FALSE)</f>
        <v>#N/A</v>
      </c>
      <c r="G32" s="141"/>
      <c r="H32" s="44" t="e">
        <f>VLOOKUP(A32,ПТО!$A$39:$D$53,3,FALSE)</f>
        <v>#N/A</v>
      </c>
      <c r="I32" s="137" t="e">
        <f>VLOOKUP(A32,ПТО!$A$39:$D$53,4,FALSE)</f>
        <v>#N/A</v>
      </c>
      <c r="J32" s="137"/>
      <c r="K32" s="114"/>
      <c r="L32" s="153"/>
      <c r="M32" s="114"/>
      <c r="N32" s="114"/>
      <c r="O32" s="23">
        <f t="shared" si="1"/>
        <v>0</v>
      </c>
      <c r="R32" s="1" t="s">
        <v>73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41">
        <f>VLOOKUP(A33,ПТО!$A$39:$D$53,2,FALSE)</f>
        <v>5658</v>
      </c>
      <c r="G33" s="141"/>
      <c r="H33" s="44" t="str">
        <f>VLOOKUP(A33,ПТО!$A$39:$D$53,3,FALSE)</f>
        <v>Круглосуточно</v>
      </c>
      <c r="I33" s="137">
        <f>VLOOKUP(A33,ПТО!$A$39:$D$53,4,FALSE)</f>
        <v>12</v>
      </c>
      <c r="J33" s="137"/>
      <c r="K33" s="114"/>
      <c r="L33" s="153"/>
      <c r="M33" s="114"/>
      <c r="N33" s="114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41">
        <f>VLOOKUP(A34,ПТО!$A$39:$D$53,2,FALSE)</f>
        <v>28290</v>
      </c>
      <c r="G34" s="141"/>
      <c r="H34" s="44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4"/>
      <c r="L34" s="153"/>
      <c r="M34" s="114"/>
      <c r="N34" s="114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41" t="e">
        <f>VLOOKUP(A35,ПТО!$A$39:$D$53,2,FALSE)</f>
        <v>#N/A</v>
      </c>
      <c r="G35" s="141"/>
      <c r="H35" s="44" t="e">
        <f>VLOOKUP(A35,ПТО!$A$39:$D$53,3,FALSE)</f>
        <v>#N/A</v>
      </c>
      <c r="I35" s="137" t="e">
        <f>VLOOKUP(A35,ПТО!$A$39:$D$53,4,FALSE)</f>
        <v>#N/A</v>
      </c>
      <c r="J35" s="137"/>
      <c r="K35" s="114"/>
      <c r="L35" s="153"/>
      <c r="M35" s="121"/>
      <c r="N35" s="114"/>
      <c r="O35" s="23">
        <f t="shared" si="1"/>
        <v>0</v>
      </c>
      <c r="R35" s="1" t="s">
        <v>73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41" t="e">
        <f>VLOOKUP(A36,ПТО!$A$39:$D$53,2,FALSE)</f>
        <v>#N/A</v>
      </c>
      <c r="G36" s="141"/>
      <c r="H36" s="44" t="e">
        <f>VLOOKUP(A36,ПТО!$A$39:$D$53,3,FALSE)</f>
        <v>#N/A</v>
      </c>
      <c r="I36" s="137" t="e">
        <f>VLOOKUP(A36,ПТО!$A$39:$D$53,4,FALSE)</f>
        <v>#N/A</v>
      </c>
      <c r="J36" s="137"/>
      <c r="K36" s="114"/>
      <c r="L36" s="153"/>
      <c r="M36" s="121"/>
      <c r="N36" s="114"/>
      <c r="O36" s="23">
        <f t="shared" si="1"/>
        <v>0</v>
      </c>
      <c r="R36" s="1" t="s">
        <v>73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41" t="e">
        <f>VLOOKUP(A37,ПТО!$A$39:$D$53,2,FALSE)</f>
        <v>#N/A</v>
      </c>
      <c r="G37" s="141"/>
      <c r="H37" s="44" t="e">
        <f>VLOOKUP(A37,ПТО!$A$39:$D$53,3,FALSE)</f>
        <v>#N/A</v>
      </c>
      <c r="I37" s="137" t="e">
        <f>VLOOKUP(A37,ПТО!$A$39:$D$53,4,FALSE)</f>
        <v>#N/A</v>
      </c>
      <c r="J37" s="137"/>
      <c r="K37" s="114"/>
      <c r="L37" s="153"/>
      <c r="M37" s="121"/>
      <c r="N37" s="114"/>
      <c r="O37" s="23">
        <f t="shared" si="1"/>
        <v>0</v>
      </c>
      <c r="R37" s="1" t="s">
        <v>73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41" t="e">
        <f>VLOOKUP(A38,ПТО!$A$39:$D$53,2,FALSE)</f>
        <v>#N/A</v>
      </c>
      <c r="G38" s="141"/>
      <c r="H38" s="44" t="e">
        <f>VLOOKUP(A38,ПТО!$A$39:$D$53,3,FALSE)</f>
        <v>#N/A</v>
      </c>
      <c r="I38" s="137" t="e">
        <f>VLOOKUP(A38,ПТО!$A$39:$D$53,4,FALSE)</f>
        <v>#N/A</v>
      </c>
      <c r="J38" s="137"/>
      <c r="K38" s="114"/>
      <c r="L38" s="153"/>
      <c r="M38" s="121"/>
      <c r="N38" s="114"/>
      <c r="O38" s="23">
        <f t="shared" si="1"/>
        <v>0</v>
      </c>
      <c r="R38" s="1" t="s">
        <v>73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41" t="e">
        <f>VLOOKUP(A39,ПТО!$A$39:$D$53,2,FALSE)</f>
        <v>#N/A</v>
      </c>
      <c r="G39" s="141"/>
      <c r="H39" s="44" t="e">
        <f>VLOOKUP(A39,ПТО!$A$39:$D$53,3,FALSE)</f>
        <v>#N/A</v>
      </c>
      <c r="I39" s="137" t="e">
        <f>VLOOKUP(A39,ПТО!$A$39:$D$53,4,FALSE)</f>
        <v>#N/A</v>
      </c>
      <c r="J39" s="137"/>
      <c r="K39" s="114"/>
      <c r="L39" s="153"/>
      <c r="M39" s="121"/>
      <c r="N39" s="114"/>
      <c r="O39" s="23">
        <f t="shared" si="1"/>
        <v>0</v>
      </c>
      <c r="R39" s="1" t="s">
        <v>73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41" t="e">
        <f>VLOOKUP(A40,ПТО!$A$39:$D$53,2,FALSE)</f>
        <v>#N/A</v>
      </c>
      <c r="G40" s="141"/>
      <c r="H40" s="44" t="e">
        <f>VLOOKUP(A40,ПТО!$A$39:$D$53,3,FALSE)</f>
        <v>#N/A</v>
      </c>
      <c r="I40" s="137" t="e">
        <f>VLOOKUP(A40,ПТО!$A$39:$D$53,4,FALSE)</f>
        <v>#N/A</v>
      </c>
      <c r="J40" s="137"/>
      <c r="K40" s="114"/>
      <c r="L40" s="153"/>
      <c r="M40" s="121"/>
      <c r="N40" s="114"/>
      <c r="O40" s="23">
        <f t="shared" si="1"/>
        <v>0</v>
      </c>
      <c r="R40" s="1" t="s">
        <v>73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41" t="e">
        <f>VLOOKUP(A41,ПТО!$A$39:$D$53,2,FALSE)</f>
        <v>#N/A</v>
      </c>
      <c r="G41" s="141"/>
      <c r="H41" s="44" t="e">
        <f>VLOOKUP(A41,ПТО!$A$39:$D$53,3,FALSE)</f>
        <v>#N/A</v>
      </c>
      <c r="I41" s="137" t="e">
        <f>VLOOKUP(A41,ПТО!$A$39:$D$53,4,FALSE)</f>
        <v>#N/A</v>
      </c>
      <c r="J41" s="137"/>
      <c r="K41" s="114"/>
      <c r="L41" s="153"/>
      <c r="M41" s="121"/>
      <c r="N41" s="114"/>
      <c r="O41" s="23">
        <f t="shared" si="1"/>
        <v>0</v>
      </c>
      <c r="R41" s="1" t="s">
        <v>73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41" t="e">
        <f>VLOOKUP(A42,ПТО!$A$39:$D$53,2,FALSE)</f>
        <v>#N/A</v>
      </c>
      <c r="G42" s="141"/>
      <c r="H42" s="44" t="e">
        <f>VLOOKUP(A42,ПТО!$A$39:$D$53,3,FALSE)</f>
        <v>#N/A</v>
      </c>
      <c r="I42" s="137" t="e">
        <f>VLOOKUP(A42,ПТО!$A$39:$D$53,4,FALSE)</f>
        <v>#N/A</v>
      </c>
      <c r="J42" s="137"/>
      <c r="K42" s="114"/>
      <c r="L42" s="153"/>
      <c r="M42" s="121"/>
      <c r="N42" s="114"/>
      <c r="O42" s="23">
        <f t="shared" si="1"/>
        <v>0</v>
      </c>
      <c r="R42" s="1" t="s">
        <v>73</v>
      </c>
    </row>
    <row r="43" spans="1:18" ht="51" customHeight="1" outlineLevel="1">
      <c r="A43" s="136" t="str">
        <f>ПТО!A2</f>
        <v>Тех. обслуживание охранной сигнализации.</v>
      </c>
      <c r="B43" s="136"/>
      <c r="C43" s="136"/>
      <c r="D43" s="136"/>
      <c r="E43" s="136"/>
      <c r="F43" s="141">
        <f>VLOOKUP(A43,ПТО!$A$2:$D$31,4,FALSE)</f>
        <v>5577.12</v>
      </c>
      <c r="G43" s="141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4"/>
      <c r="L43" s="153"/>
      <c r="M43" s="121"/>
      <c r="N43" s="114"/>
      <c r="O43" s="23" t="str">
        <f t="shared" si="1"/>
        <v>Тех. обслуживание охранной сигнализации.</v>
      </c>
      <c r="R43" s="22" t="s">
        <v>74</v>
      </c>
    </row>
    <row r="44" spans="1:18" ht="51" customHeight="1" outlineLevel="1">
      <c r="A44" s="136" t="str">
        <f>ПТО!A3</f>
        <v>Ремонт прибора учета тепловой энергии.</v>
      </c>
      <c r="B44" s="136"/>
      <c r="C44" s="136"/>
      <c r="D44" s="136"/>
      <c r="E44" s="136"/>
      <c r="F44" s="141">
        <f>VLOOKUP(A44,ПТО!$A$2:$D$31,4,FALSE)</f>
        <v>885</v>
      </c>
      <c r="G44" s="141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4"/>
      <c r="L44" s="153"/>
      <c r="M44" s="121"/>
      <c r="N44" s="114"/>
      <c r="O44" s="23" t="str">
        <f t="shared" si="1"/>
        <v>Ремонт прибора учета тепловой энергии.</v>
      </c>
      <c r="R44" s="22" t="s">
        <v>74</v>
      </c>
    </row>
    <row r="45" spans="1:18" ht="51" hidden="1" customHeight="1" outlineLevel="1">
      <c r="A45" s="136">
        <f>ПТО!A4</f>
        <v>0</v>
      </c>
      <c r="B45" s="136"/>
      <c r="C45" s="136"/>
      <c r="D45" s="136"/>
      <c r="E45" s="136"/>
      <c r="F45" s="141" t="e">
        <f>VLOOKUP(A45,ПТО!$A$2:$D$31,4,FALSE)</f>
        <v>#N/A</v>
      </c>
      <c r="G45" s="141"/>
      <c r="H45" s="25" t="e">
        <f>VLOOKUP(A45,ПТО!$A$2:$D$31,2,FALSE)</f>
        <v>#N/A</v>
      </c>
      <c r="I45" s="137" t="e">
        <f>VLOOKUP(A45,ПТО!$A$2:$D$31,3,FALSE)</f>
        <v>#N/A</v>
      </c>
      <c r="J45" s="137"/>
      <c r="K45" s="114"/>
      <c r="L45" s="153"/>
      <c r="M45" s="121"/>
      <c r="N45" s="114"/>
      <c r="O45" s="23">
        <f t="shared" si="1"/>
        <v>0</v>
      </c>
      <c r="R45" s="22" t="s">
        <v>74</v>
      </c>
    </row>
    <row r="46" spans="1:18" ht="51" hidden="1" customHeight="1" outlineLevel="1">
      <c r="A46" s="136">
        <f>ПТО!A5</f>
        <v>0</v>
      </c>
      <c r="B46" s="136"/>
      <c r="C46" s="136"/>
      <c r="D46" s="136"/>
      <c r="E46" s="136"/>
      <c r="F46" s="141" t="e">
        <f>VLOOKUP(A46,ПТО!$A$2:$D$31,4,FALSE)</f>
        <v>#N/A</v>
      </c>
      <c r="G46" s="141"/>
      <c r="H46" s="25" t="e">
        <f>VLOOKUP(A46,ПТО!$A$2:$D$31,2,FALSE)</f>
        <v>#N/A</v>
      </c>
      <c r="I46" s="137" t="e">
        <f>VLOOKUP(A46,ПТО!$A$2:$D$31,3,FALSE)</f>
        <v>#N/A</v>
      </c>
      <c r="J46" s="137"/>
      <c r="K46" s="114"/>
      <c r="L46" s="153"/>
      <c r="M46" s="121"/>
      <c r="N46" s="114"/>
      <c r="O46" s="23">
        <f t="shared" si="1"/>
        <v>0</v>
      </c>
      <c r="R46" s="22" t="s">
        <v>74</v>
      </c>
    </row>
    <row r="47" spans="1:18" ht="51" hidden="1" customHeight="1" outlineLevel="1">
      <c r="A47" s="136">
        <f>ПТО!A6</f>
        <v>0</v>
      </c>
      <c r="B47" s="136"/>
      <c r="C47" s="136"/>
      <c r="D47" s="136"/>
      <c r="E47" s="136"/>
      <c r="F47" s="141" t="e">
        <f>VLOOKUP(A47,ПТО!$A$2:$D$31,4,FALSE)</f>
        <v>#N/A</v>
      </c>
      <c r="G47" s="141"/>
      <c r="H47" s="25" t="e">
        <f>VLOOKUP(A47,ПТО!$A$2:$D$31,2,FALSE)</f>
        <v>#N/A</v>
      </c>
      <c r="I47" s="137" t="e">
        <f>VLOOKUP(A47,ПТО!$A$2:$D$31,3,FALSE)</f>
        <v>#N/A</v>
      </c>
      <c r="J47" s="137"/>
      <c r="K47" s="114"/>
      <c r="L47" s="153"/>
      <c r="M47" s="121"/>
      <c r="N47" s="114"/>
      <c r="O47" s="23">
        <f t="shared" si="1"/>
        <v>0</v>
      </c>
      <c r="R47" s="22" t="s">
        <v>74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4"/>
      <c r="L48" s="153"/>
      <c r="M48" s="121"/>
      <c r="N48" s="114"/>
      <c r="O48" s="23">
        <f t="shared" si="1"/>
        <v>0</v>
      </c>
      <c r="R48" s="22" t="s">
        <v>74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4"/>
      <c r="L49" s="153"/>
      <c r="M49" s="121"/>
      <c r="N49" s="114"/>
      <c r="O49" s="23">
        <f t="shared" si="1"/>
        <v>0</v>
      </c>
      <c r="R49" s="22" t="s">
        <v>74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4"/>
      <c r="L50" s="153"/>
      <c r="M50" s="121"/>
      <c r="N50" s="114"/>
      <c r="O50" s="23">
        <f t="shared" si="1"/>
        <v>0</v>
      </c>
      <c r="R50" s="22" t="s">
        <v>74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4"/>
      <c r="L51" s="153"/>
      <c r="M51" s="121"/>
      <c r="N51" s="114"/>
      <c r="O51" s="23">
        <f t="shared" si="1"/>
        <v>0</v>
      </c>
      <c r="R51" s="22" t="s">
        <v>74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4"/>
      <c r="L52" s="153"/>
      <c r="M52" s="121"/>
      <c r="N52" s="114"/>
      <c r="O52" s="23">
        <f t="shared" si="1"/>
        <v>0</v>
      </c>
      <c r="R52" s="22" t="s">
        <v>74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4"/>
      <c r="L53" s="153"/>
      <c r="M53" s="121"/>
      <c r="N53" s="114"/>
      <c r="O53" s="23">
        <f t="shared" si="1"/>
        <v>0</v>
      </c>
      <c r="R53" s="22" t="s">
        <v>74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4"/>
      <c r="L54" s="153"/>
      <c r="M54" s="121"/>
      <c r="N54" s="114"/>
      <c r="O54" s="23">
        <f t="shared" si="1"/>
        <v>0</v>
      </c>
      <c r="R54" s="22" t="s">
        <v>74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4"/>
      <c r="L55" s="153"/>
      <c r="M55" s="121"/>
      <c r="N55" s="114"/>
      <c r="O55" s="23">
        <f t="shared" si="1"/>
        <v>0</v>
      </c>
      <c r="R55" s="22" t="s">
        <v>74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4"/>
      <c r="L56" s="153"/>
      <c r="M56" s="121"/>
      <c r="N56" s="114"/>
      <c r="O56" s="23">
        <f t="shared" si="1"/>
        <v>0</v>
      </c>
      <c r="R56" s="22" t="s">
        <v>74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4"/>
      <c r="L57" s="153"/>
      <c r="M57" s="121"/>
      <c r="N57" s="114"/>
      <c r="O57" s="23">
        <f t="shared" si="1"/>
        <v>0</v>
      </c>
      <c r="R57" s="22" t="s">
        <v>74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4"/>
      <c r="L58" s="153"/>
      <c r="M58" s="121"/>
      <c r="N58" s="114"/>
      <c r="O58" s="23">
        <f t="shared" si="1"/>
        <v>0</v>
      </c>
      <c r="R58" s="22" t="s">
        <v>74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4"/>
      <c r="L59" s="153"/>
      <c r="M59" s="121"/>
      <c r="N59" s="114"/>
      <c r="O59" s="23">
        <f t="shared" si="1"/>
        <v>0</v>
      </c>
      <c r="R59" s="22" t="s">
        <v>74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4"/>
      <c r="L60" s="153"/>
      <c r="M60" s="121"/>
      <c r="N60" s="114"/>
      <c r="O60" s="23">
        <f t="shared" si="1"/>
        <v>0</v>
      </c>
      <c r="R60" s="22" t="s">
        <v>74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4"/>
      <c r="L61" s="153"/>
      <c r="M61" s="121"/>
      <c r="N61" s="114"/>
      <c r="O61" s="23">
        <f t="shared" si="1"/>
        <v>0</v>
      </c>
      <c r="R61" s="22" t="s">
        <v>74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4"/>
      <c r="L62" s="153"/>
      <c r="M62" s="121"/>
      <c r="N62" s="114"/>
      <c r="O62" s="23">
        <f t="shared" si="1"/>
        <v>0</v>
      </c>
      <c r="R62" s="22" t="s">
        <v>74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4"/>
      <c r="L63" s="153"/>
      <c r="M63" s="121"/>
      <c r="N63" s="114"/>
      <c r="O63" s="23">
        <f t="shared" si="1"/>
        <v>0</v>
      </c>
      <c r="R63" s="22" t="s">
        <v>74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4"/>
      <c r="L64" s="153"/>
      <c r="M64" s="121"/>
      <c r="N64" s="114"/>
      <c r="O64" s="23">
        <f t="shared" si="1"/>
        <v>0</v>
      </c>
      <c r="R64" s="22" t="s">
        <v>74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4"/>
      <c r="L65" s="153"/>
      <c r="M65" s="121"/>
      <c r="N65" s="114"/>
      <c r="O65" s="23">
        <f t="shared" si="1"/>
        <v>0</v>
      </c>
      <c r="R65" s="22" t="s">
        <v>74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4"/>
      <c r="L66" s="153"/>
      <c r="M66" s="121"/>
      <c r="N66" s="114"/>
      <c r="O66" s="23">
        <f t="shared" si="1"/>
        <v>0</v>
      </c>
      <c r="R66" s="22" t="s">
        <v>74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4"/>
      <c r="L67" s="153"/>
      <c r="M67" s="121"/>
      <c r="N67" s="114"/>
      <c r="O67" s="23">
        <f t="shared" si="1"/>
        <v>0</v>
      </c>
      <c r="R67" s="22" t="s">
        <v>74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4"/>
      <c r="L68" s="153"/>
      <c r="M68" s="121"/>
      <c r="N68" s="114"/>
      <c r="O68" s="23">
        <f t="shared" si="1"/>
        <v>0</v>
      </c>
      <c r="R68" s="22" t="s">
        <v>74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4"/>
      <c r="L69" s="153"/>
      <c r="M69" s="121"/>
      <c r="N69" s="114"/>
      <c r="O69" s="23">
        <f t="shared" si="1"/>
        <v>0</v>
      </c>
      <c r="R69" s="22" t="s">
        <v>74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4"/>
      <c r="L70" s="153"/>
      <c r="M70" s="121"/>
      <c r="N70" s="114"/>
      <c r="O70" s="23">
        <f t="shared" si="1"/>
        <v>0</v>
      </c>
      <c r="R70" s="22" t="s">
        <v>74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21"/>
      <c r="L71" s="153"/>
      <c r="M71" s="121"/>
      <c r="N71" s="121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4"/>
      <c r="L72" s="153"/>
      <c r="M72" s="121"/>
      <c r="N72" s="114"/>
      <c r="O72" s="23">
        <f t="shared" si="1"/>
        <v>0</v>
      </c>
      <c r="R72" s="22" t="s">
        <v>74</v>
      </c>
    </row>
    <row r="73" spans="1:16384">
      <c r="A73" s="109" t="s">
        <v>177</v>
      </c>
      <c r="K73" s="114"/>
      <c r="L73" s="114"/>
      <c r="M73" s="114"/>
      <c r="N73" s="114"/>
    </row>
    <row r="74" spans="1:16384">
      <c r="A74" s="12" t="s">
        <v>29</v>
      </c>
      <c r="K74" s="114"/>
      <c r="L74" s="114"/>
      <c r="M74" s="114"/>
      <c r="N74" s="114"/>
    </row>
    <row r="75" spans="1:16384" ht="18.75" customHeight="1" outlineLevel="1">
      <c r="A75" s="154" t="s">
        <v>25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4"/>
      <c r="L75" s="156"/>
      <c r="M75" s="114"/>
      <c r="N75" s="114"/>
      <c r="O75" s="74" t="s">
        <v>102</v>
      </c>
    </row>
    <row r="76" spans="1:16384" ht="18.75" customHeight="1" outlineLevel="1">
      <c r="A76" s="154" t="s">
        <v>26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4"/>
      <c r="L76" s="156"/>
      <c r="M76" s="114"/>
      <c r="N76" s="114"/>
      <c r="O76" s="74" t="s">
        <v>103</v>
      </c>
    </row>
    <row r="77" spans="1:16384" ht="21.75" customHeight="1" outlineLevel="1">
      <c r="A77" s="154" t="s">
        <v>27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4"/>
      <c r="L77" s="156"/>
      <c r="M77" s="114"/>
      <c r="N77" s="114"/>
      <c r="O77" s="74" t="s">
        <v>104</v>
      </c>
    </row>
    <row r="78" spans="1:16384" ht="18.75" customHeight="1" outlineLevel="1">
      <c r="A78" s="154" t="s">
        <v>28</v>
      </c>
      <c r="B78" s="154"/>
      <c r="C78" s="154"/>
      <c r="D78" s="154"/>
      <c r="E78" s="154"/>
      <c r="F78" s="154"/>
      <c r="G78" s="154"/>
      <c r="H78" s="154"/>
      <c r="I78" s="154"/>
      <c r="J78" s="101">
        <f>VLOOKUP(O78,АО,3,FALSE)</f>
        <v>0</v>
      </c>
      <c r="K78" s="114"/>
      <c r="L78" s="156"/>
      <c r="M78" s="114"/>
      <c r="N78" s="114"/>
      <c r="O78" s="74" t="s">
        <v>105</v>
      </c>
    </row>
    <row r="79" spans="1:16384">
      <c r="A79" s="120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4"/>
      <c r="L79" s="114"/>
      <c r="M79" s="114"/>
      <c r="N79" s="114"/>
    </row>
    <row r="80" spans="1:16384">
      <c r="A80" s="11" t="s">
        <v>32</v>
      </c>
      <c r="K80" s="114"/>
      <c r="L80" s="114"/>
      <c r="M80" s="114"/>
      <c r="N80" s="114"/>
    </row>
    <row r="81" spans="1:15" outlineLevel="1">
      <c r="A81" s="134" t="s">
        <v>1</v>
      </c>
      <c r="B81" s="134"/>
      <c r="C81" s="134"/>
      <c r="D81" s="134"/>
      <c r="E81" s="134"/>
      <c r="F81" s="134"/>
      <c r="G81" s="134"/>
      <c r="H81" s="134"/>
      <c r="I81" s="134"/>
      <c r="J81" s="101">
        <f t="shared" ref="J81:J90" si="2">VLOOKUP(O81,АО,3,FALSE)</f>
        <v>0</v>
      </c>
      <c r="K81" s="114"/>
      <c r="L81" s="142"/>
      <c r="M81" s="114"/>
      <c r="N81" s="114"/>
      <c r="O81" s="74" t="s">
        <v>106</v>
      </c>
    </row>
    <row r="82" spans="1:15" outlineLevel="1">
      <c r="A82" s="134" t="s">
        <v>2</v>
      </c>
      <c r="B82" s="134"/>
      <c r="C82" s="134"/>
      <c r="D82" s="134"/>
      <c r="E82" s="134"/>
      <c r="F82" s="134"/>
      <c r="G82" s="134"/>
      <c r="H82" s="134"/>
      <c r="I82" s="134"/>
      <c r="J82" s="101">
        <f t="shared" si="2"/>
        <v>0</v>
      </c>
      <c r="K82" s="114"/>
      <c r="L82" s="142"/>
      <c r="M82" s="114"/>
      <c r="N82" s="114"/>
      <c r="O82" s="74" t="s">
        <v>107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101">
        <f t="shared" si="2"/>
        <v>43889.93</v>
      </c>
      <c r="K83" s="114"/>
      <c r="L83" s="142"/>
      <c r="M83" s="114"/>
      <c r="N83" s="114"/>
      <c r="O83" s="74" t="s">
        <v>108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101">
        <f t="shared" si="2"/>
        <v>0</v>
      </c>
      <c r="K84" s="114"/>
      <c r="L84" s="142"/>
      <c r="M84" s="114"/>
      <c r="N84" s="114"/>
      <c r="O84" s="74" t="s">
        <v>109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101">
        <f t="shared" si="2"/>
        <v>0</v>
      </c>
      <c r="K85" s="114"/>
      <c r="L85" s="142"/>
      <c r="M85" s="114"/>
      <c r="N85" s="114"/>
      <c r="O85" s="74" t="s">
        <v>110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101">
        <f t="shared" si="2"/>
        <v>71621.78</v>
      </c>
      <c r="K86" s="114"/>
      <c r="L86" s="142"/>
      <c r="M86" s="114"/>
      <c r="N86" s="114"/>
      <c r="O86" s="74" t="s">
        <v>111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4"/>
      <c r="L87" s="142"/>
      <c r="M87" s="114"/>
      <c r="N87" s="114"/>
      <c r="O87" s="74" t="s">
        <v>112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4"/>
      <c r="L88" s="142"/>
      <c r="M88" s="114"/>
      <c r="N88" s="114"/>
      <c r="O88" s="74" t="s">
        <v>113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4"/>
      <c r="L89" s="142"/>
      <c r="M89" s="114"/>
      <c r="N89" s="114"/>
      <c r="O89" s="74" t="s">
        <v>114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101">
        <f t="shared" si="2"/>
        <v>0</v>
      </c>
      <c r="K90" s="114"/>
      <c r="L90" s="142"/>
      <c r="M90" s="114"/>
      <c r="N90" s="114"/>
      <c r="O90" s="74" t="s">
        <v>115</v>
      </c>
    </row>
    <row r="91" spans="1:15">
      <c r="A91" s="109" t="s">
        <v>177</v>
      </c>
      <c r="K91" s="114"/>
      <c r="L91" s="114"/>
      <c r="M91" s="114"/>
      <c r="N91" s="114"/>
    </row>
    <row r="92" spans="1:15">
      <c r="A92" s="11" t="s">
        <v>33</v>
      </c>
      <c r="K92" s="114"/>
      <c r="L92" s="114"/>
      <c r="M92" s="114"/>
      <c r="N92" s="114"/>
    </row>
    <row r="93" spans="1:15" ht="30.75" customHeight="1" outlineLevel="1">
      <c r="A93" s="157" t="s">
        <v>46</v>
      </c>
      <c r="B93" s="157"/>
      <c r="C93" s="157"/>
      <c r="D93" s="158" t="s">
        <v>47</v>
      </c>
      <c r="E93" s="158"/>
      <c r="F93" s="10" t="s">
        <v>48</v>
      </c>
      <c r="G93" s="157" t="s">
        <v>49</v>
      </c>
      <c r="H93" s="157"/>
      <c r="I93" s="157"/>
      <c r="J93" s="157"/>
      <c r="K93" s="114"/>
      <c r="L93" s="114"/>
      <c r="M93" s="114"/>
      <c r="N93" s="114"/>
    </row>
    <row r="94" spans="1:15" outlineLevel="1">
      <c r="A94" s="138" t="str">
        <f>IF(VLOOKUP("эл",АО,3,FALSE)&gt;0,"Электроснабжение",0)</f>
        <v>Электроснабжение</v>
      </c>
      <c r="B94" s="138"/>
      <c r="C94" s="138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40">
        <f>VLOOKUP("эл",АО,5,FALSE)</f>
        <v>14361.78</v>
      </c>
      <c r="H94" s="139"/>
      <c r="I94" s="139"/>
      <c r="J94" s="139"/>
      <c r="K94" s="1" t="str">
        <f>VLOOKUP("эл",АО,2,FALSE)</f>
        <v>Электроснабжение</v>
      </c>
      <c r="L94" s="143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13115.78</v>
      </c>
      <c r="L95" s="143"/>
      <c r="O95" s="1" t="s">
        <v>116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12898.77</v>
      </c>
      <c r="L96" s="143"/>
      <c r="O96" s="1" t="s">
        <v>117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1463.0100000000002</v>
      </c>
      <c r="L97" s="143"/>
      <c r="O97" s="1" t="s">
        <v>118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14361.78</v>
      </c>
      <c r="L98" s="143"/>
      <c r="O98" s="1" t="s">
        <v>119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14361.78</v>
      </c>
      <c r="L99" s="143"/>
      <c r="O99" s="1" t="s">
        <v>120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43"/>
      <c r="O100" s="1" t="s">
        <v>121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43"/>
      <c r="O101" s="1" t="s">
        <v>122</v>
      </c>
    </row>
    <row r="102" spans="1:15" ht="28.5" customHeight="1" outlineLevel="1">
      <c r="A102" s="138" t="str">
        <f>IF(VLOOKUP("хвс",АО,3,FALSE)&gt;0,"Холодное водоснабжение",0)</f>
        <v>Холодное водоснабжение</v>
      </c>
      <c r="B102" s="138"/>
      <c r="C102" s="138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40">
        <f>VLOOKUP("хвс",АО,5,FALSE)</f>
        <v>37586.19</v>
      </c>
      <c r="H102" s="139"/>
      <c r="I102" s="139"/>
      <c r="J102" s="139"/>
      <c r="L102" s="143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2699.19</v>
      </c>
      <c r="L103" s="143"/>
      <c r="O103" s="1" t="s">
        <v>125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30677.54</v>
      </c>
      <c r="L104" s="143"/>
      <c r="O104" s="1" t="s">
        <v>126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6908.6500000000015</v>
      </c>
      <c r="L105" s="143"/>
      <c r="O105" s="1" t="s">
        <v>127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37586.19</v>
      </c>
      <c r="L106" s="143"/>
      <c r="O106" s="1" t="s">
        <v>128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37586.19</v>
      </c>
      <c r="L107" s="143"/>
      <c r="O107" s="1" t="s">
        <v>129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43"/>
      <c r="O108" s="1" t="s">
        <v>130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43"/>
      <c r="O109" s="1" t="s">
        <v>131</v>
      </c>
    </row>
    <row r="110" spans="1:15" ht="27" customHeight="1" outlineLevel="1">
      <c r="A110" s="138" t="str">
        <f>IF(VLOOKUP("воо",АО,3,FALSE)&gt;0,"Водоотведение",0)</f>
        <v>Водоотведение</v>
      </c>
      <c r="B110" s="138"/>
      <c r="C110" s="138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40">
        <f>VLOOKUP("воо",АО,5,FALSE)</f>
        <v>58627.199999999997</v>
      </c>
      <c r="H110" s="139"/>
      <c r="I110" s="139"/>
      <c r="J110" s="139"/>
      <c r="L110" s="143"/>
    </row>
    <row r="111" spans="1:15" outlineLevel="2">
      <c r="A111" s="134" t="str">
        <f t="shared" ref="A111:A117" si="6">IF(VLOOKUP("воо",АО,3,FALSE)&gt;0,VLOOKUP(O111,АО,2,FALSE),0)</f>
        <v>Общий объем потребления, нат. показ.</v>
      </c>
      <c r="B111" s="134"/>
      <c r="C111" s="134"/>
      <c r="D111" s="134"/>
      <c r="E111" s="134"/>
      <c r="F111" s="134"/>
      <c r="G111" s="134"/>
      <c r="H111" s="134"/>
      <c r="I111" s="134"/>
      <c r="J111" s="18">
        <f t="shared" ref="J111:J117" si="7">VLOOKUP(O111,АО,3,FALSE)</f>
        <v>3929.44</v>
      </c>
      <c r="L111" s="143"/>
      <c r="O111" s="1" t="s">
        <v>133</v>
      </c>
    </row>
    <row r="112" spans="1:15" ht="18.75" customHeight="1" outlineLevel="2">
      <c r="A112" s="134" t="str">
        <f t="shared" si="6"/>
        <v>Оплачено потребителями, руб.</v>
      </c>
      <c r="B112" s="134"/>
      <c r="C112" s="134"/>
      <c r="D112" s="134"/>
      <c r="E112" s="134"/>
      <c r="F112" s="134"/>
      <c r="G112" s="134"/>
      <c r="H112" s="134"/>
      <c r="I112" s="134"/>
      <c r="J112" s="18">
        <f t="shared" si="7"/>
        <v>50331.040000000001</v>
      </c>
      <c r="L112" s="143"/>
      <c r="O112" s="1" t="s">
        <v>134</v>
      </c>
    </row>
    <row r="113" spans="1:15" ht="19.5" customHeight="1" outlineLevel="2">
      <c r="A113" s="134" t="str">
        <f t="shared" si="6"/>
        <v>Задолженность потребителей, руб.</v>
      </c>
      <c r="B113" s="134"/>
      <c r="C113" s="134"/>
      <c r="D113" s="134"/>
      <c r="E113" s="134"/>
      <c r="F113" s="134"/>
      <c r="G113" s="134"/>
      <c r="H113" s="134"/>
      <c r="I113" s="134"/>
      <c r="J113" s="18">
        <f t="shared" si="7"/>
        <v>8296.1599999999962</v>
      </c>
      <c r="L113" s="143"/>
      <c r="O113" s="1" t="s">
        <v>135</v>
      </c>
    </row>
    <row r="114" spans="1:15" ht="33" customHeight="1" outlineLevel="2">
      <c r="A114" s="134" t="str">
        <f t="shared" si="6"/>
        <v>Начислено поставщиком (поставщиками) коммунального ресурса, руб.</v>
      </c>
      <c r="B114" s="134"/>
      <c r="C114" s="134"/>
      <c r="D114" s="134"/>
      <c r="E114" s="134"/>
      <c r="F114" s="134"/>
      <c r="G114" s="134"/>
      <c r="H114" s="134"/>
      <c r="I114" s="134"/>
      <c r="J114" s="18">
        <f t="shared" si="7"/>
        <v>58627.199999999997</v>
      </c>
      <c r="L114" s="143"/>
      <c r="O114" s="1" t="s">
        <v>136</v>
      </c>
    </row>
    <row r="115" spans="1:15" ht="18.75" customHeight="1" outlineLevel="2">
      <c r="A115" s="134" t="str">
        <f t="shared" si="6"/>
        <v>Оплачено поставщику (поставщикам) коммунального ресурса, руб.</v>
      </c>
      <c r="B115" s="134"/>
      <c r="C115" s="134"/>
      <c r="D115" s="134"/>
      <c r="E115" s="134"/>
      <c r="F115" s="134"/>
      <c r="G115" s="134"/>
      <c r="H115" s="134"/>
      <c r="I115" s="134"/>
      <c r="J115" s="18">
        <f t="shared" si="7"/>
        <v>58627.199999999997</v>
      </c>
      <c r="L115" s="143"/>
      <c r="O115" s="1" t="s">
        <v>137</v>
      </c>
    </row>
    <row r="116" spans="1:15" ht="33.75" customHeight="1" outlineLevel="2">
      <c r="A116" s="134" t="str">
        <f t="shared" si="6"/>
        <v>Задолженность перед поставщиком (поставщиками) коммунального ресурса, руб.</v>
      </c>
      <c r="B116" s="134"/>
      <c r="C116" s="134"/>
      <c r="D116" s="134"/>
      <c r="E116" s="134"/>
      <c r="F116" s="134"/>
      <c r="G116" s="134"/>
      <c r="H116" s="134"/>
      <c r="I116" s="134"/>
      <c r="J116" s="18">
        <f t="shared" si="7"/>
        <v>0</v>
      </c>
      <c r="L116" s="143"/>
      <c r="O116" s="1" t="s">
        <v>138</v>
      </c>
    </row>
    <row r="117" spans="1:15" ht="32.25" customHeight="1" outlineLevel="2">
      <c r="A117" s="134" t="str">
        <f t="shared" si="6"/>
        <v>Размер пени и штрафов, уплаченных поставщику (поставщикам) коммунального ресурса, руб.</v>
      </c>
      <c r="B117" s="134"/>
      <c r="C117" s="134"/>
      <c r="D117" s="134"/>
      <c r="E117" s="134"/>
      <c r="F117" s="134"/>
      <c r="G117" s="134"/>
      <c r="H117" s="134"/>
      <c r="I117" s="134"/>
      <c r="J117" s="18">
        <f t="shared" si="7"/>
        <v>0</v>
      </c>
      <c r="L117" s="143"/>
      <c r="O117" s="1" t="s">
        <v>139</v>
      </c>
    </row>
    <row r="118" spans="1:15" ht="32.25" customHeight="1" outlineLevel="1">
      <c r="A118" s="138" t="str">
        <f>IF(VLOOKUP("тко",АО,3,FALSE)&gt;0,"Обращение с ТКО",0)</f>
        <v>Обращение с ТКО</v>
      </c>
      <c r="B118" s="138"/>
      <c r="C118" s="138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40">
        <f>VLOOKUP("тко",АО,5,FALSE)</f>
        <v>35980.92</v>
      </c>
      <c r="H118" s="139"/>
      <c r="I118" s="139"/>
      <c r="J118" s="139"/>
      <c r="L118" s="51"/>
    </row>
    <row r="119" spans="1:15" ht="32.25" customHeight="1" outlineLevel="2">
      <c r="A119" s="134" t="str">
        <f t="shared" ref="A119:A125" si="8">IF(VLOOKUP("тко",АО,3,FALSE)&gt;0,VLOOKUP(O119,АО,2,FALSE),0)</f>
        <v>Общий объем потребления, нат. показ.</v>
      </c>
      <c r="B119" s="134"/>
      <c r="C119" s="134"/>
      <c r="D119" s="134"/>
      <c r="E119" s="134"/>
      <c r="F119" s="134"/>
      <c r="G119" s="134"/>
      <c r="H119" s="134"/>
      <c r="I119" s="134"/>
      <c r="J119" s="18">
        <f t="shared" ref="J119:J125" si="9">VLOOKUP(O119,АО,3,FALSE)</f>
        <v>66.59</v>
      </c>
      <c r="L119" s="51"/>
      <c r="O119" s="1" t="s">
        <v>141</v>
      </c>
    </row>
    <row r="120" spans="1:15" ht="32.25" customHeight="1" outlineLevel="2">
      <c r="A120" s="134" t="str">
        <f t="shared" si="8"/>
        <v>Оплачено потребителями, руб.</v>
      </c>
      <c r="B120" s="134"/>
      <c r="C120" s="134"/>
      <c r="D120" s="134"/>
      <c r="E120" s="134"/>
      <c r="F120" s="134"/>
      <c r="G120" s="134"/>
      <c r="H120" s="134"/>
      <c r="I120" s="134"/>
      <c r="J120" s="18">
        <f t="shared" si="9"/>
        <v>26770.09</v>
      </c>
      <c r="L120" s="51"/>
      <c r="O120" s="1" t="s">
        <v>142</v>
      </c>
    </row>
    <row r="121" spans="1:15" ht="32.25" customHeight="1" outlineLevel="2">
      <c r="A121" s="134" t="str">
        <f t="shared" si="8"/>
        <v>Задолженность потребителей, руб.</v>
      </c>
      <c r="B121" s="134"/>
      <c r="C121" s="134"/>
      <c r="D121" s="134"/>
      <c r="E121" s="134"/>
      <c r="F121" s="134"/>
      <c r="G121" s="134"/>
      <c r="H121" s="134"/>
      <c r="I121" s="134"/>
      <c r="J121" s="18">
        <f t="shared" si="9"/>
        <v>9210.8299999999981</v>
      </c>
      <c r="L121" s="51"/>
      <c r="O121" s="1" t="s">
        <v>143</v>
      </c>
    </row>
    <row r="122" spans="1:15" ht="32.25" customHeight="1" outlineLevel="2">
      <c r="A122" s="134" t="str">
        <f t="shared" si="8"/>
        <v>Начислено поставщиком (поставщиками) коммунального ресурса, руб.</v>
      </c>
      <c r="B122" s="134"/>
      <c r="C122" s="134"/>
      <c r="D122" s="134"/>
      <c r="E122" s="134"/>
      <c r="F122" s="134"/>
      <c r="G122" s="134"/>
      <c r="H122" s="134"/>
      <c r="I122" s="134"/>
      <c r="J122" s="18">
        <f t="shared" si="9"/>
        <v>35980.92</v>
      </c>
      <c r="L122" s="51"/>
      <c r="O122" s="1" t="s">
        <v>144</v>
      </c>
    </row>
    <row r="123" spans="1:15" ht="32.25" customHeight="1" outlineLevel="2">
      <c r="A123" s="134" t="str">
        <f t="shared" si="8"/>
        <v>Оплачено поставщику (поставщикам) коммунального ресурса, руб.</v>
      </c>
      <c r="B123" s="134"/>
      <c r="C123" s="134"/>
      <c r="D123" s="134"/>
      <c r="E123" s="134"/>
      <c r="F123" s="134"/>
      <c r="G123" s="134"/>
      <c r="H123" s="134"/>
      <c r="I123" s="134"/>
      <c r="J123" s="18">
        <f t="shared" si="9"/>
        <v>35980.92</v>
      </c>
      <c r="L123" s="51"/>
      <c r="O123" s="1" t="s">
        <v>145</v>
      </c>
    </row>
    <row r="124" spans="1:15" ht="32.25" customHeight="1" outlineLevel="2">
      <c r="A124" s="134" t="str">
        <f t="shared" si="8"/>
        <v>Задолженность перед поставщиком (поставщиками) коммунального ресурса, руб.</v>
      </c>
      <c r="B124" s="134"/>
      <c r="C124" s="134"/>
      <c r="D124" s="134"/>
      <c r="E124" s="134"/>
      <c r="F124" s="134"/>
      <c r="G124" s="134"/>
      <c r="H124" s="134"/>
      <c r="I124" s="134"/>
      <c r="J124" s="18">
        <f t="shared" si="9"/>
        <v>0</v>
      </c>
      <c r="L124" s="51"/>
      <c r="O124" s="1" t="s">
        <v>146</v>
      </c>
    </row>
    <row r="125" spans="1:15" ht="32.25" customHeight="1" outlineLevel="2">
      <c r="A125" s="134" t="str">
        <f t="shared" si="8"/>
        <v>Размер пени и штрафов, уплаченных поставщику (поставщикам) коммунального ресурса, руб.</v>
      </c>
      <c r="B125" s="134"/>
      <c r="C125" s="134"/>
      <c r="D125" s="134"/>
      <c r="E125" s="134"/>
      <c r="F125" s="134"/>
      <c r="G125" s="134"/>
      <c r="H125" s="134"/>
      <c r="I125" s="134"/>
      <c r="J125" s="18">
        <f t="shared" si="9"/>
        <v>0</v>
      </c>
      <c r="L125" s="51"/>
      <c r="O125" s="1" t="s">
        <v>147</v>
      </c>
    </row>
    <row r="126" spans="1:15" ht="32.25" customHeight="1" outlineLevel="1">
      <c r="A126" s="138" t="str">
        <f>IF(VLOOKUP("гвс",АО,3,FALSE)&gt;0,"Горячее водоснабжение",0)</f>
        <v>Горячее водоснабжение</v>
      </c>
      <c r="B126" s="138"/>
      <c r="C126" s="138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40">
        <f>VLOOKUP("гвс",АО,5,FALSE)</f>
        <v>17207.23</v>
      </c>
      <c r="H126" s="139"/>
      <c r="I126" s="139"/>
      <c r="J126" s="139"/>
      <c r="L126" s="51"/>
    </row>
    <row r="127" spans="1:15" ht="32.25" customHeight="1" outlineLevel="2">
      <c r="A127" s="134" t="str">
        <f t="shared" ref="A127:A133" si="10">IF(VLOOKUP("гвс",АО,3,FALSE)&gt;0,VLOOKUP(O127,АО,2,FALSE),0)</f>
        <v>Общий объем потребления, нат. показ.</v>
      </c>
      <c r="B127" s="134"/>
      <c r="C127" s="134"/>
      <c r="D127" s="134"/>
      <c r="E127" s="134"/>
      <c r="F127" s="134"/>
      <c r="G127" s="134"/>
      <c r="H127" s="134"/>
      <c r="I127" s="134"/>
      <c r="J127" s="18">
        <f t="shared" ref="J127:J133" si="11">VLOOKUP(O127,АО,3,FALSE)</f>
        <v>1235.71</v>
      </c>
      <c r="L127" s="51"/>
      <c r="O127" s="1" t="s">
        <v>149</v>
      </c>
    </row>
    <row r="128" spans="1:15" ht="32.25" customHeight="1" outlineLevel="2">
      <c r="A128" s="134" t="str">
        <f t="shared" si="10"/>
        <v>Оплачено потребителями, руб.</v>
      </c>
      <c r="B128" s="134"/>
      <c r="C128" s="134"/>
      <c r="D128" s="134"/>
      <c r="E128" s="134"/>
      <c r="F128" s="134"/>
      <c r="G128" s="134"/>
      <c r="H128" s="134"/>
      <c r="I128" s="134"/>
      <c r="J128" s="18">
        <f t="shared" si="11"/>
        <v>15354.03</v>
      </c>
      <c r="L128" s="51"/>
      <c r="O128" s="1" t="s">
        <v>150</v>
      </c>
    </row>
    <row r="129" spans="1:15" ht="32.25" customHeight="1" outlineLevel="2">
      <c r="A129" s="134" t="str">
        <f t="shared" si="10"/>
        <v>Задолженность потребителей, руб.</v>
      </c>
      <c r="B129" s="134"/>
      <c r="C129" s="134"/>
      <c r="D129" s="134"/>
      <c r="E129" s="134"/>
      <c r="F129" s="134"/>
      <c r="G129" s="134"/>
      <c r="H129" s="134"/>
      <c r="I129" s="134"/>
      <c r="J129" s="18">
        <f t="shared" si="11"/>
        <v>1853.1999999999989</v>
      </c>
      <c r="L129" s="51"/>
      <c r="O129" s="1" t="s">
        <v>151</v>
      </c>
    </row>
    <row r="130" spans="1:15" ht="32.25" customHeight="1" outlineLevel="2">
      <c r="A130" s="134" t="str">
        <f t="shared" si="10"/>
        <v>Начислено поставщиком (поставщиками) коммунального ресурса, руб.</v>
      </c>
      <c r="B130" s="134"/>
      <c r="C130" s="134"/>
      <c r="D130" s="134"/>
      <c r="E130" s="134"/>
      <c r="F130" s="134"/>
      <c r="G130" s="134"/>
      <c r="H130" s="134"/>
      <c r="I130" s="134"/>
      <c r="J130" s="18">
        <f t="shared" si="11"/>
        <v>17207.23</v>
      </c>
      <c r="L130" s="51"/>
      <c r="O130" s="1" t="s">
        <v>152</v>
      </c>
    </row>
    <row r="131" spans="1:15" ht="32.25" customHeight="1" outlineLevel="2">
      <c r="A131" s="134" t="str">
        <f t="shared" si="10"/>
        <v>Оплачено поставщику (поставщикам) коммунального ресурса, руб.</v>
      </c>
      <c r="B131" s="134"/>
      <c r="C131" s="134"/>
      <c r="D131" s="134"/>
      <c r="E131" s="134"/>
      <c r="F131" s="134"/>
      <c r="G131" s="134"/>
      <c r="H131" s="134"/>
      <c r="I131" s="134"/>
      <c r="J131" s="18">
        <f t="shared" si="11"/>
        <v>17207.23</v>
      </c>
      <c r="L131" s="51"/>
      <c r="O131" s="1" t="s">
        <v>153</v>
      </c>
    </row>
    <row r="132" spans="1:15" ht="32.25" customHeight="1" outlineLevel="2">
      <c r="A132" s="134" t="str">
        <f t="shared" si="10"/>
        <v>Задолженность перед поставщиком (поставщиками) коммунального ресурса, руб.</v>
      </c>
      <c r="B132" s="134"/>
      <c r="C132" s="134"/>
      <c r="D132" s="134"/>
      <c r="E132" s="134"/>
      <c r="F132" s="134"/>
      <c r="G132" s="134"/>
      <c r="H132" s="134"/>
      <c r="I132" s="134"/>
      <c r="J132" s="18">
        <f t="shared" si="11"/>
        <v>0</v>
      </c>
      <c r="L132" s="51"/>
      <c r="O132" s="1" t="s">
        <v>154</v>
      </c>
    </row>
    <row r="133" spans="1:15" ht="32.25" customHeight="1" outlineLevel="2">
      <c r="A133" s="134" t="str">
        <f t="shared" si="10"/>
        <v>Размер пени и штрафов, уплаченных поставщику (поставщикам) коммунального ресурса, руб.</v>
      </c>
      <c r="B133" s="134"/>
      <c r="C133" s="134"/>
      <c r="D133" s="134"/>
      <c r="E133" s="134"/>
      <c r="F133" s="134"/>
      <c r="G133" s="134"/>
      <c r="H133" s="134"/>
      <c r="I133" s="134"/>
      <c r="J133" s="18">
        <f t="shared" si="11"/>
        <v>0</v>
      </c>
      <c r="L133" s="51"/>
      <c r="O133" s="1" t="s">
        <v>155</v>
      </c>
    </row>
    <row r="134" spans="1:15" ht="32.25" hidden="1" customHeight="1" outlineLevel="1">
      <c r="A134" s="138">
        <f>IF(VLOOKUP("отопление",АО,3,FALSE)&gt;0,"Отопление",0)</f>
        <v>0</v>
      </c>
      <c r="B134" s="138"/>
      <c r="C134" s="138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39"/>
      <c r="I134" s="139"/>
      <c r="J134" s="139"/>
      <c r="L134" s="51"/>
    </row>
    <row r="135" spans="1:15" ht="32.25" hidden="1" customHeight="1" outlineLevel="2">
      <c r="A135" s="134">
        <f t="shared" ref="A135:A141" si="12">IF(VLOOKUP("отопление",АО,3,FALSE)&gt;0,VLOOKUP(O135,АО,2,FALSE),0)</f>
        <v>0</v>
      </c>
      <c r="B135" s="134"/>
      <c r="C135" s="134"/>
      <c r="D135" s="134"/>
      <c r="E135" s="134"/>
      <c r="F135" s="134"/>
      <c r="G135" s="134"/>
      <c r="H135" s="134"/>
      <c r="I135" s="134"/>
      <c r="J135" s="18">
        <f t="shared" ref="J135:J141" si="13">VLOOKUP(O135,АО,3,FALSE)</f>
        <v>0</v>
      </c>
      <c r="L135" s="51"/>
      <c r="O135" s="1" t="s">
        <v>157</v>
      </c>
    </row>
    <row r="136" spans="1:15" ht="32.25" hidden="1" customHeight="1" outlineLevel="2">
      <c r="A136" s="134">
        <f t="shared" si="12"/>
        <v>0</v>
      </c>
      <c r="B136" s="134"/>
      <c r="C136" s="134"/>
      <c r="D136" s="134"/>
      <c r="E136" s="134"/>
      <c r="F136" s="134"/>
      <c r="G136" s="134"/>
      <c r="H136" s="134"/>
      <c r="I136" s="134"/>
      <c r="J136" s="18">
        <f t="shared" si="13"/>
        <v>0</v>
      </c>
      <c r="L136" s="51"/>
      <c r="O136" s="1" t="s">
        <v>158</v>
      </c>
    </row>
    <row r="137" spans="1:15" ht="32.25" hidden="1" customHeight="1" outlineLevel="2">
      <c r="A137" s="134">
        <f t="shared" si="12"/>
        <v>0</v>
      </c>
      <c r="B137" s="134"/>
      <c r="C137" s="134"/>
      <c r="D137" s="134"/>
      <c r="E137" s="134"/>
      <c r="F137" s="134"/>
      <c r="G137" s="134"/>
      <c r="H137" s="134"/>
      <c r="I137" s="134"/>
      <c r="J137" s="18">
        <f t="shared" si="13"/>
        <v>0</v>
      </c>
      <c r="L137" s="51"/>
      <c r="O137" s="1" t="s">
        <v>159</v>
      </c>
    </row>
    <row r="138" spans="1:15" ht="32.25" hidden="1" customHeight="1" outlineLevel="2">
      <c r="A138" s="134">
        <f t="shared" si="12"/>
        <v>0</v>
      </c>
      <c r="B138" s="134"/>
      <c r="C138" s="134"/>
      <c r="D138" s="134"/>
      <c r="E138" s="134"/>
      <c r="F138" s="134"/>
      <c r="G138" s="134"/>
      <c r="H138" s="134"/>
      <c r="I138" s="134"/>
      <c r="J138" s="18">
        <f t="shared" si="13"/>
        <v>0</v>
      </c>
      <c r="L138" s="51"/>
      <c r="O138" s="1" t="s">
        <v>160</v>
      </c>
    </row>
    <row r="139" spans="1:15" ht="32.25" hidden="1" customHeight="1" outlineLevel="2">
      <c r="A139" s="134">
        <f t="shared" si="12"/>
        <v>0</v>
      </c>
      <c r="B139" s="134"/>
      <c r="C139" s="134"/>
      <c r="D139" s="134"/>
      <c r="E139" s="134"/>
      <c r="F139" s="134"/>
      <c r="G139" s="134"/>
      <c r="H139" s="134"/>
      <c r="I139" s="134"/>
      <c r="J139" s="18">
        <f t="shared" si="13"/>
        <v>0</v>
      </c>
      <c r="L139" s="51"/>
      <c r="O139" s="1" t="s">
        <v>161</v>
      </c>
    </row>
    <row r="140" spans="1:15" ht="32.25" hidden="1" customHeight="1" outlineLevel="2">
      <c r="A140" s="134">
        <f t="shared" si="12"/>
        <v>0</v>
      </c>
      <c r="B140" s="134"/>
      <c r="C140" s="134"/>
      <c r="D140" s="134"/>
      <c r="E140" s="134"/>
      <c r="F140" s="134"/>
      <c r="G140" s="134"/>
      <c r="H140" s="134"/>
      <c r="I140" s="134"/>
      <c r="J140" s="18">
        <f t="shared" si="13"/>
        <v>0</v>
      </c>
      <c r="L140" s="51"/>
      <c r="O140" s="1" t="s">
        <v>162</v>
      </c>
    </row>
    <row r="141" spans="1:15" ht="32.25" hidden="1" customHeight="1" outlineLevel="2">
      <c r="A141" s="134">
        <f t="shared" si="12"/>
        <v>0</v>
      </c>
      <c r="B141" s="134"/>
      <c r="C141" s="134"/>
      <c r="D141" s="134"/>
      <c r="E141" s="134"/>
      <c r="F141" s="134"/>
      <c r="G141" s="134"/>
      <c r="H141" s="134"/>
      <c r="I141" s="134"/>
      <c r="J141" s="18">
        <f t="shared" si="13"/>
        <v>0</v>
      </c>
      <c r="L141" s="51"/>
      <c r="O141" s="1" t="s">
        <v>163</v>
      </c>
    </row>
    <row r="143" spans="1:15">
      <c r="A143" s="11" t="s">
        <v>42</v>
      </c>
    </row>
    <row r="144" spans="1:15" ht="18.75" customHeight="1" outlineLevel="1">
      <c r="A144" s="134" t="s">
        <v>43</v>
      </c>
      <c r="B144" s="134"/>
      <c r="C144" s="134"/>
      <c r="D144" s="134"/>
      <c r="E144" s="134"/>
      <c r="F144" s="134"/>
      <c r="G144" s="134"/>
      <c r="H144" s="134"/>
      <c r="I144" s="134"/>
      <c r="J144" s="14">
        <f>VLOOKUP(O144,юр,3,FALSE)</f>
        <v>2</v>
      </c>
      <c r="O144" t="s">
        <v>173</v>
      </c>
    </row>
    <row r="145" spans="1:15" ht="18.75" customHeight="1" outlineLevel="1">
      <c r="A145" s="134" t="s">
        <v>44</v>
      </c>
      <c r="B145" s="134"/>
      <c r="C145" s="134"/>
      <c r="D145" s="134"/>
      <c r="E145" s="134"/>
      <c r="F145" s="134"/>
      <c r="G145" s="134"/>
      <c r="H145" s="134"/>
      <c r="I145" s="134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34" t="s">
        <v>176</v>
      </c>
      <c r="B146" s="134"/>
      <c r="C146" s="134"/>
      <c r="D146" s="134"/>
      <c r="E146" s="134"/>
      <c r="F146" s="134"/>
      <c r="G146" s="134"/>
      <c r="H146" s="134"/>
      <c r="I146" s="134"/>
      <c r="J146" s="9">
        <f>VLOOKUP(O146,юр,3,FALSE)</f>
        <v>72631.33</v>
      </c>
      <c r="O146" t="s">
        <v>175</v>
      </c>
    </row>
    <row r="149" spans="1:15" ht="52.5" customHeight="1">
      <c r="A149" s="159" t="s">
        <v>187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190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1" t="s">
        <v>69</v>
      </c>
      <c r="B154" s="161"/>
      <c r="C154" s="161"/>
      <c r="D154" s="161"/>
      <c r="E154" s="27">
        <f>ПТО!G1</f>
        <v>-827.98</v>
      </c>
    </row>
    <row r="155" spans="1:15" ht="34.5" customHeight="1">
      <c r="A155" s="160" t="s">
        <v>70</v>
      </c>
      <c r="B155" s="160"/>
      <c r="C155" s="160"/>
      <c r="D155" s="160"/>
      <c r="E155" s="28">
        <f>J13</f>
        <v>61672.200000000004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18</v>
      </c>
      <c r="B157" s="144"/>
      <c r="C157" s="144"/>
      <c r="D157" s="144"/>
      <c r="E157" s="144"/>
      <c r="F157" s="144" t="s">
        <v>19</v>
      </c>
      <c r="G157" s="144"/>
      <c r="H157" s="20" t="s">
        <v>55</v>
      </c>
      <c r="I157" s="144" t="s">
        <v>20</v>
      </c>
      <c r="J157" s="144"/>
    </row>
    <row r="158" spans="1:15" ht="29.25" customHeight="1">
      <c r="A158" s="136" t="str">
        <f t="shared" ref="A158:A163" si="14">IF(N158&gt;0,N158,0)</f>
        <v>Тех. обслуживание охранной сигнализации.</v>
      </c>
      <c r="B158" s="136"/>
      <c r="C158" s="136"/>
      <c r="D158" s="136"/>
      <c r="E158" s="136"/>
      <c r="F158" s="141">
        <f t="shared" ref="F158:F163" si="15">IF(ISERROR(VLOOKUP(A158,$A$28:$J$72,6,FALSE)),0,VLOOKUP(A158,$A$28:$J$72,6,FALSE))</f>
        <v>5577.12</v>
      </c>
      <c r="G158" s="141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74</v>
      </c>
      <c r="N158" s="1" t="str">
        <f t="array" ref="N158:N187">INDEX($O$43:$O$72,SMALL(IF($M$158=R43:R72,ROW(O43:O72)-42,""),ROW()-157))</f>
        <v>Тех. обслуживание охранной сигнализации.</v>
      </c>
    </row>
    <row r="159" spans="1:15" ht="28.5" customHeight="1">
      <c r="A159" s="136" t="str">
        <f t="shared" si="14"/>
        <v>Ремонт прибора учета тепловой энергии.</v>
      </c>
      <c r="B159" s="136"/>
      <c r="C159" s="136"/>
      <c r="D159" s="136"/>
      <c r="E159" s="136"/>
      <c r="F159" s="141">
        <f t="shared" si="15"/>
        <v>885</v>
      </c>
      <c r="G159" s="141"/>
      <c r="H159" s="24" t="str">
        <f t="shared" si="16"/>
        <v>разово</v>
      </c>
      <c r="I159" s="137">
        <f t="shared" si="17"/>
        <v>1</v>
      </c>
      <c r="J159" s="137"/>
      <c r="M159" s="22" t="s">
        <v>74</v>
      </c>
      <c r="N159" s="1" t="str">
        <v>Ремонт прибора учета тепловой энергии.</v>
      </c>
    </row>
    <row r="160" spans="1:15" ht="28.5" hidden="1" customHeight="1">
      <c r="A160" s="136">
        <f t="shared" si="14"/>
        <v>0</v>
      </c>
      <c r="B160" s="136"/>
      <c r="C160" s="136"/>
      <c r="D160" s="136"/>
      <c r="E160" s="136"/>
      <c r="F160" s="141">
        <f t="shared" si="15"/>
        <v>0</v>
      </c>
      <c r="G160" s="141"/>
      <c r="H160" s="24" t="e">
        <f t="shared" si="16"/>
        <v>#N/A</v>
      </c>
      <c r="I160" s="137" t="e">
        <f t="shared" si="17"/>
        <v>#N/A</v>
      </c>
      <c r="J160" s="137"/>
      <c r="M160" s="22" t="s">
        <v>74</v>
      </c>
      <c r="N160" s="1">
        <v>0</v>
      </c>
    </row>
    <row r="161" spans="1:14" ht="28.5" hidden="1" customHeight="1">
      <c r="A161" s="136">
        <f>IF(N161&gt;0,N161,0)</f>
        <v>0</v>
      </c>
      <c r="B161" s="136"/>
      <c r="C161" s="136"/>
      <c r="D161" s="136"/>
      <c r="E161" s="136"/>
      <c r="F161" s="141">
        <f t="shared" si="15"/>
        <v>0</v>
      </c>
      <c r="G161" s="141"/>
      <c r="H161" s="24" t="e">
        <f t="shared" si="16"/>
        <v>#N/A</v>
      </c>
      <c r="I161" s="137" t="e">
        <f t="shared" si="17"/>
        <v>#N/A</v>
      </c>
      <c r="J161" s="137"/>
      <c r="M161" s="22" t="s">
        <v>74</v>
      </c>
      <c r="N161" s="1">
        <v>0</v>
      </c>
    </row>
    <row r="162" spans="1:14" ht="28.5" hidden="1" customHeight="1">
      <c r="A162" s="136">
        <f t="shared" si="14"/>
        <v>0</v>
      </c>
      <c r="B162" s="136"/>
      <c r="C162" s="136"/>
      <c r="D162" s="136"/>
      <c r="E162" s="136"/>
      <c r="F162" s="141">
        <f t="shared" si="15"/>
        <v>0</v>
      </c>
      <c r="G162" s="141"/>
      <c r="H162" s="24" t="e">
        <f t="shared" si="16"/>
        <v>#N/A</v>
      </c>
      <c r="I162" s="137" t="e">
        <f>VLOOKUP(A162,$A$28:$J$72,9,FALSE)</f>
        <v>#N/A</v>
      </c>
      <c r="J162" s="137"/>
      <c r="M162" s="22" t="s">
        <v>74</v>
      </c>
      <c r="N162" s="1">
        <v>0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41">
        <f t="shared" si="15"/>
        <v>0</v>
      </c>
      <c r="G163" s="141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74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74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41">
        <f t="shared" si="19"/>
        <v>0</v>
      </c>
      <c r="G165" s="141"/>
      <c r="H165" s="29" t="e">
        <f t="shared" si="16"/>
        <v>#N/A</v>
      </c>
      <c r="I165" s="137" t="e">
        <f t="shared" si="20"/>
        <v>#N/A</v>
      </c>
      <c r="J165" s="137"/>
      <c r="M165" s="22" t="s">
        <v>74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41">
        <f t="shared" si="19"/>
        <v>0</v>
      </c>
      <c r="G166" s="141"/>
      <c r="H166" s="29" t="e">
        <f t="shared" si="16"/>
        <v>#N/A</v>
      </c>
      <c r="I166" s="137" t="e">
        <f t="shared" si="20"/>
        <v>#N/A</v>
      </c>
      <c r="J166" s="137"/>
      <c r="M166" s="22" t="s">
        <v>74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41">
        <f t="shared" si="19"/>
        <v>0</v>
      </c>
      <c r="G167" s="141"/>
      <c r="H167" s="29" t="e">
        <f t="shared" si="16"/>
        <v>#N/A</v>
      </c>
      <c r="I167" s="137" t="e">
        <f t="shared" si="20"/>
        <v>#N/A</v>
      </c>
      <c r="J167" s="137"/>
      <c r="M167" s="22" t="s">
        <v>74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41">
        <f t="shared" si="19"/>
        <v>0</v>
      </c>
      <c r="G168" s="141"/>
      <c r="H168" s="29" t="e">
        <f t="shared" si="16"/>
        <v>#N/A</v>
      </c>
      <c r="I168" s="137" t="e">
        <f t="shared" si="20"/>
        <v>#N/A</v>
      </c>
      <c r="J168" s="137"/>
      <c r="M168" s="22" t="s">
        <v>74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41">
        <f t="shared" si="19"/>
        <v>0</v>
      </c>
      <c r="G169" s="141"/>
      <c r="H169" s="29" t="e">
        <f t="shared" si="16"/>
        <v>#N/A</v>
      </c>
      <c r="I169" s="137" t="e">
        <f t="shared" si="20"/>
        <v>#N/A</v>
      </c>
      <c r="J169" s="137"/>
      <c r="M169" s="22" t="s">
        <v>74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41">
        <f t="shared" si="19"/>
        <v>0</v>
      </c>
      <c r="G170" s="141"/>
      <c r="H170" s="29" t="e">
        <f t="shared" si="16"/>
        <v>#N/A</v>
      </c>
      <c r="I170" s="137" t="e">
        <f t="shared" si="20"/>
        <v>#N/A</v>
      </c>
      <c r="J170" s="137"/>
      <c r="M170" s="22" t="s">
        <v>74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41">
        <f t="shared" si="19"/>
        <v>0</v>
      </c>
      <c r="G171" s="141"/>
      <c r="H171" s="29" t="e">
        <f t="shared" si="16"/>
        <v>#N/A</v>
      </c>
      <c r="I171" s="137" t="e">
        <f t="shared" si="20"/>
        <v>#N/A</v>
      </c>
      <c r="J171" s="137"/>
      <c r="M171" s="22" t="s">
        <v>74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41">
        <f t="shared" si="19"/>
        <v>0</v>
      </c>
      <c r="G172" s="141"/>
      <c r="H172" s="29" t="e">
        <f t="shared" si="16"/>
        <v>#N/A</v>
      </c>
      <c r="I172" s="137" t="e">
        <f t="shared" si="20"/>
        <v>#N/A</v>
      </c>
      <c r="J172" s="137"/>
      <c r="M172" s="22" t="s">
        <v>74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41">
        <f t="shared" si="19"/>
        <v>0</v>
      </c>
      <c r="G173" s="141"/>
      <c r="H173" s="29" t="e">
        <f t="shared" si="16"/>
        <v>#N/A</v>
      </c>
      <c r="I173" s="137" t="e">
        <f t="shared" si="20"/>
        <v>#N/A</v>
      </c>
      <c r="J173" s="137"/>
      <c r="M173" s="22" t="s">
        <v>74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41">
        <f t="shared" si="19"/>
        <v>0</v>
      </c>
      <c r="G174" s="141"/>
      <c r="H174" s="29" t="e">
        <f t="shared" si="16"/>
        <v>#N/A</v>
      </c>
      <c r="I174" s="137" t="e">
        <f t="shared" si="20"/>
        <v>#N/A</v>
      </c>
      <c r="J174" s="137"/>
      <c r="M174" s="22" t="s">
        <v>74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41">
        <f t="shared" si="19"/>
        <v>0</v>
      </c>
      <c r="G175" s="141"/>
      <c r="H175" s="29" t="e">
        <f t="shared" si="16"/>
        <v>#N/A</v>
      </c>
      <c r="I175" s="137" t="e">
        <f t="shared" si="20"/>
        <v>#N/A</v>
      </c>
      <c r="J175" s="137"/>
      <c r="M175" s="22" t="s">
        <v>74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41">
        <f t="shared" si="19"/>
        <v>0</v>
      </c>
      <c r="G176" s="141"/>
      <c r="H176" s="29" t="e">
        <f t="shared" si="16"/>
        <v>#N/A</v>
      </c>
      <c r="I176" s="137" t="e">
        <f t="shared" si="20"/>
        <v>#N/A</v>
      </c>
      <c r="J176" s="137"/>
      <c r="M176" s="22" t="s">
        <v>74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41">
        <f t="shared" si="19"/>
        <v>0</v>
      </c>
      <c r="G177" s="141"/>
      <c r="H177" s="29" t="e">
        <f t="shared" si="16"/>
        <v>#N/A</v>
      </c>
      <c r="I177" s="137" t="e">
        <f t="shared" si="20"/>
        <v>#N/A</v>
      </c>
      <c r="J177" s="137"/>
      <c r="M177" s="22" t="s">
        <v>74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41">
        <f t="shared" si="19"/>
        <v>0</v>
      </c>
      <c r="G178" s="141"/>
      <c r="H178" s="29" t="e">
        <f t="shared" si="16"/>
        <v>#N/A</v>
      </c>
      <c r="I178" s="137" t="e">
        <f t="shared" si="20"/>
        <v>#N/A</v>
      </c>
      <c r="J178" s="137"/>
      <c r="M178" s="22" t="s">
        <v>74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41">
        <f t="shared" si="19"/>
        <v>0</v>
      </c>
      <c r="G179" s="141"/>
      <c r="H179" s="29" t="e">
        <f t="shared" si="16"/>
        <v>#N/A</v>
      </c>
      <c r="I179" s="137" t="e">
        <f t="shared" si="20"/>
        <v>#N/A</v>
      </c>
      <c r="J179" s="137"/>
      <c r="M179" s="22" t="s">
        <v>74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41">
        <f t="shared" si="19"/>
        <v>0</v>
      </c>
      <c r="G180" s="141"/>
      <c r="H180" s="29" t="e">
        <f t="shared" si="16"/>
        <v>#N/A</v>
      </c>
      <c r="I180" s="137" t="e">
        <f t="shared" si="20"/>
        <v>#N/A</v>
      </c>
      <c r="J180" s="137"/>
      <c r="M180" s="22" t="s">
        <v>74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41">
        <f t="shared" si="19"/>
        <v>0</v>
      </c>
      <c r="G181" s="141"/>
      <c r="H181" s="29" t="e">
        <f t="shared" si="16"/>
        <v>#N/A</v>
      </c>
      <c r="I181" s="137" t="e">
        <f t="shared" si="20"/>
        <v>#N/A</v>
      </c>
      <c r="J181" s="137"/>
      <c r="M181" s="22" t="s">
        <v>74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41">
        <f t="shared" si="19"/>
        <v>0</v>
      </c>
      <c r="G182" s="141"/>
      <c r="H182" s="29" t="e">
        <f t="shared" si="16"/>
        <v>#N/A</v>
      </c>
      <c r="I182" s="137" t="e">
        <f t="shared" si="20"/>
        <v>#N/A</v>
      </c>
      <c r="J182" s="137"/>
      <c r="M182" s="22" t="s">
        <v>74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41">
        <f t="shared" si="19"/>
        <v>0</v>
      </c>
      <c r="G183" s="141"/>
      <c r="H183" s="29" t="e">
        <f t="shared" si="16"/>
        <v>#N/A</v>
      </c>
      <c r="I183" s="137" t="e">
        <f t="shared" si="20"/>
        <v>#N/A</v>
      </c>
      <c r="J183" s="137"/>
      <c r="M183" s="22" t="s">
        <v>74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41">
        <f t="shared" si="19"/>
        <v>0</v>
      </c>
      <c r="G184" s="141"/>
      <c r="H184" s="29" t="e">
        <f t="shared" si="16"/>
        <v>#N/A</v>
      </c>
      <c r="I184" s="137" t="e">
        <f t="shared" si="20"/>
        <v>#N/A</v>
      </c>
      <c r="J184" s="137"/>
      <c r="M184" s="22" t="s">
        <v>74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41">
        <f t="shared" si="19"/>
        <v>0</v>
      </c>
      <c r="G185" s="141"/>
      <c r="H185" s="29" t="e">
        <f t="shared" si="16"/>
        <v>#N/A</v>
      </c>
      <c r="I185" s="137" t="e">
        <f t="shared" si="20"/>
        <v>#N/A</v>
      </c>
      <c r="J185" s="137"/>
      <c r="M185" s="22" t="s">
        <v>74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41">
        <f t="shared" si="19"/>
        <v>0</v>
      </c>
      <c r="G186" s="141"/>
      <c r="H186" s="29" t="e">
        <f t="shared" si="16"/>
        <v>#N/A</v>
      </c>
      <c r="I186" s="137" t="e">
        <f t="shared" si="20"/>
        <v>#N/A</v>
      </c>
      <c r="J186" s="137"/>
      <c r="M186" s="22" t="s">
        <v>74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41">
        <f t="shared" si="19"/>
        <v>0</v>
      </c>
      <c r="G187" s="141"/>
      <c r="H187" s="29" t="e">
        <f t="shared" si="16"/>
        <v>#N/A</v>
      </c>
      <c r="I187" s="137" t="e">
        <f t="shared" si="20"/>
        <v>#N/A</v>
      </c>
      <c r="J187" s="137"/>
      <c r="M187" s="22" t="s">
        <v>74</v>
      </c>
      <c r="N187" s="1">
        <v>0</v>
      </c>
    </row>
    <row r="188" spans="1:14" ht="29.25" customHeight="1">
      <c r="A188" s="109" t="s">
        <v>177</v>
      </c>
    </row>
    <row r="189" spans="1:14" ht="29.25" customHeight="1">
      <c r="A189" s="109" t="s">
        <v>177</v>
      </c>
    </row>
    <row r="190" spans="1:14" ht="36.75" customHeight="1">
      <c r="A190" s="161" t="s">
        <v>71</v>
      </c>
      <c r="B190" s="161"/>
      <c r="C190" s="161"/>
      <c r="D190" s="161"/>
      <c r="E190" s="27">
        <f>SUM(F158:G187)</f>
        <v>6462.12</v>
      </c>
    </row>
    <row r="191" spans="1:14" ht="51.75" customHeight="1">
      <c r="A191" s="161" t="s">
        <v>72</v>
      </c>
      <c r="B191" s="161"/>
      <c r="C191" s="161"/>
      <c r="D191" s="161"/>
      <c r="E191" s="27">
        <f>E190+E154-E155</f>
        <v>-56038.060000000005</v>
      </c>
    </row>
    <row r="192" spans="1:14">
      <c r="A192" s="109" t="s">
        <v>177</v>
      </c>
    </row>
    <row r="193" spans="1:10" ht="62.25" customHeight="1">
      <c r="A193" s="135" t="s">
        <v>75</v>
      </c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1:10">
      <c r="A194" s="133" t="str">
        <f>ПТО!F12</f>
        <v xml:space="preserve">  -  поверка (замена) манометров и термометров</v>
      </c>
      <c r="B194" s="133"/>
      <c r="C194" s="133"/>
      <c r="D194" s="133"/>
      <c r="E194" s="133"/>
      <c r="F194" s="133"/>
      <c r="G194" s="133"/>
      <c r="H194" s="53">
        <f>ПТО!G12</f>
        <v>1200</v>
      </c>
      <c r="I194" s="54" t="s">
        <v>77</v>
      </c>
    </row>
    <row r="195" spans="1:10" ht="18.75" customHeight="1">
      <c r="A195" s="133" t="str">
        <f>ПТО!F13</f>
        <v xml:space="preserve">  -  техническое освидетельствование лифта</v>
      </c>
      <c r="B195" s="133"/>
      <c r="C195" s="133"/>
      <c r="D195" s="133"/>
      <c r="E195" s="133"/>
      <c r="F195" s="133"/>
      <c r="G195" s="133"/>
      <c r="H195" s="53">
        <f>ПТО!G13</f>
        <v>5600</v>
      </c>
      <c r="I195" s="54" t="s">
        <v>77</v>
      </c>
    </row>
    <row r="196" spans="1:10" ht="18.75" customHeight="1">
      <c r="A196" s="133" t="str">
        <f>ПТО!F14</f>
        <v xml:space="preserve">  -  ремонт подъезда</v>
      </c>
      <c r="B196" s="133"/>
      <c r="C196" s="133"/>
      <c r="D196" s="133"/>
      <c r="E196" s="133"/>
      <c r="F196" s="133"/>
      <c r="G196" s="133"/>
      <c r="H196" s="53">
        <f>ПТО!G14</f>
        <v>200000</v>
      </c>
      <c r="I196" s="54" t="s">
        <v>77</v>
      </c>
    </row>
    <row r="197" spans="1:10" ht="18.75" hidden="1" customHeight="1">
      <c r="A197" s="133">
        <f>ПТО!F15</f>
        <v>0</v>
      </c>
      <c r="B197" s="133"/>
      <c r="C197" s="133"/>
      <c r="D197" s="133"/>
      <c r="E197" s="133"/>
      <c r="F197" s="133"/>
      <c r="G197" s="133"/>
      <c r="H197" s="53">
        <f>ПТО!G15</f>
        <v>0</v>
      </c>
      <c r="I197" s="54" t="s">
        <v>77</v>
      </c>
    </row>
    <row r="198" spans="1:10" ht="18.75" hidden="1" customHeight="1">
      <c r="A198" s="133">
        <f>ПТО!F16</f>
        <v>0</v>
      </c>
      <c r="B198" s="133"/>
      <c r="C198" s="133"/>
      <c r="D198" s="133"/>
      <c r="E198" s="133"/>
      <c r="F198" s="133"/>
      <c r="G198" s="133"/>
      <c r="H198" s="53">
        <f>ПТО!G16</f>
        <v>0</v>
      </c>
      <c r="I198" s="56" t="s">
        <v>77</v>
      </c>
    </row>
    <row r="199" spans="1:10" ht="18.75" hidden="1" customHeight="1">
      <c r="A199" s="133">
        <f>ПТО!F17</f>
        <v>0</v>
      </c>
      <c r="B199" s="133"/>
      <c r="C199" s="133"/>
      <c r="D199" s="133"/>
      <c r="E199" s="133"/>
      <c r="F199" s="133"/>
      <c r="G199" s="133"/>
      <c r="H199" s="53">
        <f>ПТО!G17</f>
        <v>0</v>
      </c>
      <c r="I199" s="54" t="s">
        <v>77</v>
      </c>
    </row>
    <row r="200" spans="1:10" hidden="1">
      <c r="A200" s="133">
        <f>ПТО!F18</f>
        <v>0</v>
      </c>
      <c r="B200" s="133"/>
      <c r="C200" s="133"/>
      <c r="D200" s="133"/>
      <c r="E200" s="133"/>
      <c r="F200" s="133"/>
      <c r="G200" s="133"/>
      <c r="H200" s="53">
        <f>ПТО!G18</f>
        <v>0</v>
      </c>
      <c r="I200" s="54" t="s">
        <v>77</v>
      </c>
    </row>
    <row r="201" spans="1:10" hidden="1">
      <c r="A201" s="133">
        <f>ПТО!F19</f>
        <v>0</v>
      </c>
      <c r="B201" s="133"/>
      <c r="C201" s="133"/>
      <c r="D201" s="133"/>
      <c r="E201" s="133"/>
      <c r="F201" s="133"/>
      <c r="G201" s="133"/>
      <c r="H201" s="53">
        <f>ПТО!G19</f>
        <v>0</v>
      </c>
      <c r="I201" s="54" t="s">
        <v>77</v>
      </c>
    </row>
    <row r="202" spans="1:10" hidden="1">
      <c r="A202" s="133">
        <f>ПТО!F20</f>
        <v>0</v>
      </c>
      <c r="B202" s="133"/>
      <c r="C202" s="133"/>
      <c r="D202" s="133"/>
      <c r="E202" s="133"/>
      <c r="F202" s="133"/>
      <c r="G202" s="133"/>
      <c r="H202" s="53">
        <f>ПТО!G20</f>
        <v>0</v>
      </c>
      <c r="I202" s="54" t="s">
        <v>77</v>
      </c>
    </row>
    <row r="203" spans="1:10" hidden="1">
      <c r="A203" s="133">
        <f>ПТО!F21</f>
        <v>0</v>
      </c>
      <c r="B203" s="133"/>
      <c r="C203" s="133"/>
      <c r="D203" s="133"/>
      <c r="E203" s="133"/>
      <c r="F203" s="133"/>
      <c r="G203" s="133"/>
      <c r="H203" s="53">
        <f>ПТО!G21</f>
        <v>0</v>
      </c>
      <c r="I203" s="54" t="s">
        <v>77</v>
      </c>
    </row>
    <row r="204" spans="1:10" hidden="1">
      <c r="A204" s="133">
        <f>ПТО!F22</f>
        <v>0</v>
      </c>
      <c r="B204" s="133"/>
      <c r="C204" s="133"/>
      <c r="D204" s="133"/>
      <c r="E204" s="133"/>
      <c r="F204" s="133"/>
      <c r="G204" s="133"/>
      <c r="H204" s="53">
        <f>ПТО!G22</f>
        <v>0</v>
      </c>
      <c r="I204" s="54" t="s">
        <v>77</v>
      </c>
    </row>
    <row r="205" spans="1:10" hidden="1">
      <c r="A205" s="133">
        <f>ПТО!F23</f>
        <v>0</v>
      </c>
      <c r="B205" s="133"/>
      <c r="C205" s="133"/>
      <c r="D205" s="133"/>
      <c r="E205" s="133"/>
      <c r="F205" s="133"/>
      <c r="G205" s="133"/>
      <c r="H205" s="53">
        <f>ПТО!G23</f>
        <v>0</v>
      </c>
      <c r="I205" s="54" t="s">
        <v>77</v>
      </c>
    </row>
    <row r="206" spans="1:10" hidden="1">
      <c r="A206" s="133">
        <f>ПТО!F24</f>
        <v>0</v>
      </c>
      <c r="B206" s="133"/>
      <c r="C206" s="133"/>
      <c r="D206" s="133"/>
      <c r="E206" s="133"/>
      <c r="F206" s="133"/>
      <c r="G206" s="133"/>
      <c r="H206" s="53">
        <f>ПТО!G24</f>
        <v>0</v>
      </c>
      <c r="I206" s="54" t="s">
        <v>77</v>
      </c>
    </row>
    <row r="207" spans="1:10" hidden="1">
      <c r="A207" s="133">
        <f>ПТО!F25</f>
        <v>0</v>
      </c>
      <c r="B207" s="133"/>
      <c r="C207" s="133"/>
      <c r="D207" s="133"/>
      <c r="E207" s="133"/>
      <c r="F207" s="133"/>
      <c r="G207" s="133"/>
      <c r="H207" s="53">
        <f>ПТО!G25</f>
        <v>0</v>
      </c>
      <c r="I207" s="54" t="s">
        <v>77</v>
      </c>
    </row>
    <row r="208" spans="1:10" hidden="1">
      <c r="A208" s="133">
        <f>ПТО!F26</f>
        <v>0</v>
      </c>
      <c r="B208" s="133"/>
      <c r="C208" s="133"/>
      <c r="D208" s="133"/>
      <c r="E208" s="133"/>
      <c r="F208" s="133"/>
      <c r="G208" s="133"/>
      <c r="H208" s="53">
        <f>ПТО!G26</f>
        <v>0</v>
      </c>
      <c r="I208" s="54" t="s">
        <v>77</v>
      </c>
    </row>
    <row r="209" spans="1:9" hidden="1">
      <c r="A209" s="133">
        <f>ПТО!F27</f>
        <v>0</v>
      </c>
      <c r="B209" s="133"/>
      <c r="C209" s="133"/>
      <c r="D209" s="133"/>
      <c r="E209" s="133"/>
      <c r="F209" s="133"/>
      <c r="G209" s="133"/>
      <c r="H209" s="53">
        <f>ПТО!G27</f>
        <v>0</v>
      </c>
      <c r="I209" s="54" t="s">
        <v>77</v>
      </c>
    </row>
    <row r="210" spans="1:9" hidden="1">
      <c r="A210" s="133">
        <f>ПТО!F28</f>
        <v>0</v>
      </c>
      <c r="B210" s="133"/>
      <c r="C210" s="133"/>
      <c r="D210" s="133"/>
      <c r="E210" s="133"/>
      <c r="F210" s="133"/>
      <c r="G210" s="133"/>
      <c r="H210" s="53">
        <f>ПТО!G28</f>
        <v>0</v>
      </c>
      <c r="I210" s="54" t="s">
        <v>77</v>
      </c>
    </row>
    <row r="211" spans="1:9" hidden="1">
      <c r="A211" s="133">
        <f>ПТО!F29</f>
        <v>0</v>
      </c>
      <c r="B211" s="133"/>
      <c r="C211" s="133"/>
      <c r="D211" s="133"/>
      <c r="E211" s="133"/>
      <c r="F211" s="133"/>
      <c r="G211" s="133"/>
      <c r="H211" s="53">
        <f>ПТО!G29</f>
        <v>0</v>
      </c>
      <c r="I211" s="54" t="s">
        <v>77</v>
      </c>
    </row>
    <row r="212" spans="1:9" hidden="1">
      <c r="A212" s="133">
        <f>ПТО!F30</f>
        <v>0</v>
      </c>
      <c r="B212" s="133"/>
      <c r="C212" s="133"/>
      <c r="D212" s="133"/>
      <c r="E212" s="133"/>
      <c r="F212" s="133"/>
      <c r="G212" s="133"/>
      <c r="H212" s="53">
        <f>ПТО!G30</f>
        <v>0</v>
      </c>
      <c r="I212" s="54" t="s">
        <v>77</v>
      </c>
    </row>
    <row r="213" spans="1:9" hidden="1">
      <c r="A213" s="133">
        <f>ПТО!F31</f>
        <v>0</v>
      </c>
      <c r="B213" s="133"/>
      <c r="C213" s="133"/>
      <c r="D213" s="133"/>
      <c r="E213" s="133"/>
      <c r="F213" s="133"/>
      <c r="G213" s="133"/>
      <c r="H213" s="53">
        <f>ПТО!G31</f>
        <v>0</v>
      </c>
      <c r="I213" s="54" t="s">
        <v>77</v>
      </c>
    </row>
    <row r="214" spans="1:9">
      <c r="A214" s="57" t="s">
        <v>79</v>
      </c>
      <c r="B214" s="58"/>
      <c r="C214" s="58"/>
      <c r="D214" s="58"/>
      <c r="E214" s="58"/>
      <c r="F214" s="58"/>
      <c r="G214" s="58"/>
      <c r="H214" s="59">
        <f>SUM(H194:H213)</f>
        <v>206800</v>
      </c>
      <c r="I214" s="60" t="s">
        <v>80</v>
      </c>
    </row>
  </sheetData>
  <sheetProtection algorithmName="SHA-512" hashValue="J0xd7oMmBWAll8NEk8Mm1Xg5jDd+/elcBGw+lBiwVkeU06/ganuR4PKZNZXRKA/D8+XOyEn6EryQmghkW0JnTA==" saltValue="XIWZaSFHMrUgvbSwGLe7O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L8" sqref="L8:L24"/>
    </sheetView>
  </sheetViews>
  <sheetFormatPr defaultRowHeight="15"/>
  <cols>
    <col min="1" max="1" width="53.5703125" style="33" bestFit="1" customWidth="1"/>
    <col min="2" max="2" width="12.28515625" style="33" customWidth="1"/>
    <col min="3" max="3" width="13" style="33" customWidth="1"/>
    <col min="4" max="4" width="12.42578125" style="33" bestFit="1" customWidth="1"/>
    <col min="5" max="5" width="16.42578125" style="33" bestFit="1" customWidth="1"/>
    <col min="6" max="6" width="40.5703125" style="33" customWidth="1"/>
    <col min="7" max="7" width="26" style="33" customWidth="1"/>
    <col min="8" max="11" width="9.140625" style="33"/>
    <col min="14" max="14" width="10" bestFit="1" customWidth="1"/>
  </cols>
  <sheetData>
    <row r="1" spans="1:12" ht="110.25" customHeight="1" thickBot="1">
      <c r="A1" s="37" t="s">
        <v>18</v>
      </c>
      <c r="B1" s="37" t="s">
        <v>55</v>
      </c>
      <c r="C1" s="37" t="s">
        <v>20</v>
      </c>
      <c r="D1" s="37" t="s">
        <v>19</v>
      </c>
      <c r="E1" s="36"/>
      <c r="F1" s="105" t="s">
        <v>69</v>
      </c>
      <c r="G1" s="106">
        <f>-827.98</f>
        <v>-827.98</v>
      </c>
    </row>
    <row r="2" spans="1:12" ht="18.75" customHeight="1">
      <c r="A2" s="125" t="s">
        <v>179</v>
      </c>
      <c r="B2" s="128" t="s">
        <v>181</v>
      </c>
      <c r="C2" s="128">
        <v>12</v>
      </c>
      <c r="D2" s="124">
        <v>5577.12</v>
      </c>
      <c r="F2" s="34"/>
      <c r="G2" s="34"/>
      <c r="L2" s="35" t="str">
        <f t="shared" ref="L2:L22" si="0">IF(A2&gt;0,"ТР",0)</f>
        <v>ТР</v>
      </c>
    </row>
    <row r="3" spans="1:12" ht="18.75" customHeight="1">
      <c r="A3" s="130" t="s">
        <v>180</v>
      </c>
      <c r="B3" s="123" t="s">
        <v>182</v>
      </c>
      <c r="C3" s="129">
        <v>1</v>
      </c>
      <c r="D3" s="127">
        <v>885</v>
      </c>
      <c r="E3" s="126" t="s">
        <v>183</v>
      </c>
      <c r="F3" s="31"/>
      <c r="G3" s="31"/>
      <c r="L3" s="35" t="str">
        <f t="shared" si="0"/>
        <v>ТР</v>
      </c>
    </row>
    <row r="4" spans="1:12" ht="18.75" customHeight="1">
      <c r="A4" s="31"/>
      <c r="B4" s="30"/>
      <c r="C4" s="30"/>
      <c r="D4" s="32"/>
      <c r="F4" s="31"/>
      <c r="G4" s="31"/>
      <c r="L4" s="35">
        <f t="shared" si="0"/>
        <v>0</v>
      </c>
    </row>
    <row r="5" spans="1:12" ht="18.75" customHeight="1">
      <c r="A5" s="48"/>
      <c r="B5" s="45"/>
      <c r="C5" s="45"/>
      <c r="D5" s="50"/>
      <c r="E5" s="48"/>
      <c r="F5" s="48"/>
      <c r="G5" s="48"/>
      <c r="K5" s="50"/>
      <c r="L5" s="35">
        <f t="shared" si="0"/>
        <v>0</v>
      </c>
    </row>
    <row r="6" spans="1:12" ht="18.75" customHeight="1">
      <c r="A6" s="48"/>
      <c r="B6" s="45"/>
      <c r="C6" s="45"/>
      <c r="D6" s="50"/>
      <c r="E6" s="48"/>
      <c r="F6" s="48"/>
      <c r="G6" s="48"/>
      <c r="K6" s="50"/>
      <c r="L6" s="35">
        <f t="shared" si="0"/>
        <v>0</v>
      </c>
    </row>
    <row r="7" spans="1:12" ht="18.75" customHeight="1">
      <c r="A7" s="49"/>
      <c r="B7" s="45"/>
      <c r="C7" s="47"/>
      <c r="D7" s="50"/>
      <c r="E7" s="49"/>
      <c r="F7" s="49"/>
      <c r="G7" s="49"/>
      <c r="K7" s="50"/>
      <c r="L7" s="35">
        <f t="shared" si="0"/>
        <v>0</v>
      </c>
    </row>
    <row r="8" spans="1:12" ht="18.75" customHeight="1">
      <c r="A8" s="49"/>
      <c r="B8" s="45"/>
      <c r="C8" s="45"/>
      <c r="D8" s="46"/>
      <c r="E8" s="49"/>
      <c r="F8" s="49"/>
      <c r="G8" s="49"/>
      <c r="K8" s="46"/>
      <c r="L8" s="35">
        <f t="shared" si="0"/>
        <v>0</v>
      </c>
    </row>
    <row r="9" spans="1:12">
      <c r="A9" s="48"/>
      <c r="B9" s="45"/>
      <c r="C9" s="45"/>
      <c r="D9" s="46"/>
      <c r="E9" s="48"/>
      <c r="F9" s="48"/>
      <c r="G9" s="48"/>
      <c r="K9" s="46"/>
      <c r="L9" s="35">
        <f t="shared" si="0"/>
        <v>0</v>
      </c>
    </row>
    <row r="10" spans="1:12">
      <c r="A10" s="102"/>
      <c r="D10" s="50"/>
      <c r="L10" s="35">
        <f t="shared" si="0"/>
        <v>0</v>
      </c>
    </row>
    <row r="11" spans="1:12" ht="94.5">
      <c r="A11" s="31"/>
      <c r="F11" s="116" t="s">
        <v>75</v>
      </c>
      <c r="G11" s="116"/>
      <c r="L11" s="35">
        <f t="shared" si="0"/>
        <v>0</v>
      </c>
    </row>
    <row r="12" spans="1:12" ht="31.5">
      <c r="A12" s="31"/>
      <c r="F12" s="117" t="s">
        <v>76</v>
      </c>
      <c r="G12" s="118">
        <v>1200</v>
      </c>
      <c r="L12" s="35">
        <f t="shared" si="0"/>
        <v>0</v>
      </c>
    </row>
    <row r="13" spans="1:12" ht="31.5">
      <c r="A13" s="31"/>
      <c r="F13" s="117" t="s">
        <v>78</v>
      </c>
      <c r="G13" s="118">
        <v>5600</v>
      </c>
      <c r="L13" s="35">
        <f t="shared" si="0"/>
        <v>0</v>
      </c>
    </row>
    <row r="14" spans="1:12" ht="15.75">
      <c r="A14" s="31"/>
      <c r="F14" s="131" t="s">
        <v>186</v>
      </c>
      <c r="G14" s="132">
        <v>200000</v>
      </c>
      <c r="L14" s="35">
        <f t="shared" si="0"/>
        <v>0</v>
      </c>
    </row>
    <row r="15" spans="1:12" ht="15.75">
      <c r="A15" s="31"/>
      <c r="F15" s="117"/>
      <c r="G15" s="118"/>
      <c r="L15" s="35">
        <f t="shared" si="0"/>
        <v>0</v>
      </c>
    </row>
    <row r="16" spans="1:12" ht="15.75">
      <c r="A16" s="31"/>
      <c r="F16" s="117"/>
      <c r="G16" s="119"/>
      <c r="L16" s="35">
        <f t="shared" si="0"/>
        <v>0</v>
      </c>
    </row>
    <row r="17" spans="1:12" ht="15.75">
      <c r="A17" s="31"/>
      <c r="F17" s="117"/>
      <c r="G17" s="118"/>
      <c r="L17" s="35">
        <f t="shared" si="0"/>
        <v>0</v>
      </c>
    </row>
    <row r="18" spans="1:12">
      <c r="A18" s="31"/>
      <c r="F18" s="108"/>
      <c r="L18" s="35">
        <f t="shared" si="0"/>
        <v>0</v>
      </c>
    </row>
    <row r="19" spans="1:12">
      <c r="A19" s="31"/>
      <c r="F19" s="108"/>
      <c r="L19" s="35">
        <f t="shared" si="0"/>
        <v>0</v>
      </c>
    </row>
    <row r="20" spans="1:12">
      <c r="A20" s="31"/>
      <c r="F20" s="108"/>
      <c r="L20" s="35">
        <f t="shared" si="0"/>
        <v>0</v>
      </c>
    </row>
    <row r="21" spans="1:12">
      <c r="F21" s="108"/>
      <c r="L21" s="35">
        <f t="shared" si="0"/>
        <v>0</v>
      </c>
    </row>
    <row r="22" spans="1:12">
      <c r="F22" s="108"/>
      <c r="L22" s="35">
        <f t="shared" si="0"/>
        <v>0</v>
      </c>
    </row>
    <row r="23" spans="1:12">
      <c r="F23" s="108"/>
      <c r="L23" s="35">
        <f t="shared" ref="L23:L31" si="1">IF(A23&gt;0,"ТР",0)</f>
        <v>0</v>
      </c>
    </row>
    <row r="24" spans="1:12">
      <c r="F24" s="108"/>
      <c r="L24" s="35">
        <f t="shared" si="1"/>
        <v>0</v>
      </c>
    </row>
    <row r="25" spans="1:12">
      <c r="F25" s="108"/>
      <c r="L25" s="35">
        <f t="shared" si="1"/>
        <v>0</v>
      </c>
    </row>
    <row r="26" spans="1:12">
      <c r="F26" s="108"/>
      <c r="L26" s="35">
        <f t="shared" si="1"/>
        <v>0</v>
      </c>
    </row>
    <row r="27" spans="1:12">
      <c r="F27" s="108"/>
      <c r="L27" s="35">
        <f t="shared" si="1"/>
        <v>0</v>
      </c>
    </row>
    <row r="28" spans="1:12">
      <c r="F28" s="108"/>
      <c r="L28" s="35">
        <f t="shared" si="1"/>
        <v>0</v>
      </c>
    </row>
    <row r="29" spans="1:12">
      <c r="F29" s="108"/>
      <c r="L29" s="35">
        <f t="shared" si="1"/>
        <v>0</v>
      </c>
    </row>
    <row r="30" spans="1:12">
      <c r="F30" s="108"/>
      <c r="L30" s="35">
        <f t="shared" si="1"/>
        <v>0</v>
      </c>
    </row>
    <row r="31" spans="1:12">
      <c r="L31" s="35">
        <f t="shared" si="1"/>
        <v>0</v>
      </c>
    </row>
    <row r="32" spans="1:12" ht="36.75" customHeight="1">
      <c r="B32" s="37"/>
      <c r="C32" s="37"/>
      <c r="D32" s="37"/>
      <c r="H32" s="104"/>
      <c r="I32" s="104"/>
    </row>
    <row r="39" spans="1:16" ht="31.5" customHeight="1">
      <c r="A39" s="39" t="s">
        <v>21</v>
      </c>
      <c r="B39" s="40">
        <v>15050.28</v>
      </c>
      <c r="C39" s="40" t="s">
        <v>66</v>
      </c>
      <c r="D39" s="41">
        <v>12</v>
      </c>
      <c r="E39" s="36"/>
      <c r="J39" s="38"/>
      <c r="L39" s="42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3">
        <f>B39</f>
        <v>15050.28</v>
      </c>
      <c r="O39" s="43" t="str">
        <f>C39</f>
        <v>Ежемесячно</v>
      </c>
      <c r="P39">
        <f>D39</f>
        <v>12</v>
      </c>
    </row>
    <row r="40" spans="1:16" ht="31.5" customHeight="1">
      <c r="A40" s="39" t="s">
        <v>189</v>
      </c>
      <c r="B40" s="40">
        <v>56580</v>
      </c>
      <c r="C40" s="40" t="s">
        <v>66</v>
      </c>
      <c r="D40" s="41">
        <v>12</v>
      </c>
      <c r="E40" s="36"/>
      <c r="J40" s="38"/>
      <c r="L40" s="42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3">
        <f t="shared" ref="N40:N53" si="4">B40</f>
        <v>56580</v>
      </c>
      <c r="O40" s="43" t="str">
        <f t="shared" ref="O40:O53" si="5">C40</f>
        <v>Ежемесячно</v>
      </c>
      <c r="P40">
        <f t="shared" ref="P40:P53" si="6">D40</f>
        <v>12</v>
      </c>
    </row>
    <row r="41" spans="1:16" ht="25.5">
      <c r="A41" s="39" t="s">
        <v>188</v>
      </c>
      <c r="B41" s="40">
        <v>40511.279999999999</v>
      </c>
      <c r="C41" s="40" t="s">
        <v>67</v>
      </c>
      <c r="D41" s="41">
        <v>12</v>
      </c>
      <c r="E41" s="36"/>
      <c r="J41" s="38"/>
      <c r="L41" s="42" t="str">
        <f t="shared" si="2"/>
        <v>СОД</v>
      </c>
      <c r="M41" t="str">
        <f t="shared" si="3"/>
        <v xml:space="preserve">Работы по содержанию земельного участка </v>
      </c>
      <c r="N41" s="43">
        <f t="shared" si="4"/>
        <v>40511.279999999999</v>
      </c>
      <c r="O41" s="43" t="str">
        <f t="shared" si="5"/>
        <v>В соответствии с графиком</v>
      </c>
      <c r="P41">
        <f t="shared" si="6"/>
        <v>12</v>
      </c>
    </row>
    <row r="42" spans="1:16" ht="25.5">
      <c r="A42" s="39" t="s">
        <v>22</v>
      </c>
      <c r="B42" s="40">
        <v>13352.88</v>
      </c>
      <c r="C42" s="40" t="s">
        <v>66</v>
      </c>
      <c r="D42" s="41">
        <v>12</v>
      </c>
      <c r="E42" s="36"/>
      <c r="J42" s="38"/>
      <c r="L42" s="42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3">
        <f t="shared" si="4"/>
        <v>13352.88</v>
      </c>
      <c r="O42" s="43" t="str">
        <f t="shared" si="5"/>
        <v>Ежемесячно</v>
      </c>
      <c r="P42">
        <f t="shared" si="6"/>
        <v>12</v>
      </c>
    </row>
    <row r="43" spans="1:16" ht="15.75">
      <c r="A43" s="39"/>
      <c r="B43" s="40"/>
      <c r="C43" s="40"/>
      <c r="D43" s="41"/>
      <c r="E43" s="36"/>
      <c r="J43" s="38"/>
      <c r="L43" s="42">
        <f t="shared" si="2"/>
        <v>0</v>
      </c>
      <c r="M43">
        <f t="shared" si="3"/>
        <v>0</v>
      </c>
      <c r="N43" s="43">
        <f t="shared" si="4"/>
        <v>0</v>
      </c>
      <c r="O43" s="43">
        <f t="shared" si="5"/>
        <v>0</v>
      </c>
      <c r="P43">
        <f t="shared" si="6"/>
        <v>0</v>
      </c>
    </row>
    <row r="44" spans="1:16" ht="25.5">
      <c r="A44" s="39" t="s">
        <v>23</v>
      </c>
      <c r="B44" s="40">
        <v>5658</v>
      </c>
      <c r="C44" s="40" t="s">
        <v>68</v>
      </c>
      <c r="D44" s="41">
        <v>12</v>
      </c>
      <c r="E44" s="36"/>
      <c r="J44" s="38"/>
      <c r="L44" s="42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3">
        <f t="shared" si="4"/>
        <v>5658</v>
      </c>
      <c r="O44" s="43" t="str">
        <f t="shared" si="5"/>
        <v>Круглосуточно</v>
      </c>
      <c r="P44">
        <f t="shared" si="6"/>
        <v>12</v>
      </c>
    </row>
    <row r="45" spans="1:16" ht="25.5">
      <c r="A45" s="39" t="s">
        <v>24</v>
      </c>
      <c r="B45" s="40">
        <v>28290</v>
      </c>
      <c r="C45" s="40" t="s">
        <v>67</v>
      </c>
      <c r="D45" s="41">
        <v>12</v>
      </c>
      <c r="E45" s="36"/>
      <c r="J45" s="38"/>
      <c r="L45" s="42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3">
        <f t="shared" si="4"/>
        <v>28290</v>
      </c>
      <c r="O45" s="43" t="str">
        <f t="shared" si="5"/>
        <v>В соответствии с графиком</v>
      </c>
      <c r="P45">
        <f t="shared" si="6"/>
        <v>12</v>
      </c>
    </row>
    <row r="46" spans="1:16">
      <c r="A46" s="39"/>
      <c r="B46" s="40"/>
      <c r="C46" s="40"/>
      <c r="D46" s="52"/>
      <c r="L46" s="42">
        <f t="shared" si="2"/>
        <v>0</v>
      </c>
      <c r="M46">
        <f t="shared" si="3"/>
        <v>0</v>
      </c>
      <c r="N46" s="43">
        <f t="shared" si="4"/>
        <v>0</v>
      </c>
      <c r="O46" s="43">
        <f t="shared" si="5"/>
        <v>0</v>
      </c>
      <c r="P46">
        <f t="shared" si="6"/>
        <v>0</v>
      </c>
    </row>
    <row r="47" spans="1:16">
      <c r="L47" s="42">
        <f t="shared" si="2"/>
        <v>0</v>
      </c>
      <c r="M47">
        <f t="shared" si="3"/>
        <v>0</v>
      </c>
      <c r="N47" s="43">
        <f t="shared" si="4"/>
        <v>0</v>
      </c>
      <c r="O47" s="43">
        <f t="shared" si="5"/>
        <v>0</v>
      </c>
      <c r="P47">
        <f t="shared" si="6"/>
        <v>0</v>
      </c>
    </row>
    <row r="48" spans="1:16">
      <c r="L48" s="42">
        <f t="shared" si="2"/>
        <v>0</v>
      </c>
      <c r="M48">
        <f t="shared" si="3"/>
        <v>0</v>
      </c>
      <c r="N48" s="43">
        <f t="shared" si="4"/>
        <v>0</v>
      </c>
      <c r="O48" s="43">
        <f t="shared" si="5"/>
        <v>0</v>
      </c>
      <c r="P48">
        <f t="shared" si="6"/>
        <v>0</v>
      </c>
    </row>
    <row r="49" spans="12:16">
      <c r="L49" s="42">
        <f t="shared" si="2"/>
        <v>0</v>
      </c>
      <c r="M49">
        <f t="shared" si="3"/>
        <v>0</v>
      </c>
      <c r="N49" s="43">
        <f t="shared" si="4"/>
        <v>0</v>
      </c>
      <c r="O49" s="43">
        <f t="shared" si="5"/>
        <v>0</v>
      </c>
      <c r="P49">
        <f t="shared" si="6"/>
        <v>0</v>
      </c>
    </row>
    <row r="50" spans="12:16">
      <c r="L50" s="42">
        <f t="shared" si="2"/>
        <v>0</v>
      </c>
      <c r="M50">
        <f t="shared" si="3"/>
        <v>0</v>
      </c>
      <c r="N50" s="43">
        <f t="shared" si="4"/>
        <v>0</v>
      </c>
      <c r="O50" s="43">
        <f t="shared" si="5"/>
        <v>0</v>
      </c>
      <c r="P50">
        <f t="shared" si="6"/>
        <v>0</v>
      </c>
    </row>
    <row r="51" spans="12:16">
      <c r="L51" s="42">
        <f t="shared" si="2"/>
        <v>0</v>
      </c>
      <c r="M51">
        <f t="shared" si="3"/>
        <v>0</v>
      </c>
      <c r="N51" s="43">
        <f t="shared" si="4"/>
        <v>0</v>
      </c>
      <c r="O51" s="43">
        <f t="shared" si="5"/>
        <v>0</v>
      </c>
      <c r="P51">
        <f t="shared" si="6"/>
        <v>0</v>
      </c>
    </row>
    <row r="52" spans="12:16">
      <c r="L52" s="42">
        <f t="shared" si="2"/>
        <v>0</v>
      </c>
      <c r="M52">
        <f t="shared" si="3"/>
        <v>0</v>
      </c>
      <c r="N52" s="43">
        <f t="shared" si="4"/>
        <v>0</v>
      </c>
      <c r="O52" s="43">
        <f t="shared" si="5"/>
        <v>0</v>
      </c>
      <c r="P52">
        <f t="shared" si="6"/>
        <v>0</v>
      </c>
    </row>
    <row r="53" spans="12:16">
      <c r="L53" s="42">
        <f t="shared" si="2"/>
        <v>0</v>
      </c>
      <c r="M53">
        <f t="shared" si="3"/>
        <v>0</v>
      </c>
      <c r="N53" s="43">
        <f t="shared" si="4"/>
        <v>0</v>
      </c>
      <c r="O53" s="43">
        <f t="shared" si="5"/>
        <v>0</v>
      </c>
      <c r="P53">
        <f t="shared" si="6"/>
        <v>0</v>
      </c>
    </row>
    <row r="65" spans="4:13" ht="18.75" customHeight="1">
      <c r="D65" s="104"/>
      <c r="E65" s="104"/>
      <c r="F65" s="104"/>
      <c r="G65" s="104"/>
      <c r="H65" s="104"/>
      <c r="I65" s="104"/>
      <c r="J65" s="104"/>
      <c r="K65" s="104"/>
      <c r="L65" s="104"/>
      <c r="M65" s="104"/>
    </row>
    <row r="66" spans="4:13" ht="18.75" customHeight="1">
      <c r="D66" s="107"/>
      <c r="E66" s="53"/>
      <c r="F66" s="54"/>
      <c r="G66" s="107"/>
      <c r="H66" s="107"/>
      <c r="I66" s="107"/>
      <c r="J66" s="107"/>
      <c r="M66" s="1"/>
    </row>
    <row r="67" spans="4:13" ht="18.75" customHeight="1">
      <c r="D67" s="107"/>
      <c r="E67" s="53"/>
      <c r="F67" s="54"/>
      <c r="G67" s="107"/>
      <c r="H67" s="107"/>
      <c r="I67" s="107"/>
      <c r="J67" s="107"/>
      <c r="M67" s="1"/>
    </row>
    <row r="68" spans="4:13" ht="18.75" customHeight="1">
      <c r="D68" s="107"/>
      <c r="E68" s="53"/>
      <c r="F68" s="54"/>
      <c r="G68" s="107"/>
      <c r="H68" s="107"/>
      <c r="I68" s="107"/>
      <c r="J68" s="107"/>
      <c r="M68" s="1"/>
    </row>
    <row r="69" spans="4:13" ht="18.75" customHeight="1">
      <c r="D69" s="107"/>
      <c r="E69" s="53"/>
      <c r="F69" s="54"/>
      <c r="G69" s="107"/>
      <c r="H69" s="107"/>
      <c r="I69" s="107"/>
      <c r="J69" s="107"/>
      <c r="M69" s="1"/>
    </row>
    <row r="70" spans="4:13" ht="18.75" customHeight="1">
      <c r="D70" s="107"/>
      <c r="E70" s="55"/>
      <c r="F70" s="56"/>
      <c r="G70" s="107"/>
      <c r="H70" s="107"/>
      <c r="I70" s="107"/>
      <c r="J70" s="107"/>
      <c r="M70" s="1"/>
    </row>
    <row r="71" spans="4:13" ht="18.75" customHeight="1">
      <c r="D71" s="107"/>
      <c r="E71" s="53"/>
      <c r="F71" s="54"/>
      <c r="G71" s="107"/>
      <c r="H71" s="107"/>
      <c r="I71" s="107"/>
      <c r="J71" s="107"/>
      <c r="M71" s="1"/>
    </row>
  </sheetData>
  <sheetProtection algorithmName="SHA-512" hashValue="4yf++g01IE7Lrsk7D7u7rKPDXK8O6I6dWMdqjIM9x7iaUV0QH+c0G0U/Ydx/xPsBt5RmAE7sxRxNzx+kIpA9oA==" saltValue="zKD10Lrc3jrEYjnZLYbIK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L8" sqref="L8:L24"/>
    </sheetView>
  </sheetViews>
  <sheetFormatPr defaultRowHeight="15"/>
  <cols>
    <col min="1" max="1" width="11.5703125" style="64" hidden="1" customWidth="1"/>
    <col min="2" max="2" width="94.7109375" style="64" bestFit="1" customWidth="1"/>
    <col min="3" max="3" width="25.85546875" style="64" customWidth="1"/>
    <col min="4" max="4" width="69.5703125" style="64" bestFit="1" customWidth="1"/>
    <col min="5" max="5" width="20.7109375" style="64" bestFit="1" customWidth="1"/>
    <col min="6" max="6" width="61.140625" style="64" customWidth="1"/>
    <col min="7" max="8" width="9.140625" style="64"/>
    <col min="9" max="9" width="10.140625" style="64" bestFit="1" customWidth="1"/>
    <col min="10" max="10" width="9.140625" style="64"/>
    <col min="11" max="11" width="11.28515625" style="64" bestFit="1" customWidth="1"/>
    <col min="12" max="12" width="69.5703125" style="64" bestFit="1" customWidth="1"/>
    <col min="13" max="16384" width="9.140625" style="64"/>
  </cols>
  <sheetData>
    <row r="1" spans="1:10" ht="15.75">
      <c r="A1" s="74"/>
      <c r="B1" s="75" t="s">
        <v>31</v>
      </c>
      <c r="E1" s="64" t="s">
        <v>185</v>
      </c>
      <c r="F1" s="64">
        <v>943</v>
      </c>
    </row>
    <row r="2" spans="1:10" ht="15.75" customHeight="1">
      <c r="A2" s="74" t="s">
        <v>85</v>
      </c>
      <c r="B2" s="76" t="s">
        <v>1</v>
      </c>
      <c r="C2" s="87">
        <v>0</v>
      </c>
      <c r="D2" s="85" t="s">
        <v>56</v>
      </c>
      <c r="E2" s="65" t="s">
        <v>184</v>
      </c>
      <c r="F2" s="65"/>
      <c r="G2" s="65"/>
      <c r="H2" s="65"/>
      <c r="I2" s="65"/>
      <c r="J2" s="65"/>
    </row>
    <row r="3" spans="1:10" ht="15.75" customHeight="1">
      <c r="A3" s="74" t="s">
        <v>86</v>
      </c>
      <c r="B3" s="76" t="s">
        <v>2</v>
      </c>
      <c r="C3" s="83">
        <v>0</v>
      </c>
      <c r="D3" s="84" t="s">
        <v>57</v>
      </c>
      <c r="E3" s="65"/>
      <c r="F3" s="65"/>
      <c r="G3" s="65"/>
      <c r="H3" s="65"/>
      <c r="I3" s="65"/>
      <c r="J3" s="65"/>
    </row>
    <row r="4" spans="1:10" ht="15.75" customHeight="1">
      <c r="A4" s="74" t="s">
        <v>87</v>
      </c>
      <c r="B4" s="76" t="s">
        <v>3</v>
      </c>
      <c r="C4" s="87">
        <v>59398.99</v>
      </c>
      <c r="D4" s="85" t="s">
        <v>58</v>
      </c>
      <c r="E4" s="65"/>
      <c r="F4" s="65"/>
      <c r="G4" s="65"/>
      <c r="H4" s="65"/>
      <c r="I4" s="65"/>
      <c r="J4" s="65"/>
    </row>
    <row r="5" spans="1:10" ht="15.75" customHeight="1">
      <c r="A5" s="74" t="s">
        <v>88</v>
      </c>
      <c r="B5" s="76" t="s">
        <v>4</v>
      </c>
      <c r="C5" s="83">
        <f>SUM(C6:C8)</f>
        <v>228138.93</v>
      </c>
      <c r="D5" s="84" t="s">
        <v>57</v>
      </c>
      <c r="E5" s="65"/>
      <c r="F5" s="65"/>
      <c r="G5" s="65"/>
      <c r="H5" s="65"/>
      <c r="I5" s="65"/>
      <c r="J5" s="65"/>
    </row>
    <row r="6" spans="1:10" ht="15.75" customHeight="1">
      <c r="A6" s="74" t="s">
        <v>89</v>
      </c>
      <c r="B6" s="76" t="s">
        <v>5</v>
      </c>
      <c r="C6" s="87">
        <v>109262.05</v>
      </c>
      <c r="D6" s="85" t="s">
        <v>59</v>
      </c>
      <c r="E6" s="65"/>
      <c r="F6" s="65"/>
      <c r="G6" s="65"/>
      <c r="H6" s="65"/>
      <c r="I6" s="65"/>
      <c r="J6" s="65"/>
    </row>
    <row r="7" spans="1:10" ht="15.75" customHeight="1">
      <c r="A7" s="74" t="s">
        <v>90</v>
      </c>
      <c r="B7" s="76" t="s">
        <v>6</v>
      </c>
      <c r="C7" s="87">
        <f>F1*5.45*12</f>
        <v>61672.200000000004</v>
      </c>
      <c r="D7" s="85" t="s">
        <v>60</v>
      </c>
      <c r="E7" s="65"/>
      <c r="F7" s="65"/>
      <c r="G7" s="65"/>
      <c r="H7" s="65"/>
      <c r="I7" s="65"/>
      <c r="J7" s="65"/>
    </row>
    <row r="8" spans="1:10" ht="15.75" customHeight="1">
      <c r="A8" s="74" t="s">
        <v>91</v>
      </c>
      <c r="B8" s="76" t="s">
        <v>7</v>
      </c>
      <c r="C8" s="87">
        <v>57204.68</v>
      </c>
      <c r="D8" s="85" t="s">
        <v>61</v>
      </c>
      <c r="E8" s="65"/>
      <c r="F8" s="65"/>
      <c r="G8" s="65"/>
      <c r="H8" s="65"/>
      <c r="I8" s="65"/>
      <c r="J8" s="65"/>
    </row>
    <row r="9" spans="1:10" ht="15.75" customHeight="1">
      <c r="A9" s="74" t="s">
        <v>92</v>
      </c>
      <c r="B9" s="76" t="s">
        <v>8</v>
      </c>
      <c r="C9" s="83">
        <f>SUM(C10:C14)</f>
        <v>229906.98</v>
      </c>
      <c r="D9" s="84" t="s">
        <v>57</v>
      </c>
      <c r="E9" s="65"/>
      <c r="F9" s="65"/>
      <c r="G9" s="65"/>
      <c r="H9" s="65"/>
      <c r="I9" s="65"/>
      <c r="J9" s="65"/>
    </row>
    <row r="10" spans="1:10" ht="15.75" customHeight="1">
      <c r="A10" s="74" t="s">
        <v>93</v>
      </c>
      <c r="B10" s="76" t="s">
        <v>9</v>
      </c>
      <c r="C10" s="87">
        <v>229906.98</v>
      </c>
      <c r="D10" s="85" t="s">
        <v>62</v>
      </c>
      <c r="E10" s="65"/>
      <c r="F10" s="65"/>
      <c r="G10" s="65"/>
      <c r="H10" s="65"/>
      <c r="I10" s="65"/>
      <c r="J10" s="65"/>
    </row>
    <row r="11" spans="1:10" ht="15.75" customHeight="1">
      <c r="A11" s="74" t="s">
        <v>94</v>
      </c>
      <c r="B11" s="76" t="s">
        <v>10</v>
      </c>
      <c r="C11" s="87">
        <v>0</v>
      </c>
      <c r="D11" s="85" t="s">
        <v>62</v>
      </c>
      <c r="E11" s="65"/>
      <c r="F11" s="65"/>
      <c r="G11" s="65"/>
      <c r="H11" s="65"/>
      <c r="I11" s="65"/>
      <c r="J11" s="65"/>
    </row>
    <row r="12" spans="1:10" ht="15.75" customHeight="1">
      <c r="A12" s="74" t="s">
        <v>95</v>
      </c>
      <c r="B12" s="76" t="s">
        <v>11</v>
      </c>
      <c r="C12" s="87">
        <v>0</v>
      </c>
      <c r="D12" s="85" t="s">
        <v>62</v>
      </c>
      <c r="E12" s="65"/>
      <c r="F12" s="65"/>
      <c r="G12" s="65"/>
      <c r="H12" s="65"/>
      <c r="I12" s="65"/>
      <c r="J12" s="65"/>
    </row>
    <row r="13" spans="1:10" ht="15.75" customHeight="1">
      <c r="A13" s="74" t="s">
        <v>96</v>
      </c>
      <c r="B13" s="76" t="s">
        <v>12</v>
      </c>
      <c r="C13" s="87">
        <v>0</v>
      </c>
      <c r="D13" s="85" t="s">
        <v>62</v>
      </c>
      <c r="E13" s="65"/>
      <c r="F13" s="65"/>
      <c r="G13" s="65"/>
      <c r="H13" s="65"/>
      <c r="I13" s="65"/>
      <c r="J13" s="65"/>
    </row>
    <row r="14" spans="1:10" ht="15.75" customHeight="1">
      <c r="A14" s="74" t="s">
        <v>97</v>
      </c>
      <c r="B14" s="76" t="s">
        <v>13</v>
      </c>
      <c r="C14" s="87">
        <v>0</v>
      </c>
      <c r="D14" s="85" t="s">
        <v>62</v>
      </c>
      <c r="E14" s="65"/>
      <c r="F14" s="65"/>
      <c r="G14" s="65"/>
      <c r="H14" s="65"/>
      <c r="I14" s="65"/>
      <c r="J14" s="65"/>
    </row>
    <row r="15" spans="1:10" ht="15.75" customHeight="1">
      <c r="A15" s="74" t="s">
        <v>98</v>
      </c>
      <c r="B15" s="76" t="s">
        <v>14</v>
      </c>
      <c r="C15" s="83">
        <f>C9</f>
        <v>229906.98</v>
      </c>
      <c r="D15" s="84" t="s">
        <v>57</v>
      </c>
      <c r="E15" s="65"/>
      <c r="F15" s="65"/>
      <c r="G15" s="65"/>
      <c r="H15" s="65"/>
      <c r="I15" s="65"/>
      <c r="J15" s="65"/>
    </row>
    <row r="16" spans="1:10" ht="15.75" customHeight="1">
      <c r="A16" s="74" t="s">
        <v>99</v>
      </c>
      <c r="B16" s="76" t="s">
        <v>15</v>
      </c>
      <c r="C16" s="83">
        <f>IF(C2&gt;0,IF(C2+C9-C5&gt;0,C2+C9-C5,0),IF(C9-C5&gt;0,IF(C4+C5-C9&gt;0,0,C9-C5-C4),0))</f>
        <v>0</v>
      </c>
      <c r="D16" s="84" t="s">
        <v>57</v>
      </c>
      <c r="E16" s="65"/>
      <c r="F16" s="65"/>
      <c r="G16" s="65"/>
      <c r="H16" s="65"/>
      <c r="I16" s="65"/>
      <c r="J16" s="65"/>
    </row>
    <row r="17" spans="1:15" ht="15.75" customHeight="1">
      <c r="A17" s="74" t="s">
        <v>100</v>
      </c>
      <c r="B17" s="76" t="s">
        <v>16</v>
      </c>
      <c r="C17" s="83">
        <v>0</v>
      </c>
      <c r="D17" s="84" t="s">
        <v>57</v>
      </c>
      <c r="E17" s="65"/>
      <c r="F17" s="65"/>
      <c r="G17" s="65"/>
      <c r="H17" s="65"/>
      <c r="I17" s="65"/>
      <c r="J17" s="65"/>
    </row>
    <row r="18" spans="1:15" ht="15.75" customHeight="1">
      <c r="A18" s="74" t="s">
        <v>101</v>
      </c>
      <c r="B18" s="76" t="s">
        <v>17</v>
      </c>
      <c r="C18" s="83">
        <f>IF(C16&gt;0,0,IF(C4&gt;0,C4+C5-C9,C5-C2-C9))</f>
        <v>57630.939999999973</v>
      </c>
      <c r="D18" s="84" t="s">
        <v>57</v>
      </c>
      <c r="E18" s="65"/>
      <c r="F18" s="65"/>
      <c r="G18" s="65"/>
      <c r="H18" s="65"/>
      <c r="I18" s="65"/>
      <c r="J18" s="65"/>
    </row>
    <row r="19" spans="1:15" ht="18.75">
      <c r="A19" s="77" t="s">
        <v>164</v>
      </c>
      <c r="B19" s="78" t="s">
        <v>29</v>
      </c>
      <c r="C19" s="67"/>
      <c r="D19" s="67"/>
      <c r="E19" s="67"/>
      <c r="F19" s="67"/>
      <c r="G19" s="67"/>
      <c r="H19" s="67"/>
      <c r="I19" s="67"/>
      <c r="J19" s="67"/>
      <c r="M19" s="67"/>
      <c r="N19" s="67"/>
      <c r="O19" s="67"/>
    </row>
    <row r="20" spans="1:15" ht="15.75" customHeight="1">
      <c r="A20" s="74" t="s">
        <v>102</v>
      </c>
      <c r="B20" s="76" t="s">
        <v>25</v>
      </c>
      <c r="C20" s="88">
        <v>0</v>
      </c>
      <c r="D20" s="85" t="s">
        <v>65</v>
      </c>
      <c r="E20" s="65"/>
      <c r="F20" s="65"/>
      <c r="G20" s="65"/>
      <c r="H20" s="65"/>
      <c r="I20" s="65"/>
      <c r="J20" s="65"/>
      <c r="M20" s="164"/>
      <c r="N20" s="66"/>
    </row>
    <row r="21" spans="1:15" ht="15.75" customHeight="1">
      <c r="A21" s="74" t="s">
        <v>103</v>
      </c>
      <c r="B21" s="76" t="s">
        <v>26</v>
      </c>
      <c r="C21" s="88">
        <v>0</v>
      </c>
      <c r="D21" s="85" t="s">
        <v>65</v>
      </c>
      <c r="E21" s="65"/>
      <c r="F21" s="65"/>
      <c r="G21" s="65"/>
      <c r="H21" s="65"/>
      <c r="I21" s="65"/>
      <c r="J21" s="65"/>
      <c r="M21" s="164"/>
      <c r="N21" s="66"/>
    </row>
    <row r="22" spans="1:15" ht="15.75" customHeight="1">
      <c r="A22" s="74" t="s">
        <v>104</v>
      </c>
      <c r="B22" s="76" t="s">
        <v>27</v>
      </c>
      <c r="C22" s="88">
        <v>0</v>
      </c>
      <c r="D22" s="85" t="s">
        <v>65</v>
      </c>
      <c r="E22" s="65"/>
      <c r="F22" s="65"/>
      <c r="G22" s="65"/>
      <c r="H22" s="65"/>
      <c r="I22" s="65"/>
      <c r="J22" s="65"/>
      <c r="M22" s="164"/>
      <c r="N22" s="66"/>
    </row>
    <row r="23" spans="1:15" ht="15.75" customHeight="1">
      <c r="A23" s="74" t="s">
        <v>105</v>
      </c>
      <c r="B23" s="76" t="s">
        <v>28</v>
      </c>
      <c r="C23" s="89">
        <v>0</v>
      </c>
      <c r="D23" s="85" t="s">
        <v>65</v>
      </c>
      <c r="E23" s="65"/>
      <c r="F23" s="65"/>
      <c r="G23" s="65"/>
      <c r="H23" s="65"/>
      <c r="I23" s="65"/>
      <c r="J23" s="65"/>
      <c r="M23" s="164"/>
      <c r="N23" s="66"/>
    </row>
    <row r="24" spans="1:15" ht="18.75">
      <c r="A24" s="77" t="s">
        <v>165</v>
      </c>
      <c r="B24" s="75" t="s">
        <v>32</v>
      </c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</row>
    <row r="25" spans="1:15" ht="18.75" customHeight="1">
      <c r="A25" s="74" t="s">
        <v>106</v>
      </c>
      <c r="B25" s="79" t="s">
        <v>1</v>
      </c>
      <c r="C25" s="90">
        <v>0</v>
      </c>
      <c r="D25" s="85" t="s">
        <v>56</v>
      </c>
      <c r="E25" s="68"/>
      <c r="F25" s="68"/>
      <c r="G25" s="68"/>
      <c r="H25" s="68"/>
      <c r="I25" s="68"/>
      <c r="J25" s="68"/>
      <c r="M25" s="163"/>
      <c r="N25" s="67"/>
    </row>
    <row r="26" spans="1:15" ht="18.75" customHeight="1">
      <c r="A26" s="74" t="s">
        <v>107</v>
      </c>
      <c r="B26" s="79" t="s">
        <v>2</v>
      </c>
      <c r="C26" s="86">
        <v>0</v>
      </c>
      <c r="D26" s="84" t="s">
        <v>57</v>
      </c>
      <c r="E26" s="68"/>
      <c r="F26" s="68"/>
      <c r="G26" s="68"/>
      <c r="H26" s="68"/>
      <c r="I26" s="68"/>
      <c r="J26" s="68"/>
      <c r="M26" s="163"/>
      <c r="N26" s="67"/>
    </row>
    <row r="27" spans="1:15" ht="18.75" customHeight="1">
      <c r="A27" s="74" t="s">
        <v>108</v>
      </c>
      <c r="B27" s="79" t="s">
        <v>3</v>
      </c>
      <c r="C27" s="90">
        <v>43889.93</v>
      </c>
      <c r="D27" s="85" t="s">
        <v>58</v>
      </c>
      <c r="E27" s="68"/>
      <c r="F27" s="68"/>
      <c r="G27" s="68"/>
      <c r="H27" s="68"/>
      <c r="I27" s="68"/>
      <c r="J27" s="68"/>
      <c r="M27" s="163"/>
      <c r="N27" s="67"/>
    </row>
    <row r="28" spans="1:15" ht="18.75" customHeight="1">
      <c r="A28" s="74" t="s">
        <v>109</v>
      </c>
      <c r="B28" s="79" t="s">
        <v>15</v>
      </c>
      <c r="C28" s="90">
        <v>0</v>
      </c>
      <c r="D28" s="85" t="s">
        <v>63</v>
      </c>
      <c r="E28" s="68"/>
      <c r="F28" s="68"/>
      <c r="G28" s="68"/>
      <c r="H28" s="68"/>
      <c r="I28" s="68"/>
      <c r="J28" s="68"/>
      <c r="M28" s="163"/>
      <c r="N28" s="67"/>
    </row>
    <row r="29" spans="1:15" ht="18.75" customHeight="1">
      <c r="A29" s="74" t="s">
        <v>110</v>
      </c>
      <c r="B29" s="79" t="s">
        <v>16</v>
      </c>
      <c r="C29" s="86">
        <v>0</v>
      </c>
      <c r="D29" s="84" t="s">
        <v>57</v>
      </c>
      <c r="E29" s="68"/>
      <c r="F29" s="68"/>
      <c r="G29" s="68"/>
      <c r="H29" s="68"/>
      <c r="I29" s="68"/>
      <c r="J29" s="68"/>
      <c r="M29" s="163"/>
      <c r="N29" s="67"/>
    </row>
    <row r="30" spans="1:15" ht="18.75" customHeight="1">
      <c r="A30" s="74" t="s">
        <v>111</v>
      </c>
      <c r="B30" s="79" t="s">
        <v>17</v>
      </c>
      <c r="C30" s="90">
        <v>71621.78</v>
      </c>
      <c r="D30" s="85" t="s">
        <v>64</v>
      </c>
      <c r="E30" s="68"/>
      <c r="F30" s="68"/>
      <c r="G30" s="68"/>
      <c r="H30" s="68"/>
      <c r="I30" s="68"/>
      <c r="J30" s="68"/>
      <c r="M30" s="163"/>
      <c r="N30" s="67"/>
    </row>
    <row r="31" spans="1:15" ht="18.75" customHeight="1">
      <c r="A31" s="74" t="s">
        <v>112</v>
      </c>
      <c r="B31" s="79" t="s">
        <v>25</v>
      </c>
      <c r="C31" s="91">
        <v>0</v>
      </c>
      <c r="D31" s="85" t="s">
        <v>65</v>
      </c>
      <c r="E31" s="68"/>
      <c r="F31" s="68"/>
      <c r="G31" s="68"/>
      <c r="H31" s="68"/>
      <c r="I31" s="68"/>
      <c r="J31" s="68"/>
      <c r="M31" s="163"/>
      <c r="N31" s="67"/>
    </row>
    <row r="32" spans="1:15" ht="18.75" customHeight="1">
      <c r="A32" s="74" t="s">
        <v>113</v>
      </c>
      <c r="B32" s="79" t="s">
        <v>26</v>
      </c>
      <c r="C32" s="91">
        <v>0</v>
      </c>
      <c r="D32" s="85" t="s">
        <v>65</v>
      </c>
      <c r="E32" s="68"/>
      <c r="F32" s="68"/>
      <c r="G32" s="68"/>
      <c r="H32" s="68"/>
      <c r="I32" s="68"/>
      <c r="J32" s="68"/>
      <c r="M32" s="163"/>
      <c r="N32" s="67"/>
    </row>
    <row r="33" spans="1:15" ht="18.75" customHeight="1">
      <c r="A33" s="74" t="s">
        <v>114</v>
      </c>
      <c r="B33" s="79" t="s">
        <v>27</v>
      </c>
      <c r="C33" s="91">
        <v>0</v>
      </c>
      <c r="D33" s="85" t="s">
        <v>65</v>
      </c>
      <c r="E33" s="68"/>
      <c r="F33" s="68"/>
      <c r="G33" s="68"/>
      <c r="H33" s="68"/>
      <c r="I33" s="68"/>
      <c r="J33" s="68"/>
      <c r="M33" s="163"/>
      <c r="N33" s="67"/>
    </row>
    <row r="34" spans="1:15" ht="18.75" customHeight="1">
      <c r="A34" s="74" t="s">
        <v>115</v>
      </c>
      <c r="B34" s="79" t="s">
        <v>28</v>
      </c>
      <c r="C34" s="92">
        <v>0</v>
      </c>
      <c r="D34" s="85" t="s">
        <v>65</v>
      </c>
      <c r="E34" s="68"/>
      <c r="F34" s="68"/>
      <c r="G34" s="68"/>
      <c r="H34" s="68"/>
      <c r="I34" s="68"/>
      <c r="J34" s="68"/>
      <c r="M34" s="163"/>
      <c r="N34" s="67"/>
    </row>
    <row r="35" spans="1:15" ht="18.75">
      <c r="A35" s="77" t="s">
        <v>166</v>
      </c>
      <c r="B35" s="75" t="s">
        <v>33</v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</row>
    <row r="36" spans="1:15" ht="31.5">
      <c r="A36" s="77" t="s">
        <v>167</v>
      </c>
      <c r="B36" s="80" t="s">
        <v>46</v>
      </c>
      <c r="C36" s="96" t="s">
        <v>47</v>
      </c>
      <c r="D36" s="80" t="s">
        <v>48</v>
      </c>
      <c r="E36" s="80" t="s">
        <v>49</v>
      </c>
      <c r="G36" s="69"/>
      <c r="H36" s="69"/>
      <c r="I36" s="69"/>
      <c r="L36" s="67"/>
      <c r="M36" s="67"/>
      <c r="N36" s="67"/>
      <c r="O36" s="67"/>
    </row>
    <row r="37" spans="1:15" ht="18.75">
      <c r="A37" s="77" t="s">
        <v>123</v>
      </c>
      <c r="B37" s="81" t="s">
        <v>51</v>
      </c>
      <c r="C37" s="100" t="str">
        <f>IF(E37&gt;0,"Предоставляется",0)</f>
        <v>Предоставляется</v>
      </c>
      <c r="D37" s="100" t="s">
        <v>50</v>
      </c>
      <c r="E37" s="99">
        <v>14361.78</v>
      </c>
      <c r="F37" s="98" t="s">
        <v>170</v>
      </c>
      <c r="G37" s="70"/>
      <c r="H37" s="70"/>
      <c r="I37" s="70"/>
      <c r="L37" s="67"/>
      <c r="M37" s="162"/>
      <c r="N37" s="67"/>
      <c r="O37" s="67"/>
    </row>
    <row r="38" spans="1:15" ht="18.75" customHeight="1">
      <c r="A38" s="74" t="s">
        <v>116</v>
      </c>
      <c r="B38" s="82" t="s">
        <v>35</v>
      </c>
      <c r="C38" s="94">
        <v>13115.78</v>
      </c>
      <c r="D38" s="98" t="s">
        <v>168</v>
      </c>
      <c r="E38" s="72"/>
      <c r="G38" s="71"/>
      <c r="H38" s="71"/>
      <c r="L38" s="67"/>
      <c r="M38" s="162"/>
      <c r="N38" s="67"/>
      <c r="O38" s="67"/>
    </row>
    <row r="39" spans="1:15" ht="18.75" customHeight="1">
      <c r="A39" s="74" t="s">
        <v>117</v>
      </c>
      <c r="B39" s="82" t="s">
        <v>36</v>
      </c>
      <c r="C39" s="95">
        <v>12898.77</v>
      </c>
      <c r="D39" s="98" t="s">
        <v>169</v>
      </c>
      <c r="E39" s="72"/>
      <c r="G39" s="71"/>
      <c r="H39" s="71"/>
      <c r="L39" s="67"/>
      <c r="M39" s="162"/>
      <c r="N39" s="67"/>
      <c r="O39" s="67"/>
    </row>
    <row r="40" spans="1:15" ht="18.75" customHeight="1">
      <c r="A40" s="74" t="s">
        <v>118</v>
      </c>
      <c r="B40" s="82" t="s">
        <v>37</v>
      </c>
      <c r="C40" s="97">
        <f>IF(E37-C39&lt;0,0,E37-C39)</f>
        <v>1463.0100000000002</v>
      </c>
      <c r="D40" s="84" t="s">
        <v>57</v>
      </c>
      <c r="E40" s="72"/>
      <c r="G40" s="71"/>
      <c r="H40" s="71"/>
      <c r="L40" s="67"/>
      <c r="M40" s="162"/>
      <c r="N40" s="67"/>
      <c r="O40" s="67"/>
    </row>
    <row r="41" spans="1:15" ht="18.75" customHeight="1">
      <c r="A41" s="74" t="s">
        <v>119</v>
      </c>
      <c r="B41" s="82" t="s">
        <v>38</v>
      </c>
      <c r="C41" s="97">
        <f>E37</f>
        <v>14361.78</v>
      </c>
      <c r="D41" s="84" t="s">
        <v>57</v>
      </c>
      <c r="E41" s="72"/>
      <c r="G41" s="71"/>
      <c r="H41" s="71"/>
      <c r="L41" s="67"/>
      <c r="M41" s="162"/>
      <c r="N41" s="67"/>
      <c r="O41" s="67"/>
    </row>
    <row r="42" spans="1:15" ht="18.75" customHeight="1">
      <c r="A42" s="74" t="s">
        <v>120</v>
      </c>
      <c r="B42" s="82" t="s">
        <v>39</v>
      </c>
      <c r="C42" s="97">
        <f>E37</f>
        <v>14361.78</v>
      </c>
      <c r="D42" s="84" t="s">
        <v>57</v>
      </c>
      <c r="E42" s="72"/>
      <c r="G42" s="71"/>
      <c r="H42" s="71"/>
      <c r="L42" s="67"/>
      <c r="M42" s="162"/>
      <c r="N42" s="67"/>
      <c r="O42" s="67"/>
    </row>
    <row r="43" spans="1:15" ht="18.75" customHeight="1">
      <c r="A43" s="74" t="s">
        <v>121</v>
      </c>
      <c r="B43" s="82" t="s">
        <v>40</v>
      </c>
      <c r="C43" s="97">
        <f>IF(C41-C42&lt;=0,,C41-C42)</f>
        <v>0</v>
      </c>
      <c r="D43" s="84" t="s">
        <v>57</v>
      </c>
      <c r="E43" s="72"/>
      <c r="G43" s="71"/>
      <c r="H43" s="71"/>
      <c r="L43" s="67"/>
      <c r="M43" s="162"/>
      <c r="N43" s="67"/>
      <c r="O43" s="67"/>
    </row>
    <row r="44" spans="1:15" ht="30" customHeight="1">
      <c r="A44" s="74" t="s">
        <v>122</v>
      </c>
      <c r="B44" s="82" t="s">
        <v>41</v>
      </c>
      <c r="C44" s="97">
        <v>0</v>
      </c>
      <c r="D44" s="84" t="s">
        <v>57</v>
      </c>
      <c r="E44" s="72"/>
      <c r="G44" s="71"/>
      <c r="H44" s="71"/>
      <c r="L44" s="67"/>
      <c r="M44" s="162"/>
      <c r="N44" s="67"/>
      <c r="O44" s="67"/>
    </row>
    <row r="45" spans="1:15" ht="18.75">
      <c r="A45" s="77" t="s">
        <v>124</v>
      </c>
      <c r="B45" s="81" t="s">
        <v>52</v>
      </c>
      <c r="C45" s="100" t="str">
        <f>IF(E45&gt;0,"Предоставляется",0)</f>
        <v>Предоставляется</v>
      </c>
      <c r="D45" s="100" t="s">
        <v>53</v>
      </c>
      <c r="E45" s="99">
        <v>37586.19</v>
      </c>
      <c r="F45" s="98" t="s">
        <v>170</v>
      </c>
      <c r="G45" s="70"/>
      <c r="H45" s="70"/>
      <c r="L45" s="67"/>
      <c r="M45" s="162"/>
      <c r="N45" s="67"/>
      <c r="O45" s="67"/>
    </row>
    <row r="46" spans="1:15" ht="18.75" customHeight="1">
      <c r="A46" s="77" t="s">
        <v>125</v>
      </c>
      <c r="B46" s="82" t="s">
        <v>35</v>
      </c>
      <c r="C46" s="94">
        <v>2699.19</v>
      </c>
      <c r="D46" s="98" t="s">
        <v>171</v>
      </c>
      <c r="E46" s="72"/>
      <c r="G46" s="71"/>
      <c r="H46" s="71"/>
      <c r="L46" s="67"/>
      <c r="M46" s="162"/>
      <c r="N46" s="67"/>
      <c r="O46" s="67"/>
    </row>
    <row r="47" spans="1:15" ht="18.75" customHeight="1">
      <c r="A47" s="77" t="s">
        <v>126</v>
      </c>
      <c r="B47" s="82" t="s">
        <v>36</v>
      </c>
      <c r="C47" s="95">
        <v>30677.54</v>
      </c>
      <c r="D47" s="98" t="s">
        <v>169</v>
      </c>
      <c r="E47" s="72"/>
      <c r="G47" s="71"/>
      <c r="H47" s="71"/>
      <c r="L47" s="67"/>
      <c r="M47" s="162"/>
      <c r="N47" s="67"/>
      <c r="O47" s="67"/>
    </row>
    <row r="48" spans="1:15" ht="18.75" customHeight="1">
      <c r="A48" s="77" t="s">
        <v>127</v>
      </c>
      <c r="B48" s="82" t="s">
        <v>37</v>
      </c>
      <c r="C48" s="97">
        <f>IF(E45-C47&lt;0,0,E45-C47)</f>
        <v>6908.6500000000015</v>
      </c>
      <c r="D48" s="84" t="s">
        <v>57</v>
      </c>
      <c r="E48" s="72"/>
      <c r="G48" s="71"/>
      <c r="H48" s="71"/>
      <c r="L48" s="67"/>
      <c r="M48" s="162"/>
      <c r="N48" s="67"/>
      <c r="O48" s="67"/>
    </row>
    <row r="49" spans="1:15" ht="18.75" customHeight="1">
      <c r="A49" s="77" t="s">
        <v>128</v>
      </c>
      <c r="B49" s="82" t="s">
        <v>38</v>
      </c>
      <c r="C49" s="97">
        <f>E45</f>
        <v>37586.19</v>
      </c>
      <c r="D49" s="84" t="s">
        <v>57</v>
      </c>
      <c r="E49" s="72"/>
      <c r="G49" s="71"/>
      <c r="H49" s="71"/>
      <c r="L49" s="67"/>
      <c r="M49" s="162"/>
      <c r="N49" s="67"/>
      <c r="O49" s="67"/>
    </row>
    <row r="50" spans="1:15" ht="18.75" customHeight="1">
      <c r="A50" s="77" t="s">
        <v>129</v>
      </c>
      <c r="B50" s="82" t="s">
        <v>39</v>
      </c>
      <c r="C50" s="97">
        <f>E45</f>
        <v>37586.19</v>
      </c>
      <c r="D50" s="84" t="s">
        <v>57</v>
      </c>
      <c r="E50" s="72"/>
      <c r="G50" s="71"/>
      <c r="H50" s="71"/>
      <c r="L50" s="67"/>
      <c r="M50" s="162"/>
      <c r="N50" s="67"/>
      <c r="O50" s="67"/>
    </row>
    <row r="51" spans="1:15" ht="18.75" customHeight="1">
      <c r="A51" s="77" t="s">
        <v>130</v>
      </c>
      <c r="B51" s="82" t="s">
        <v>40</v>
      </c>
      <c r="C51" s="97">
        <f>IF(C49-C50&lt;=0,,C49-C50)</f>
        <v>0</v>
      </c>
      <c r="D51" s="84" t="s">
        <v>57</v>
      </c>
      <c r="E51" s="72"/>
      <c r="G51" s="71"/>
      <c r="H51" s="71"/>
      <c r="L51" s="67"/>
      <c r="M51" s="162"/>
      <c r="N51" s="67"/>
      <c r="O51" s="67"/>
    </row>
    <row r="52" spans="1:15" ht="29.25" customHeight="1">
      <c r="A52" s="77" t="s">
        <v>131</v>
      </c>
      <c r="B52" s="82" t="s">
        <v>41</v>
      </c>
      <c r="C52" s="97">
        <v>0</v>
      </c>
      <c r="D52" s="84" t="s">
        <v>57</v>
      </c>
      <c r="E52" s="72"/>
      <c r="G52" s="71"/>
      <c r="H52" s="71"/>
      <c r="L52" s="67"/>
      <c r="M52" s="162"/>
      <c r="N52" s="67"/>
      <c r="O52" s="67"/>
    </row>
    <row r="53" spans="1:15" ht="18.75">
      <c r="A53" s="77" t="s">
        <v>132</v>
      </c>
      <c r="B53" s="81" t="s">
        <v>54</v>
      </c>
      <c r="C53" s="100" t="str">
        <f>IF(E53&gt;0,"Предоставляется",0)</f>
        <v>Предоставляется</v>
      </c>
      <c r="D53" s="100" t="s">
        <v>53</v>
      </c>
      <c r="E53" s="99">
        <v>58627.199999999997</v>
      </c>
      <c r="F53" s="98" t="s">
        <v>170</v>
      </c>
      <c r="G53" s="70"/>
      <c r="H53" s="70"/>
      <c r="L53" s="67"/>
      <c r="M53" s="162"/>
      <c r="N53" s="67"/>
      <c r="O53" s="67"/>
    </row>
    <row r="54" spans="1:15" ht="18.75" customHeight="1">
      <c r="A54" s="77" t="s">
        <v>133</v>
      </c>
      <c r="B54" s="79" t="s">
        <v>35</v>
      </c>
      <c r="C54" s="103">
        <v>3929.44</v>
      </c>
      <c r="D54" s="98" t="s">
        <v>171</v>
      </c>
      <c r="E54" s="73"/>
      <c r="F54" s="93"/>
      <c r="G54" s="68"/>
      <c r="H54" s="68"/>
      <c r="L54" s="67"/>
      <c r="M54" s="162"/>
      <c r="N54" s="67"/>
      <c r="O54" s="67"/>
    </row>
    <row r="55" spans="1:15" ht="18.75" customHeight="1">
      <c r="A55" s="77" t="s">
        <v>134</v>
      </c>
      <c r="B55" s="79" t="s">
        <v>36</v>
      </c>
      <c r="C55" s="90">
        <v>50331.040000000001</v>
      </c>
      <c r="D55" s="98" t="s">
        <v>169</v>
      </c>
      <c r="E55" s="73"/>
      <c r="G55" s="68"/>
      <c r="H55" s="68"/>
      <c r="L55" s="67"/>
      <c r="M55" s="162"/>
      <c r="N55" s="67"/>
      <c r="O55" s="67"/>
    </row>
    <row r="56" spans="1:15" ht="18.75" customHeight="1">
      <c r="A56" s="77" t="s">
        <v>135</v>
      </c>
      <c r="B56" s="79" t="s">
        <v>37</v>
      </c>
      <c r="C56" s="97">
        <f>IF(E53-C55&lt;0,0,E53-C55)</f>
        <v>8296.1599999999962</v>
      </c>
      <c r="D56" s="84" t="s">
        <v>57</v>
      </c>
      <c r="E56" s="73"/>
      <c r="G56" s="68"/>
      <c r="H56" s="68"/>
      <c r="L56" s="67"/>
      <c r="M56" s="162"/>
      <c r="N56" s="67"/>
      <c r="O56" s="67"/>
    </row>
    <row r="57" spans="1:15" ht="18.75" customHeight="1">
      <c r="A57" s="77" t="s">
        <v>136</v>
      </c>
      <c r="B57" s="79" t="s">
        <v>38</v>
      </c>
      <c r="C57" s="97">
        <f>E53</f>
        <v>58627.199999999997</v>
      </c>
      <c r="D57" s="84" t="s">
        <v>57</v>
      </c>
      <c r="E57" s="73"/>
      <c r="G57" s="68"/>
      <c r="H57" s="68"/>
      <c r="L57" s="67"/>
      <c r="M57" s="162"/>
      <c r="N57" s="67"/>
      <c r="O57" s="67"/>
    </row>
    <row r="58" spans="1:15" ht="18.75" customHeight="1">
      <c r="A58" s="77" t="s">
        <v>137</v>
      </c>
      <c r="B58" s="79" t="s">
        <v>39</v>
      </c>
      <c r="C58" s="97">
        <f>E53</f>
        <v>58627.199999999997</v>
      </c>
      <c r="D58" s="84" t="s">
        <v>57</v>
      </c>
      <c r="E58" s="73"/>
      <c r="G58" s="68"/>
      <c r="H58" s="68"/>
      <c r="L58" s="67"/>
      <c r="M58" s="162"/>
      <c r="N58" s="67"/>
      <c r="O58" s="67"/>
    </row>
    <row r="59" spans="1:15" ht="18.75" customHeight="1">
      <c r="A59" s="77" t="s">
        <v>138</v>
      </c>
      <c r="B59" s="79" t="s">
        <v>40</v>
      </c>
      <c r="C59" s="97">
        <f>IF(C57-C58&lt;=0,,C57-C58)</f>
        <v>0</v>
      </c>
      <c r="D59" s="84" t="s">
        <v>57</v>
      </c>
      <c r="E59" s="73"/>
      <c r="G59" s="68"/>
      <c r="H59" s="68"/>
      <c r="L59" s="67"/>
      <c r="M59" s="162"/>
      <c r="N59" s="67"/>
      <c r="O59" s="67"/>
    </row>
    <row r="60" spans="1:15" ht="33.75" customHeight="1">
      <c r="A60" s="77" t="s">
        <v>139</v>
      </c>
      <c r="B60" s="79" t="s">
        <v>41</v>
      </c>
      <c r="C60" s="97">
        <v>0</v>
      </c>
      <c r="D60" s="84" t="s">
        <v>57</v>
      </c>
      <c r="E60" s="73"/>
      <c r="G60" s="68"/>
      <c r="H60" s="68"/>
      <c r="L60" s="67"/>
      <c r="M60" s="162"/>
      <c r="N60" s="67"/>
      <c r="O60" s="67"/>
    </row>
    <row r="61" spans="1:15" ht="15.75">
      <c r="A61" s="77" t="s">
        <v>140</v>
      </c>
      <c r="B61" s="81" t="s">
        <v>81</v>
      </c>
      <c r="C61" s="100" t="str">
        <f>IF(E61&gt;0,"Предоставляется",0)</f>
        <v>Предоставляется</v>
      </c>
      <c r="D61" s="100" t="s">
        <v>53</v>
      </c>
      <c r="E61" s="99">
        <v>35980.92</v>
      </c>
      <c r="F61" s="98" t="s">
        <v>170</v>
      </c>
      <c r="G61" s="70"/>
      <c r="H61" s="70"/>
    </row>
    <row r="62" spans="1:15" ht="15.75" customHeight="1">
      <c r="A62" s="77" t="s">
        <v>141</v>
      </c>
      <c r="B62" s="79" t="s">
        <v>35</v>
      </c>
      <c r="C62" s="103">
        <v>66.59</v>
      </c>
      <c r="D62" s="98" t="s">
        <v>171</v>
      </c>
      <c r="E62" s="73"/>
      <c r="G62" s="68"/>
      <c r="H62" s="68"/>
    </row>
    <row r="63" spans="1:15" ht="15.75" customHeight="1">
      <c r="A63" s="77" t="s">
        <v>142</v>
      </c>
      <c r="B63" s="79" t="s">
        <v>36</v>
      </c>
      <c r="C63" s="90">
        <v>26770.09</v>
      </c>
      <c r="D63" s="98" t="s">
        <v>169</v>
      </c>
      <c r="E63" s="73"/>
      <c r="G63" s="68"/>
      <c r="H63" s="68"/>
    </row>
    <row r="64" spans="1:15" ht="15.75" customHeight="1">
      <c r="A64" s="77" t="s">
        <v>143</v>
      </c>
      <c r="B64" s="79" t="s">
        <v>37</v>
      </c>
      <c r="C64" s="97">
        <f>IF(E61-C63&lt;0,0,E61-C63)</f>
        <v>9210.8299999999981</v>
      </c>
      <c r="D64" s="84" t="s">
        <v>57</v>
      </c>
      <c r="E64" s="73"/>
      <c r="G64" s="68"/>
      <c r="H64" s="68"/>
    </row>
    <row r="65" spans="1:8" ht="15.75" customHeight="1">
      <c r="A65" s="77" t="s">
        <v>144</v>
      </c>
      <c r="B65" s="79" t="s">
        <v>38</v>
      </c>
      <c r="C65" s="97">
        <f>E61</f>
        <v>35980.92</v>
      </c>
      <c r="D65" s="84" t="s">
        <v>57</v>
      </c>
      <c r="E65" s="73"/>
      <c r="G65" s="68"/>
      <c r="H65" s="68"/>
    </row>
    <row r="66" spans="1:8" ht="15.75" customHeight="1">
      <c r="A66" s="77" t="s">
        <v>145</v>
      </c>
      <c r="B66" s="79" t="s">
        <v>39</v>
      </c>
      <c r="C66" s="97">
        <f>E61</f>
        <v>35980.92</v>
      </c>
      <c r="D66" s="84" t="s">
        <v>57</v>
      </c>
      <c r="E66" s="73"/>
      <c r="G66" s="68"/>
      <c r="H66" s="68"/>
    </row>
    <row r="67" spans="1:8" ht="15.75" customHeight="1">
      <c r="A67" s="77" t="s">
        <v>146</v>
      </c>
      <c r="B67" s="79" t="s">
        <v>40</v>
      </c>
      <c r="C67" s="97">
        <f>IF(C65-C66&lt;=0,,C65-C66)</f>
        <v>0</v>
      </c>
      <c r="D67" s="84" t="s">
        <v>57</v>
      </c>
      <c r="E67" s="73"/>
      <c r="G67" s="68"/>
      <c r="H67" s="68"/>
    </row>
    <row r="68" spans="1:8" ht="15.75" customHeight="1">
      <c r="A68" s="77" t="s">
        <v>147</v>
      </c>
      <c r="B68" s="79" t="s">
        <v>41</v>
      </c>
      <c r="C68" s="97">
        <v>0</v>
      </c>
      <c r="D68" s="84" t="s">
        <v>57</v>
      </c>
      <c r="E68" s="73"/>
      <c r="G68" s="68"/>
      <c r="H68" s="68"/>
    </row>
    <row r="69" spans="1:8" ht="15.75">
      <c r="A69" s="77" t="s">
        <v>148</v>
      </c>
      <c r="B69" s="81" t="s">
        <v>82</v>
      </c>
      <c r="C69" s="100" t="str">
        <f>IF(E69&gt;0,"Предоставляется",0)</f>
        <v>Предоставляется</v>
      </c>
      <c r="D69" s="100" t="s">
        <v>53</v>
      </c>
      <c r="E69" s="99">
        <v>17207.23</v>
      </c>
      <c r="F69" s="98" t="s">
        <v>170</v>
      </c>
      <c r="G69" s="70"/>
      <c r="H69" s="70"/>
    </row>
    <row r="70" spans="1:8" ht="15.75" customHeight="1">
      <c r="A70" s="77" t="s">
        <v>149</v>
      </c>
      <c r="B70" s="79" t="s">
        <v>35</v>
      </c>
      <c r="C70" s="103">
        <v>1235.71</v>
      </c>
      <c r="D70" s="98" t="s">
        <v>171</v>
      </c>
      <c r="E70" s="73"/>
      <c r="G70" s="68"/>
      <c r="H70" s="68"/>
    </row>
    <row r="71" spans="1:8" ht="15.75" customHeight="1">
      <c r="A71" s="77" t="s">
        <v>150</v>
      </c>
      <c r="B71" s="79" t="s">
        <v>36</v>
      </c>
      <c r="C71" s="90">
        <v>15354.03</v>
      </c>
      <c r="D71" s="98" t="s">
        <v>169</v>
      </c>
      <c r="E71" s="73"/>
      <c r="G71" s="68"/>
      <c r="H71" s="68"/>
    </row>
    <row r="72" spans="1:8" ht="15.75" customHeight="1">
      <c r="A72" s="77" t="s">
        <v>151</v>
      </c>
      <c r="B72" s="79" t="s">
        <v>37</v>
      </c>
      <c r="C72" s="97">
        <f>IF(E69-C71&lt;0,0,E69-C71)</f>
        <v>1853.1999999999989</v>
      </c>
      <c r="D72" s="84" t="s">
        <v>57</v>
      </c>
      <c r="E72" s="73"/>
      <c r="G72" s="68"/>
      <c r="H72" s="68"/>
    </row>
    <row r="73" spans="1:8" ht="15.75" customHeight="1">
      <c r="A73" s="77" t="s">
        <v>152</v>
      </c>
      <c r="B73" s="79" t="s">
        <v>38</v>
      </c>
      <c r="C73" s="97">
        <f>E69</f>
        <v>17207.23</v>
      </c>
      <c r="D73" s="84" t="s">
        <v>57</v>
      </c>
      <c r="E73" s="73"/>
      <c r="G73" s="68"/>
      <c r="H73" s="68"/>
    </row>
    <row r="74" spans="1:8" ht="15.75" customHeight="1">
      <c r="A74" s="77" t="s">
        <v>153</v>
      </c>
      <c r="B74" s="79" t="s">
        <v>39</v>
      </c>
      <c r="C74" s="97">
        <f>E69</f>
        <v>17207.23</v>
      </c>
      <c r="D74" s="84" t="s">
        <v>57</v>
      </c>
      <c r="E74" s="73"/>
      <c r="G74" s="68"/>
      <c r="H74" s="68"/>
    </row>
    <row r="75" spans="1:8" ht="15.75" customHeight="1">
      <c r="A75" s="77" t="s">
        <v>154</v>
      </c>
      <c r="B75" s="79" t="s">
        <v>40</v>
      </c>
      <c r="C75" s="97">
        <f>IF(C73-C74&lt;=0,,C73-C74)</f>
        <v>0</v>
      </c>
      <c r="D75" s="84" t="s">
        <v>57</v>
      </c>
      <c r="E75" s="73"/>
      <c r="G75" s="68"/>
      <c r="H75" s="68"/>
    </row>
    <row r="76" spans="1:8" ht="15.75" customHeight="1">
      <c r="A76" s="77" t="s">
        <v>155</v>
      </c>
      <c r="B76" s="79" t="s">
        <v>41</v>
      </c>
      <c r="C76" s="97">
        <v>0</v>
      </c>
      <c r="D76" s="84" t="s">
        <v>57</v>
      </c>
      <c r="E76" s="73"/>
      <c r="G76" s="68"/>
      <c r="H76" s="68"/>
    </row>
    <row r="77" spans="1:8" ht="15.75">
      <c r="A77" s="77" t="s">
        <v>156</v>
      </c>
      <c r="B77" s="81" t="s">
        <v>83</v>
      </c>
      <c r="C77" s="100">
        <f>IF(E77&gt;0,"Предоставляется",0)</f>
        <v>0</v>
      </c>
      <c r="D77" s="100" t="s">
        <v>84</v>
      </c>
      <c r="E77" s="99">
        <v>0</v>
      </c>
      <c r="F77" s="98" t="s">
        <v>170</v>
      </c>
      <c r="G77" s="70"/>
      <c r="H77" s="70"/>
    </row>
    <row r="78" spans="1:8" ht="15.75" customHeight="1">
      <c r="A78" s="77" t="s">
        <v>157</v>
      </c>
      <c r="B78" s="79" t="s">
        <v>35</v>
      </c>
      <c r="C78" s="103">
        <v>0</v>
      </c>
      <c r="D78" s="98" t="s">
        <v>172</v>
      </c>
      <c r="E78" s="68"/>
      <c r="G78" s="68"/>
      <c r="H78" s="68"/>
    </row>
    <row r="79" spans="1:8" ht="15.75" customHeight="1">
      <c r="A79" s="77" t="s">
        <v>158</v>
      </c>
      <c r="B79" s="79" t="s">
        <v>36</v>
      </c>
      <c r="C79" s="90">
        <v>0</v>
      </c>
      <c r="D79" s="98" t="s">
        <v>169</v>
      </c>
      <c r="E79" s="68"/>
      <c r="G79" s="68"/>
      <c r="H79" s="68"/>
    </row>
    <row r="80" spans="1:8" ht="15.75" customHeight="1">
      <c r="A80" s="77" t="s">
        <v>159</v>
      </c>
      <c r="B80" s="79" t="s">
        <v>37</v>
      </c>
      <c r="C80" s="97">
        <f>IF(E77-C79&lt;0,0,E77-C79)</f>
        <v>0</v>
      </c>
      <c r="D80" s="84" t="s">
        <v>57</v>
      </c>
      <c r="E80" s="68"/>
      <c r="G80" s="68"/>
      <c r="H80" s="68"/>
    </row>
    <row r="81" spans="1:8" ht="15.75" customHeight="1">
      <c r="A81" s="77" t="s">
        <v>160</v>
      </c>
      <c r="B81" s="79" t="s">
        <v>38</v>
      </c>
      <c r="C81" s="97">
        <f>E77</f>
        <v>0</v>
      </c>
      <c r="D81" s="84" t="s">
        <v>57</v>
      </c>
      <c r="E81" s="68"/>
      <c r="G81" s="68"/>
      <c r="H81" s="68"/>
    </row>
    <row r="82" spans="1:8" ht="15.75" customHeight="1">
      <c r="A82" s="77" t="s">
        <v>161</v>
      </c>
      <c r="B82" s="79" t="s">
        <v>39</v>
      </c>
      <c r="C82" s="97">
        <f>E77</f>
        <v>0</v>
      </c>
      <c r="D82" s="84" t="s">
        <v>57</v>
      </c>
      <c r="E82" s="68"/>
      <c r="G82" s="68"/>
      <c r="H82" s="68"/>
    </row>
    <row r="83" spans="1:8" ht="15.75" customHeight="1">
      <c r="A83" s="77" t="s">
        <v>162</v>
      </c>
      <c r="B83" s="79" t="s">
        <v>40</v>
      </c>
      <c r="C83" s="97">
        <f>IF(C81-C82&lt;=0,,C81-C82)</f>
        <v>0</v>
      </c>
      <c r="D83" s="84" t="s">
        <v>57</v>
      </c>
      <c r="E83" s="68"/>
      <c r="G83" s="68"/>
      <c r="H83" s="68"/>
    </row>
    <row r="84" spans="1:8" ht="15.75" customHeight="1">
      <c r="A84" s="77" t="s">
        <v>163</v>
      </c>
      <c r="B84" s="79" t="s">
        <v>41</v>
      </c>
      <c r="C84" s="97">
        <v>0</v>
      </c>
      <c r="D84" s="84" t="s">
        <v>57</v>
      </c>
      <c r="E84" s="68"/>
      <c r="G84" s="68"/>
      <c r="H84" s="68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8" sqref="L8:L2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1" t="s">
        <v>42</v>
      </c>
      <c r="C1" s="62"/>
      <c r="D1" s="62"/>
      <c r="E1" s="67"/>
      <c r="F1" s="67"/>
      <c r="G1" s="67"/>
      <c r="H1" s="67"/>
      <c r="I1" s="67"/>
      <c r="J1" s="67"/>
      <c r="K1" s="114"/>
      <c r="L1" s="114"/>
      <c r="M1" s="114"/>
      <c r="N1" s="114"/>
      <c r="O1" s="114"/>
      <c r="P1" s="1"/>
      <c r="Q1" s="1"/>
      <c r="R1" s="1"/>
      <c r="S1" s="1"/>
      <c r="T1" s="1"/>
    </row>
    <row r="2" spans="1:20" ht="18.75" customHeight="1">
      <c r="A2" t="s">
        <v>173</v>
      </c>
      <c r="B2" s="63" t="s">
        <v>43</v>
      </c>
      <c r="C2" s="110">
        <v>2</v>
      </c>
      <c r="D2" s="112" t="s">
        <v>65</v>
      </c>
      <c r="E2" s="68"/>
      <c r="F2" s="68"/>
      <c r="G2" s="68"/>
      <c r="H2" s="68"/>
      <c r="I2" s="68"/>
      <c r="J2" s="68"/>
      <c r="K2" s="113"/>
      <c r="L2" s="113"/>
      <c r="M2" s="114"/>
      <c r="N2" s="114"/>
      <c r="O2" s="113"/>
      <c r="P2" s="1"/>
      <c r="Q2" s="1"/>
      <c r="R2" s="1"/>
      <c r="S2" s="1"/>
      <c r="T2" s="1"/>
    </row>
    <row r="3" spans="1:20" ht="20.25" customHeight="1">
      <c r="A3" t="s">
        <v>174</v>
      </c>
      <c r="B3" s="63" t="s">
        <v>44</v>
      </c>
      <c r="C3" s="110">
        <v>1</v>
      </c>
      <c r="D3" s="112" t="s">
        <v>65</v>
      </c>
      <c r="E3" s="68"/>
      <c r="F3" s="68"/>
      <c r="G3" s="68"/>
      <c r="H3" s="68"/>
      <c r="I3" s="68"/>
      <c r="J3" s="68"/>
      <c r="K3" s="113"/>
      <c r="L3" s="113"/>
      <c r="M3" s="115"/>
      <c r="N3" s="114"/>
      <c r="O3" s="113"/>
      <c r="P3" s="1"/>
      <c r="Q3" s="1"/>
      <c r="R3" s="1"/>
      <c r="S3" s="1"/>
    </row>
    <row r="4" spans="1:20" ht="18.75" customHeight="1">
      <c r="A4" t="s">
        <v>175</v>
      </c>
      <c r="B4" s="63" t="s">
        <v>45</v>
      </c>
      <c r="C4" s="111">
        <v>72631.33</v>
      </c>
      <c r="D4" s="112" t="s">
        <v>65</v>
      </c>
      <c r="E4" s="68"/>
      <c r="F4" s="68"/>
      <c r="G4" s="68"/>
      <c r="H4" s="68"/>
      <c r="I4" s="68"/>
      <c r="J4" s="68"/>
      <c r="K4" s="113"/>
      <c r="L4" s="113"/>
      <c r="M4" s="114"/>
      <c r="N4" s="114"/>
      <c r="O4" s="113"/>
      <c r="P4" s="1"/>
      <c r="Q4" s="1"/>
      <c r="R4" s="1"/>
      <c r="S4" s="1"/>
      <c r="T4" s="1"/>
    </row>
    <row r="5" spans="1:20"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20"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20"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20"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20"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20"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20"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20"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20"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20"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20"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20"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2:15"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2:15"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2:15"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2:15"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2:15"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2:15"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2:15"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2020-03-20T01:52:23Z</dcterms:modified>
</cp:coreProperties>
</file>