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3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K94" i="1"/>
  <c r="A112" i="1" l="1"/>
  <c r="A114" i="1"/>
  <c r="D110" i="1"/>
  <c r="A116" i="1"/>
  <c r="F110" i="1"/>
  <c r="A117" i="1"/>
  <c r="A141" i="1"/>
  <c r="A95" i="1"/>
  <c r="F134" i="1"/>
  <c r="A120" i="1"/>
  <c r="A124" i="1"/>
  <c r="A94" i="1"/>
  <c r="A96" i="1"/>
  <c r="D118" i="1"/>
  <c r="D94" i="1"/>
  <c r="A99" i="1"/>
  <c r="A110" i="1"/>
  <c r="A111" i="1"/>
  <c r="F118" i="1"/>
  <c r="A121" i="1"/>
  <c r="A137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<sst xmlns="http://schemas.openxmlformats.org/spreadsheetml/2006/main" count="556" uniqueCount="204">
  <si>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</si>
  <si>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</si>
  <si>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</si>
  <si>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</si>
  <si>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</si>
  <si>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</si>
  <si>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</si>
  <si>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</si>
  <si>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</si>
  <si>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</si>
  <si>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</si>
  <si>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</si>
  <si>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</si>
  <si>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</si>
  <si>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</si>
  <si>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</si>
  <si>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</si>
  <si>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</si>
  <si>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</si>
  <si>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</si>
  <si>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</si>
  <si>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</si>
  <si>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</si>
  <si>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</si>
  <si>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</si>
  <si>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</si>
  <si>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</si>
  <si>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</si>
  <si>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</si>
  <si>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</si>
  <si>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</si>
  <si>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</si>
  <si>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</si>
  <si>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</si>
  <si>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</si>
  <si>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</si>
  <si>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</si>
  <si>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</si>
  <si>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</si>
  <si>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</si>
  <si>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</si>
  <si>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</si>
  <si>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</si>
  <si>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</si>
  <si>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</si>
  <si>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</si>
  <si>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</si>
  <si>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</si>
  <si>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</si>
  <si>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</si>
  <si>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</si>
  <si>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</si>
  <si>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</si>
  <si>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</si>
  <si>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</si>
  <si>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</si>
  <si>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</si>
  <si>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</si>
  <si>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</si>
  <si>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</si>
  <si>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</si>
  <si>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</si>
  <si>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</si>
  <si>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</si>
  <si>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</si>
  <si>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</si>
  <si>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</si>
  <si>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</si>
  <si>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</si>
  <si>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</si>
  <si>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</si>
  <si>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</si>
  <si>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</si>
  <si>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</si>
  <si>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</si>
  <si>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</si>
  <si>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</si>
  <si>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</si>
  <si>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</si>
  <si>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</si>
  <si>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</si>
  <si>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</si>
  <si>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</si>
  <si>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</si>
  <si>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</si>
  <si>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</si>
  <si>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</si>
  <si>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</si>
  <si>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</si>
  <si>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</si>
  <si>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</si>
  <si>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</si>
  <si>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</si>
  <si>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</si>
  <si>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</si>
  <si>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</si>
  <si>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</si>
  <si>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</si>
  <si>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</si>
  <si>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</si>
  <si>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</si>
  <si>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</si>
  <si>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</si>
  <si>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</si>
  <si>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</si>
  <si>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</si>
  <si>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</si>
  <si>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</si>
  <si>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</si>
  <si>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</si>
  <si>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</si>
  <si>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</si>
  <si>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</si>
  <si>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</si>
  <si>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</si>
  <si>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</si>
  <si>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</si>
  <si>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</si>
  <si>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</si>
  <si>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</si>
  <si>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</si>
  <si>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</si>
  <si>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</si>
  <si>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</si>
  <si>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</si>
  <si>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</si>
  <si>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</si>
  <si>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</si>
  <si>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</si>
  <si>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</si>
  <si>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</si>
  <si>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</si>
  <si>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</si>
  <si>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</si>
  <si>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</si>
  <si>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</si>
  <si>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</si>
  <si>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</si>
  <si>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</si>
  <si>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</si>
  <si>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</si>
  <si>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</si>
  <si>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</si>
  <si>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</si>
  <si>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</si>
  <si>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</si>
  <si>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</si>
  <si>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</si>
  <si>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</si>
  <si>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</si>
  <si>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</si>
  <si>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</si>
  <si>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</si>
  <si>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</si>
  <si>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</si>
  <si>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</si>
  <si>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</si>
  <si>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</si>
  <si>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</si>
  <si>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</si>
  <si>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</si>
  <si>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</si>
  <si>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</si>
  <si>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</si>
  <si>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</si>
  <si>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</si>
  <si>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</si>
  <si>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</si>
  <si>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</si>
  <si>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</si>
  <si>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</si>
  <si>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</si>
  <si>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</si>
  <si>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</si>
  <si>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</si>
  <si>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</si>
  <si>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</si>
  <si>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</si>
  <si>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126</t>
  </si>
  <si>
    <t>Услуги промышленных альпинистов.</t>
  </si>
  <si>
    <t>Монтаж системы видеонаблюдения.</t>
  </si>
  <si>
    <t>Ремонт подъезда.</t>
  </si>
  <si>
    <t>ежемесячно</t>
  </si>
  <si>
    <t>разово</t>
  </si>
  <si>
    <t>АВР от 26.02.2019</t>
  </si>
  <si>
    <t>Аварийный ремонт теплообменника ГВС в ИТП.</t>
  </si>
  <si>
    <t>АВР от 14.09.2019</t>
  </si>
  <si>
    <t>площадь дома</t>
  </si>
  <si>
    <t>АВР от 08.11.2019, Решение, счет №49041 от 22.07.2019</t>
  </si>
  <si>
    <t>АВР от 06.11.2019, Решение</t>
  </si>
  <si>
    <t>АВР от 20.07.2019, Решение, счет №67 от 10.06.2019</t>
  </si>
  <si>
    <t>Аварийная замена полотенцесушителя кв.34 и кв.38.</t>
  </si>
  <si>
    <t>АВР от 12.11.2019, АВР от 14.11.2019, Акт, Заявление</t>
  </si>
  <si>
    <t>Аварийная замена полотенцесушителя.</t>
  </si>
  <si>
    <t>АВР от 03.12.2019, Акт, Заявление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</si>
  <si>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</si>
  <si>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</si>
  <si>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Техническое обслуживание охранной сигнализации.</t>
  </si>
  <si>
    <t>Приобретение и установка профлиста на торец дома.</t>
  </si>
  <si>
    <t>Отчет об исполнении договора управления многоквартирного дома 
Березовый, 126 в части текущего ремонта</t>
  </si>
  <si>
    <t xml:space="preserve">Работы по содержанию земельного участка </t>
  </si>
  <si>
    <t>Услуги и работы по управлению МКД</t>
  </si>
  <si>
    <t xml:space="preserve">   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</si>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</sst>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</cellStyleXfs>
  <cellXfs count="173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6" fillId="0" borderId="0" xfId="5" applyFill="1" applyBorder="1"/>
    <xf numFmtId="4" fontId="6" fillId="0" borderId="0" xfId="5" applyNumberFormat="1" applyFill="1" applyBorder="1" applyAlignment="1"/>
    <xf numFmtId="4" fontId="6" fillId="0" borderId="0" xfId="5" applyNumberFormat="1" applyBorder="1" applyAlignment="1"/>
    <xf numFmtId="0" fontId="6" fillId="0" borderId="0" xfId="5" applyFill="1" applyBorder="1" applyAlignment="1">
      <alignment horizontal="center" vertical="center"/>
    </xf>
    <xf numFmtId="0" fontId="6" fillId="0" borderId="0" xfId="5" applyFill="1" applyBorder="1" applyAlignment="1">
      <alignment horizontal="center"/>
    </xf>
    <xf numFmtId="0" fontId="6" fillId="0" borderId="0" xfId="5" applyFill="1" applyBorder="1" applyAlignment="1"/>
    <xf numFmtId="0" fontId="0" fillId="0" borderId="0" xfId="0" applyBorder="1" applyProtection="1">
      <protection locked="0"/>
    </xf>
    <xf numFmtId="0" fontId="5" fillId="0" borderId="0" xfId="14" applyFont="1" applyFill="1" applyBorder="1" applyAlignment="1"/>
    <xf numFmtId="0" fontId="5" fillId="0" borderId="0" xfId="14" applyFont="1" applyFill="1" applyBorder="1" applyAlignment="1">
      <alignment horizontal="center"/>
    </xf>
    <xf numFmtId="0" fontId="5" fillId="0" borderId="0" xfId="14" applyFill="1" applyBorder="1" applyAlignment="1">
      <alignment horizontal="center"/>
    </xf>
    <xf numFmtId="4" fontId="5" fillId="0" borderId="0" xfId="14" applyNumberForma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/>
    <xf numFmtId="0" fontId="4" fillId="0" borderId="0" xfId="5" applyFont="1" applyFill="1" applyBorder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" fillId="0" borderId="0" xfId="4" applyFont="1" applyFill="1" applyBorder="1" applyAlignment="1"/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9"/>
    <cellStyle name="Обычный 3" xfId="2"/>
    <cellStyle name="Обычный 3 2" xfId="8"/>
    <cellStyle name="Обычный 3 3" xfId="7"/>
    <cellStyle name="Обычный 3 4" xfId="6"/>
    <cellStyle name="Обычный 3 5" xfId="10"/>
    <cellStyle name="Обычный 4" xfId="4"/>
    <cellStyle name="Обычный 4 2" xfId="14"/>
    <cellStyle name="Обычный 4 3" xfId="11"/>
    <cellStyle name="Обычный 5" xfId="5"/>
    <cellStyle name="Обычный 5 2" xfId="12"/>
    <cellStyle name="Финансовый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28" sqref="F28:G3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63" t="s">
        <v>178</v>
      </c>
      <c r="B2" s="163"/>
      <c r="C2" s="163"/>
      <c r="D2" s="163"/>
      <c r="E2" s="163"/>
      <c r="F2" s="163"/>
      <c r="G2" s="163"/>
      <c r="H2" s="163"/>
      <c r="I2" s="163"/>
      <c r="J2" s="16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203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60" t="s">
        <v>1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12"/>
      <c r="L8" s="164"/>
      <c r="M8" s="112"/>
      <c r="N8" s="112"/>
      <c r="O8" s="72" t="s">
        <v>84</v>
      </c>
      <c r="R8" s="16"/>
    </row>
    <row r="9" spans="1:18" ht="18.75" customHeight="1" outlineLevel="1">
      <c r="A9" s="160" t="s">
        <v>2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12"/>
      <c r="L9" s="164"/>
      <c r="M9" s="112"/>
      <c r="N9" s="112"/>
      <c r="O9" s="72" t="s">
        <v>85</v>
      </c>
    </row>
    <row r="10" spans="1:18" ht="18.75" customHeight="1" outlineLevel="1">
      <c r="A10" s="160" t="s">
        <v>3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99636.09</v>
      </c>
      <c r="K10" s="112"/>
      <c r="L10" s="164"/>
      <c r="M10" s="112"/>
      <c r="N10" s="112"/>
      <c r="O10" s="72" t="s">
        <v>86</v>
      </c>
    </row>
    <row r="11" spans="1:18" outlineLevel="1">
      <c r="A11" s="160" t="s">
        <v>4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241656.62</v>
      </c>
      <c r="K11" s="112"/>
      <c r="L11" s="164"/>
      <c r="M11" s="112"/>
      <c r="N11" s="112"/>
      <c r="O11" s="72" t="s">
        <v>87</v>
      </c>
    </row>
    <row r="12" spans="1:18" ht="18.75" customHeight="1" outlineLevel="1">
      <c r="A12" s="160" t="s">
        <v>5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128404.59</v>
      </c>
      <c r="K12" s="112"/>
      <c r="L12" s="164"/>
      <c r="M12" s="112"/>
      <c r="N12" s="112"/>
      <c r="O12" s="72" t="s">
        <v>88</v>
      </c>
    </row>
    <row r="13" spans="1:18" ht="18.75" customHeight="1" outlineLevel="1">
      <c r="A13" s="160" t="s">
        <v>6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73712.34</v>
      </c>
      <c r="K13" s="112"/>
      <c r="L13" s="164"/>
      <c r="M13" s="112"/>
      <c r="N13" s="112"/>
      <c r="O13" s="72" t="s">
        <v>89</v>
      </c>
    </row>
    <row r="14" spans="1:18" ht="18.75" customHeight="1" outlineLevel="1">
      <c r="A14" s="160" t="s">
        <v>7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39539.69</v>
      </c>
      <c r="K14" s="112"/>
      <c r="L14" s="164"/>
      <c r="M14" s="112"/>
      <c r="N14" s="112"/>
      <c r="O14" s="72" t="s">
        <v>90</v>
      </c>
    </row>
    <row r="15" spans="1:18" ht="18.75" customHeight="1" outlineLevel="1">
      <c r="A15" s="160" t="s">
        <v>8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240392.18</v>
      </c>
      <c r="K15" s="112"/>
      <c r="L15" s="164"/>
      <c r="M15" s="112"/>
      <c r="N15" s="112"/>
      <c r="O15" s="72" t="s">
        <v>91</v>
      </c>
    </row>
    <row r="16" spans="1:18" ht="18.75" customHeight="1" outlineLevel="1">
      <c r="A16" s="160" t="s">
        <v>9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240392.18</v>
      </c>
      <c r="K16" s="112"/>
      <c r="L16" s="164"/>
      <c r="M16" s="112"/>
      <c r="N16" s="112"/>
      <c r="O16" s="72" t="s">
        <v>92</v>
      </c>
    </row>
    <row r="17" spans="1:23" ht="18.75" customHeight="1" outlineLevel="1">
      <c r="A17" s="160" t="s">
        <v>10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12"/>
      <c r="L17" s="164"/>
      <c r="M17" s="112"/>
      <c r="N17" s="112"/>
      <c r="O17" s="72" t="s">
        <v>93</v>
      </c>
    </row>
    <row r="18" spans="1:23" ht="18.75" customHeight="1" outlineLevel="1">
      <c r="A18" s="160" t="s">
        <v>11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12"/>
      <c r="L18" s="164"/>
      <c r="M18" s="112"/>
      <c r="N18" s="112"/>
      <c r="O18" s="72" t="s">
        <v>94</v>
      </c>
    </row>
    <row r="19" spans="1:23" ht="18.75" customHeight="1" outlineLevel="1">
      <c r="A19" s="160" t="s">
        <v>12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12"/>
      <c r="L19" s="164"/>
      <c r="M19" s="112"/>
      <c r="N19" s="112"/>
      <c r="O19" s="72" t="s">
        <v>95</v>
      </c>
    </row>
    <row r="20" spans="1:23" ht="18.75" customHeight="1" outlineLevel="1">
      <c r="A20" s="160" t="s">
        <v>13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12"/>
      <c r="L20" s="164"/>
      <c r="M20" s="112"/>
      <c r="N20" s="112"/>
      <c r="O20" s="72" t="s">
        <v>96</v>
      </c>
    </row>
    <row r="21" spans="1:23" ht="18.75" customHeight="1" outlineLevel="1">
      <c r="A21" s="160" t="s">
        <v>14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240392.18</v>
      </c>
      <c r="K21" s="112"/>
      <c r="L21" s="164"/>
      <c r="M21" s="112"/>
      <c r="N21" s="112"/>
      <c r="O21" s="72" t="s">
        <v>97</v>
      </c>
    </row>
    <row r="22" spans="1:23" ht="18.75" customHeight="1" outlineLevel="1">
      <c r="A22" s="160" t="s">
        <v>15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12"/>
      <c r="L22" s="164"/>
      <c r="M22" s="112"/>
      <c r="N22" s="112"/>
      <c r="O22" s="72" t="s">
        <v>98</v>
      </c>
    </row>
    <row r="23" spans="1:23" ht="18.75" customHeight="1" outlineLevel="1">
      <c r="A23" s="160" t="s">
        <v>16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12"/>
      <c r="L23" s="164"/>
      <c r="M23" s="112"/>
      <c r="N23" s="112"/>
      <c r="O23" s="72" t="s">
        <v>99</v>
      </c>
    </row>
    <row r="24" spans="1:23" ht="18.75" customHeight="1" outlineLevel="1">
      <c r="A24" s="160" t="s">
        <v>17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100900.52999999997</v>
      </c>
      <c r="K24" s="112"/>
      <c r="L24" s="164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7" t="s">
        <v>18</v>
      </c>
      <c r="B27" s="147"/>
      <c r="C27" s="147"/>
      <c r="D27" s="147"/>
      <c r="E27" s="147"/>
      <c r="F27" s="147" t="s">
        <v>19</v>
      </c>
      <c r="G27" s="147"/>
      <c r="H27" s="5" t="s">
        <v>55</v>
      </c>
      <c r="I27" s="147" t="s">
        <v>20</v>
      </c>
      <c r="J27" s="147"/>
      <c r="K27" s="112"/>
      <c r="L27" s="16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17954.68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2"/>
      <c r="L28" s="16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1"/>
      <c r="C29" s="141"/>
      <c r="D29" s="141"/>
      <c r="E29" s="141"/>
      <c r="F29" s="142">
        <f>VLOOKUP(A29,ПТО!$A$39:$D$53,2,FALSE)</f>
        <v>22485.65</v>
      </c>
      <c r="G29" s="142"/>
      <c r="H29" s="42" t="str">
        <f>VLOOKUP(A29,ПТО!$A$39:$D$53,3,FALSE)</f>
        <v>Ежемесячно</v>
      </c>
      <c r="I29" s="143">
        <f>VLOOKUP(A29,ПТО!$A$39:$D$53,4,FALSE)</f>
        <v>5</v>
      </c>
      <c r="J29" s="143"/>
      <c r="K29" s="112"/>
      <c r="L29" s="165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41" t="str">
        <f>ПТО!A41</f>
        <v xml:space="preserve">Работы по содержанию земельного участка </v>
      </c>
      <c r="B30" s="141"/>
      <c r="C30" s="141"/>
      <c r="D30" s="141"/>
      <c r="E30" s="141"/>
      <c r="F30" s="142">
        <f>VLOOKUP(A30,ПТО!$A$39:$D$53,2,FALSE)</f>
        <v>28842.5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2"/>
      <c r="L30" s="165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16072.46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2"/>
      <c r="L31" s="16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2"/>
      <c r="L32" s="165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6762.6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2"/>
      <c r="L33" s="16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30465.5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2"/>
      <c r="L34" s="16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1" t="str">
        <f>ПТО!A46</f>
        <v>Услуги и работы по управлению МКД</v>
      </c>
      <c r="B35" s="141"/>
      <c r="C35" s="141"/>
      <c r="D35" s="141"/>
      <c r="E35" s="141"/>
      <c r="F35" s="142">
        <f>VLOOKUP(A35,ПТО!$A$39:$D$53,2,FALSE)</f>
        <v>39448.5</v>
      </c>
      <c r="G35" s="142"/>
      <c r="H35" s="42" t="str">
        <f>VLOOKUP(A35,ПТО!$A$39:$D$53,3,FALSE)</f>
        <v>Ежемесячно</v>
      </c>
      <c r="I35" s="143">
        <f>VLOOKUP(A35,ПТО!$A$39:$D$53,4,FALSE)</f>
        <v>7</v>
      </c>
      <c r="J35" s="143"/>
      <c r="K35" s="112"/>
      <c r="L35" s="165"/>
      <c r="M35" s="119"/>
      <c r="N35" s="112"/>
      <c r="O35" s="23" t="str">
        <f t="shared" si="1"/>
        <v>Услуги и работы по управлению МКД</v>
      </c>
      <c r="R35" s="1" t="s">
        <v>73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2"/>
      <c r="L36" s="165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2"/>
      <c r="L37" s="165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2"/>
      <c r="L38" s="165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2"/>
      <c r="L39" s="165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2"/>
      <c r="L40" s="165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2"/>
      <c r="L41" s="165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2"/>
      <c r="L42" s="165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41" t="str">
        <f>ПТО!A2</f>
        <v>Техническое обслуживание охранной сигнализации.</v>
      </c>
      <c r="B43" s="141"/>
      <c r="C43" s="141"/>
      <c r="D43" s="141"/>
      <c r="E43" s="141"/>
      <c r="F43" s="142">
        <f>VLOOKUP(A43,ПТО!$A$2:$D$31,4,FALSE)</f>
        <v>5400</v>
      </c>
      <c r="G43" s="142"/>
      <c r="H43" s="19" t="str">
        <f>VLOOKUP(A43,ПТО!$A$2:$D$31,2,FALSE)</f>
        <v>ежемесячно</v>
      </c>
      <c r="I43" s="143">
        <f>VLOOKUP(A43,ПТО!$A$2:$D$31,3,FALSE)</f>
        <v>12</v>
      </c>
      <c r="J43" s="143"/>
      <c r="K43" s="112"/>
      <c r="L43" s="165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41" t="str">
        <f>ПТО!A3</f>
        <v>Услуги промышленных альпинистов.</v>
      </c>
      <c r="B44" s="141"/>
      <c r="C44" s="141"/>
      <c r="D44" s="141"/>
      <c r="E44" s="141"/>
      <c r="F44" s="142">
        <f>VLOOKUP(A44,ПТО!$A$2:$D$31,4,FALSE)</f>
        <v>4000</v>
      </c>
      <c r="G44" s="142"/>
      <c r="H44" s="25" t="str">
        <f>VLOOKUP(A44,ПТО!$A$2:$D$31,2,FALSE)</f>
        <v>разово</v>
      </c>
      <c r="I44" s="143">
        <f>VLOOKUP(A44,ПТО!$A$2:$D$31,3,FALSE)</f>
        <v>1</v>
      </c>
      <c r="J44" s="143"/>
      <c r="K44" s="112"/>
      <c r="L44" s="165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41" t="str">
        <f>ПТО!A4</f>
        <v>Монтаж системы видеонаблюдения.</v>
      </c>
      <c r="B45" s="141"/>
      <c r="C45" s="141"/>
      <c r="D45" s="141"/>
      <c r="E45" s="141"/>
      <c r="F45" s="142">
        <f>VLOOKUP(A45,ПТО!$A$2:$D$31,4,FALSE)</f>
        <v>48437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12"/>
      <c r="L45" s="165"/>
      <c r="M45" s="119"/>
      <c r="N45" s="112"/>
      <c r="O45" s="23" t="str">
        <f t="shared" si="1"/>
        <v>Монтаж системы видеонаблюдения.</v>
      </c>
      <c r="R45" s="22" t="s">
        <v>74</v>
      </c>
    </row>
    <row r="46" spans="1:18" ht="51" customHeight="1" outlineLevel="1">
      <c r="A46" s="141" t="str">
        <f>ПТО!A5</f>
        <v>Ремонт подъезда.</v>
      </c>
      <c r="B46" s="141"/>
      <c r="C46" s="141"/>
      <c r="D46" s="141"/>
      <c r="E46" s="141"/>
      <c r="F46" s="142">
        <f>VLOOKUP(A46,ПТО!$A$2:$D$31,4,FALSE)</f>
        <v>155120</v>
      </c>
      <c r="G46" s="142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12"/>
      <c r="L46" s="165"/>
      <c r="M46" s="119"/>
      <c r="N46" s="112"/>
      <c r="O46" s="23" t="str">
        <f t="shared" si="1"/>
        <v>Ремонт подъезда.</v>
      </c>
      <c r="R46" s="22" t="s">
        <v>74</v>
      </c>
    </row>
    <row r="47" spans="1:18" ht="51" customHeight="1" outlineLevel="1">
      <c r="A47" s="141" t="str">
        <f>ПТО!A6</f>
        <v>Аварийный ремонт теплообменника ГВС в ИТП.</v>
      </c>
      <c r="B47" s="141"/>
      <c r="C47" s="141"/>
      <c r="D47" s="141"/>
      <c r="E47" s="141"/>
      <c r="F47" s="142">
        <f>VLOOKUP(A47,ПТО!$A$2:$D$31,4,FALSE)</f>
        <v>17868</v>
      </c>
      <c r="G47" s="142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12"/>
      <c r="L47" s="165"/>
      <c r="M47" s="119"/>
      <c r="N47" s="112"/>
      <c r="O47" s="23" t="str">
        <f t="shared" si="1"/>
        <v>Аварийный ремонт теплообменника ГВС в ИТП.</v>
      </c>
      <c r="R47" s="22" t="s">
        <v>74</v>
      </c>
    </row>
    <row r="48" spans="1:18" ht="51" customHeight="1" outlineLevel="1">
      <c r="A48" s="141" t="str">
        <f>ПТО!A7</f>
        <v>Приобретение и установка профлиста на торец дома.</v>
      </c>
      <c r="B48" s="141"/>
      <c r="C48" s="141"/>
      <c r="D48" s="141"/>
      <c r="E48" s="141"/>
      <c r="F48" s="142">
        <f>VLOOKUP(A48,ПТО!$A$2:$D$31,4,FALSE)</f>
        <v>6540</v>
      </c>
      <c r="G48" s="142"/>
      <c r="H48" s="25" t="str">
        <f>VLOOKUP(A48,ПТО!$A$2:$D$31,2,FALSE)</f>
        <v>разово</v>
      </c>
      <c r="I48" s="143">
        <f>VLOOKUP(A48,ПТО!$A$2:$D$31,3,FALSE)</f>
        <v>1</v>
      </c>
      <c r="J48" s="143"/>
      <c r="K48" s="112"/>
      <c r="L48" s="165"/>
      <c r="M48" s="119"/>
      <c r="N48" s="112"/>
      <c r="O48" s="23" t="str">
        <f t="shared" si="1"/>
        <v>Приобретение и установка профлиста на торец дома.</v>
      </c>
      <c r="R48" s="22" t="s">
        <v>74</v>
      </c>
    </row>
    <row r="49" spans="1:18" ht="51" customHeight="1" outlineLevel="1">
      <c r="A49" s="141" t="str">
        <f>ПТО!A8</f>
        <v>Аварийная замена полотенцесушителя кв.34 и кв.38.</v>
      </c>
      <c r="B49" s="141"/>
      <c r="C49" s="141"/>
      <c r="D49" s="141"/>
      <c r="E49" s="141"/>
      <c r="F49" s="142">
        <f>VLOOKUP(A49,ПТО!$A$2:$D$31,4,FALSE)</f>
        <v>8000</v>
      </c>
      <c r="G49" s="142"/>
      <c r="H49" s="25" t="str">
        <f>VLOOKUP(A49,ПТО!$A$2:$D$31,2,FALSE)</f>
        <v>разово</v>
      </c>
      <c r="I49" s="143">
        <f>VLOOKUP(A49,ПТО!$A$2:$D$31,3,FALSE)</f>
        <v>1</v>
      </c>
      <c r="J49" s="143"/>
      <c r="K49" s="112"/>
      <c r="L49" s="165"/>
      <c r="M49" s="119"/>
      <c r="N49" s="112"/>
      <c r="O49" s="23" t="str">
        <f t="shared" si="1"/>
        <v>Аварийная замена полотенцесушителя кв.34 и кв.38.</v>
      </c>
      <c r="R49" s="22" t="s">
        <v>74</v>
      </c>
    </row>
    <row r="50" spans="1:18" ht="51" customHeight="1" outlineLevel="1">
      <c r="A50" s="141" t="str">
        <f>ПТО!A9</f>
        <v>Аварийная замена полотенцесушителя.</v>
      </c>
      <c r="B50" s="141"/>
      <c r="C50" s="141"/>
      <c r="D50" s="141"/>
      <c r="E50" s="141"/>
      <c r="F50" s="142">
        <f>VLOOKUP(A50,ПТО!$A$2:$D$31,4,FALSE)</f>
        <v>4000</v>
      </c>
      <c r="G50" s="142"/>
      <c r="H50" s="25" t="str">
        <f>VLOOKUP(A50,ПТО!$A$2:$D$31,2,FALSE)</f>
        <v>разово</v>
      </c>
      <c r="I50" s="143">
        <f>VLOOKUP(A50,ПТО!$A$2:$D$31,3,FALSE)</f>
        <v>1</v>
      </c>
      <c r="J50" s="143"/>
      <c r="K50" s="112"/>
      <c r="L50" s="165"/>
      <c r="M50" s="119"/>
      <c r="N50" s="112"/>
      <c r="O50" s="23" t="str">
        <f t="shared" si="1"/>
        <v>Аварийная замена полотенцесушителя.</v>
      </c>
      <c r="R50" s="22" t="s">
        <v>74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2"/>
      <c r="L51" s="165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2"/>
      <c r="L52" s="165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2"/>
      <c r="L53" s="165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2"/>
      <c r="L54" s="165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2"/>
      <c r="L55" s="165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2"/>
      <c r="L56" s="165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2"/>
      <c r="L57" s="165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2"/>
      <c r="L58" s="165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2"/>
      <c r="L59" s="165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2"/>
      <c r="L60" s="165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2"/>
      <c r="L61" s="165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2"/>
      <c r="L62" s="165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2"/>
      <c r="L63" s="165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2"/>
      <c r="L64" s="165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2"/>
      <c r="L65" s="165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2"/>
      <c r="L66" s="165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2"/>
      <c r="L67" s="165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2"/>
      <c r="L68" s="165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2"/>
      <c r="L69" s="165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2"/>
      <c r="L70" s="165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9"/>
      <c r="L71" s="165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2"/>
      <c r="L72" s="165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9" t="s">
        <v>25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2"/>
      <c r="L75" s="148"/>
      <c r="M75" s="112"/>
      <c r="N75" s="112"/>
      <c r="O75" s="72" t="s">
        <v>101</v>
      </c>
    </row>
    <row r="76" spans="1:16384" ht="18.75" customHeight="1" outlineLevel="1">
      <c r="A76" s="159" t="s">
        <v>26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2"/>
      <c r="L76" s="148"/>
      <c r="M76" s="112"/>
      <c r="N76" s="112"/>
      <c r="O76" s="72" t="s">
        <v>102</v>
      </c>
    </row>
    <row r="77" spans="1:16384" ht="21.75" customHeight="1" outlineLevel="1">
      <c r="A77" s="159" t="s">
        <v>27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2"/>
      <c r="L77" s="148"/>
      <c r="M77" s="112"/>
      <c r="N77" s="112"/>
      <c r="O77" s="72" t="s">
        <v>103</v>
      </c>
    </row>
    <row r="78" spans="1:16384" ht="18.75" customHeight="1" outlineLevel="1">
      <c r="A78" s="159" t="s">
        <v>28</v>
      </c>
      <c r="B78" s="159"/>
      <c r="C78" s="159"/>
      <c r="D78" s="159"/>
      <c r="E78" s="159"/>
      <c r="F78" s="159"/>
      <c r="G78" s="159"/>
      <c r="H78" s="159"/>
      <c r="I78" s="159"/>
      <c r="J78" s="99">
        <f>VLOOKUP(O78,АО,3,FALSE)</f>
        <v>0</v>
      </c>
      <c r="K78" s="112"/>
      <c r="L78" s="148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49" t="s">
        <v>1</v>
      </c>
      <c r="B81" s="149"/>
      <c r="C81" s="149"/>
      <c r="D81" s="149"/>
      <c r="E81" s="149"/>
      <c r="F81" s="149"/>
      <c r="G81" s="149"/>
      <c r="H81" s="149"/>
      <c r="I81" s="149"/>
      <c r="J81" s="99">
        <f t="shared" ref="J81:J90" si="2">VLOOKUP(O81,АО,3,FALSE)</f>
        <v>0</v>
      </c>
      <c r="K81" s="112"/>
      <c r="L81" s="166"/>
      <c r="M81" s="112"/>
      <c r="N81" s="112"/>
      <c r="O81" s="72" t="s">
        <v>105</v>
      </c>
    </row>
    <row r="82" spans="1:15" outlineLevel="1">
      <c r="A82" s="149" t="s">
        <v>2</v>
      </c>
      <c r="B82" s="149"/>
      <c r="C82" s="149"/>
      <c r="D82" s="149"/>
      <c r="E82" s="149"/>
      <c r="F82" s="149"/>
      <c r="G82" s="149"/>
      <c r="H82" s="149"/>
      <c r="I82" s="149"/>
      <c r="J82" s="99">
        <f t="shared" si="2"/>
        <v>0</v>
      </c>
      <c r="K82" s="112"/>
      <c r="L82" s="166"/>
      <c r="M82" s="112"/>
      <c r="N82" s="112"/>
      <c r="O82" s="72" t="s">
        <v>106</v>
      </c>
    </row>
    <row r="83" spans="1:15" outlineLevel="1">
      <c r="A83" s="156" t="s">
        <v>3</v>
      </c>
      <c r="B83" s="157"/>
      <c r="C83" s="157"/>
      <c r="D83" s="157"/>
      <c r="E83" s="157"/>
      <c r="F83" s="157"/>
      <c r="G83" s="157"/>
      <c r="H83" s="157"/>
      <c r="I83" s="158"/>
      <c r="J83" s="99">
        <f t="shared" si="2"/>
        <v>47035.03</v>
      </c>
      <c r="K83" s="112"/>
      <c r="L83" s="166"/>
      <c r="M83" s="112"/>
      <c r="N83" s="112"/>
      <c r="O83" s="72" t="s">
        <v>107</v>
      </c>
    </row>
    <row r="84" spans="1:15" outlineLevel="1">
      <c r="A84" s="156" t="s">
        <v>15</v>
      </c>
      <c r="B84" s="157"/>
      <c r="C84" s="157"/>
      <c r="D84" s="157"/>
      <c r="E84" s="157"/>
      <c r="F84" s="157"/>
      <c r="G84" s="157"/>
      <c r="H84" s="157"/>
      <c r="I84" s="158"/>
      <c r="J84" s="99">
        <f t="shared" si="2"/>
        <v>0</v>
      </c>
      <c r="K84" s="112"/>
      <c r="L84" s="166"/>
      <c r="M84" s="112"/>
      <c r="N84" s="112"/>
      <c r="O84" s="72" t="s">
        <v>108</v>
      </c>
    </row>
    <row r="85" spans="1:15" outlineLevel="1">
      <c r="A85" s="156" t="s">
        <v>16</v>
      </c>
      <c r="B85" s="157"/>
      <c r="C85" s="157"/>
      <c r="D85" s="157"/>
      <c r="E85" s="157"/>
      <c r="F85" s="157"/>
      <c r="G85" s="157"/>
      <c r="H85" s="157"/>
      <c r="I85" s="158"/>
      <c r="J85" s="99">
        <f t="shared" si="2"/>
        <v>0</v>
      </c>
      <c r="K85" s="112"/>
      <c r="L85" s="166"/>
      <c r="M85" s="112"/>
      <c r="N85" s="112"/>
      <c r="O85" s="72" t="s">
        <v>109</v>
      </c>
    </row>
    <row r="86" spans="1:15" outlineLevel="1">
      <c r="A86" s="156" t="s">
        <v>17</v>
      </c>
      <c r="B86" s="157"/>
      <c r="C86" s="157"/>
      <c r="D86" s="157"/>
      <c r="E86" s="157"/>
      <c r="F86" s="157"/>
      <c r="G86" s="157"/>
      <c r="H86" s="157"/>
      <c r="I86" s="158"/>
      <c r="J86" s="99">
        <f t="shared" si="2"/>
        <v>74525.17</v>
      </c>
      <c r="K86" s="112"/>
      <c r="L86" s="166"/>
      <c r="M86" s="112"/>
      <c r="N86" s="112"/>
      <c r="O86" s="72" t="s">
        <v>110</v>
      </c>
    </row>
    <row r="87" spans="1:15" ht="18.75" customHeight="1" outlineLevel="1">
      <c r="A87" s="156" t="s">
        <v>25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2"/>
      <c r="L87" s="166"/>
      <c r="M87" s="112"/>
      <c r="N87" s="112"/>
      <c r="O87" s="72" t="s">
        <v>111</v>
      </c>
    </row>
    <row r="88" spans="1:15" ht="18.75" customHeight="1" outlineLevel="1">
      <c r="A88" s="156" t="s">
        <v>26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2"/>
      <c r="L88" s="166"/>
      <c r="M88" s="112"/>
      <c r="N88" s="112"/>
      <c r="O88" s="72" t="s">
        <v>112</v>
      </c>
    </row>
    <row r="89" spans="1:15" ht="18.75" customHeight="1" outlineLevel="1">
      <c r="A89" s="156" t="s">
        <v>27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2"/>
      <c r="L89" s="166"/>
      <c r="M89" s="112"/>
      <c r="N89" s="112"/>
      <c r="O89" s="72" t="s">
        <v>113</v>
      </c>
    </row>
    <row r="90" spans="1:15" ht="18.75" customHeight="1" outlineLevel="1">
      <c r="A90" s="156" t="s">
        <v>28</v>
      </c>
      <c r="B90" s="157"/>
      <c r="C90" s="157"/>
      <c r="D90" s="157"/>
      <c r="E90" s="157"/>
      <c r="F90" s="157"/>
      <c r="G90" s="157"/>
      <c r="H90" s="157"/>
      <c r="I90" s="158"/>
      <c r="J90" s="99">
        <f t="shared" si="2"/>
        <v>0</v>
      </c>
      <c r="K90" s="112"/>
      <c r="L90" s="166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50" t="s">
        <v>46</v>
      </c>
      <c r="B93" s="150"/>
      <c r="C93" s="150"/>
      <c r="D93" s="153" t="s">
        <v>47</v>
      </c>
      <c r="E93" s="153"/>
      <c r="F93" s="10" t="s">
        <v>48</v>
      </c>
      <c r="G93" s="150" t="s">
        <v>49</v>
      </c>
      <c r="H93" s="150"/>
      <c r="I93" s="150"/>
      <c r="J93" s="150"/>
      <c r="K93" s="112"/>
      <c r="L93" s="112"/>
      <c r="M93" s="112"/>
      <c r="N93" s="112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1">
        <f>VLOOKUP("эл",АО,5,FALSE)</f>
        <v>19883.75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18158.68</v>
      </c>
      <c r="L95" s="167"/>
      <c r="O95" s="1" t="s">
        <v>115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19025.86</v>
      </c>
      <c r="L96" s="167"/>
      <c r="O96" s="1" t="s">
        <v>116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857.88999999999942</v>
      </c>
      <c r="L97" s="167"/>
      <c r="O97" s="1" t="s">
        <v>117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19883.75</v>
      </c>
      <c r="L98" s="167"/>
      <c r="O98" s="1" t="s">
        <v>118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19883.75</v>
      </c>
      <c r="L99" s="167"/>
      <c r="O99" s="1" t="s">
        <v>119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120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121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54280.44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3898.06</v>
      </c>
      <c r="L103" s="167"/>
      <c r="O103" s="1" t="s">
        <v>124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48698.53</v>
      </c>
      <c r="L104" s="167"/>
      <c r="O104" s="1" t="s">
        <v>125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5581.9100000000035</v>
      </c>
      <c r="L105" s="167"/>
      <c r="O105" s="1" t="s">
        <v>126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54280.44</v>
      </c>
      <c r="L106" s="167"/>
      <c r="O106" s="1" t="s">
        <v>127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54280.44</v>
      </c>
      <c r="L107" s="167"/>
      <c r="O107" s="1" t="s">
        <v>128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129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130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96831.79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6490.07</v>
      </c>
      <c r="L111" s="167"/>
      <c r="O111" s="1" t="s">
        <v>132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85977.7</v>
      </c>
      <c r="L112" s="167"/>
      <c r="O112" s="1" t="s">
        <v>133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10854.089999999997</v>
      </c>
      <c r="L113" s="167"/>
      <c r="O113" s="1" t="s">
        <v>134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96831.79</v>
      </c>
      <c r="L114" s="167"/>
      <c r="O114" s="1" t="s">
        <v>135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96831.79</v>
      </c>
      <c r="L115" s="167"/>
      <c r="O115" s="1" t="s">
        <v>136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137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138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2" t="str">
        <f>IF(VLOOKUP("тко",АО,3,FALSE)&gt;0,VLOOKUP("тко",АО,3,FALSE),0)</f>
        <v>Предоставляется</v>
      </c>
      <c r="E118" s="152"/>
      <c r="F118" s="13" t="str">
        <f>IF(VLOOKUP("тко",АО,3,FALSE)&gt;0,VLOOKUP("тко",АО,4,FALSE),0)</f>
        <v>куб.м.</v>
      </c>
      <c r="G118" s="151">
        <f>VLOOKUP("тко",АО,5,FALSE)</f>
        <v>43253.22</v>
      </c>
      <c r="H118" s="152"/>
      <c r="I118" s="152"/>
      <c r="J118" s="152"/>
      <c r="L118" s="49"/>
    </row>
    <row r="119" spans="1:15" ht="32.25" customHeight="1" outlineLevel="2">
      <c r="A119" s="149" t="str">
        <f t="shared" ref="A119:A125" si="8">IF(VLOOKUP("тко",АО,3,FALSE)&gt;0,VLOOKUP(O119,АО,2,FALSE),0)</f>
        <v>Общий объем потребления, нат. показ.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80.05</v>
      </c>
      <c r="L119" s="49"/>
      <c r="O119" s="1" t="s">
        <v>140</v>
      </c>
    </row>
    <row r="120" spans="1:15" ht="32.25" customHeight="1" outlineLevel="2">
      <c r="A120" s="149" t="str">
        <f t="shared" si="8"/>
        <v>Оплачено потребителями, руб.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37986.99</v>
      </c>
      <c r="L120" s="49"/>
      <c r="O120" s="1" t="s">
        <v>141</v>
      </c>
    </row>
    <row r="121" spans="1:15" ht="32.25" customHeight="1" outlineLevel="2">
      <c r="A121" s="149" t="str">
        <f t="shared" si="8"/>
        <v>Задолженность потребителей, руб.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5266.2300000000032</v>
      </c>
      <c r="L121" s="49"/>
      <c r="O121" s="1" t="s">
        <v>142</v>
      </c>
    </row>
    <row r="122" spans="1:15" ht="32.25" customHeight="1" outlineLevel="2">
      <c r="A122" s="149" t="str">
        <f t="shared" si="8"/>
        <v>Начислено поставщиком (поставщиками) коммунального ресурса, руб.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43253.22</v>
      </c>
      <c r="L122" s="49"/>
      <c r="O122" s="1" t="s">
        <v>143</v>
      </c>
    </row>
    <row r="123" spans="1:15" ht="32.25" customHeight="1" outlineLevel="2">
      <c r="A123" s="149" t="str">
        <f t="shared" si="8"/>
        <v>Оплачено поставщику (поставщикам) коммунального ресурса, руб.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43253.22</v>
      </c>
      <c r="L123" s="49"/>
      <c r="O123" s="1" t="s">
        <v>144</v>
      </c>
    </row>
    <row r="124" spans="1:15" ht="32.25" customHeight="1" outlineLevel="2">
      <c r="A124" s="149" t="str">
        <f t="shared" si="8"/>
        <v>Задолженность перед поставщиком (поставщиками) коммунального ресурса, руб.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49" t="str">
        <f t="shared" si="8"/>
        <v>Размер пени и штрафов, уплаченных поставщику (поставщикам) коммунального ресурса, руб.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54" t="str">
        <f>IF(VLOOKUP("гвс",АО,3,FALSE)&gt;0,"Горячее водоснабжение",0)</f>
        <v>Горячее водоснабжение</v>
      </c>
      <c r="B126" s="154"/>
      <c r="C126" s="154"/>
      <c r="D126" s="152" t="str">
        <f>IF(VLOOKUP("гвс",АО,3,FALSE)&gt;0,VLOOKUP("гвс",АО,3,FALSE),0)</f>
        <v>Предоставляется</v>
      </c>
      <c r="E126" s="152"/>
      <c r="F126" s="13" t="str">
        <f>IF(VLOOKUP("гвс",АО,3,FALSE)&gt;0,VLOOKUP("гвс",АО,4,FALSE),0)</f>
        <v>куб.м.</v>
      </c>
      <c r="G126" s="151">
        <f>VLOOKUP("гвс",АО,5,FALSE)</f>
        <v>36100.39</v>
      </c>
      <c r="H126" s="152"/>
      <c r="I126" s="152"/>
      <c r="J126" s="152"/>
      <c r="L126" s="49"/>
    </row>
    <row r="127" spans="1:15" ht="32.25" customHeight="1" outlineLevel="2">
      <c r="A127" s="149" t="str">
        <f t="shared" ref="A127:A133" si="10">IF(VLOOKUP("гвс",АО,3,FALSE)&gt;0,VLOOKUP(O127,АО,2,FALSE),0)</f>
        <v>Общий объем потребления, нат. показ.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2592.4899999999998</v>
      </c>
      <c r="L127" s="49"/>
      <c r="O127" s="1" t="s">
        <v>148</v>
      </c>
    </row>
    <row r="128" spans="1:15" ht="32.25" customHeight="1" outlineLevel="2">
      <c r="A128" s="149" t="str">
        <f t="shared" si="10"/>
        <v>Оплачено потребителями, руб.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31170.37</v>
      </c>
      <c r="L128" s="49"/>
      <c r="O128" s="1" t="s">
        <v>149</v>
      </c>
    </row>
    <row r="129" spans="1:15" ht="32.25" customHeight="1" outlineLevel="2">
      <c r="A129" s="149" t="str">
        <f t="shared" si="10"/>
        <v>Задолженность потребителей, руб.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4930.0200000000004</v>
      </c>
      <c r="L129" s="49"/>
      <c r="O129" s="1" t="s">
        <v>150</v>
      </c>
    </row>
    <row r="130" spans="1:15" ht="32.25" customHeight="1" outlineLevel="2">
      <c r="A130" s="149" t="str">
        <f t="shared" si="10"/>
        <v>Начислено поставщиком (поставщиками) коммунального ресурса, руб.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36100.39</v>
      </c>
      <c r="L130" s="49"/>
      <c r="O130" s="1" t="s">
        <v>151</v>
      </c>
    </row>
    <row r="131" spans="1:15" ht="32.25" customHeight="1" outlineLevel="2">
      <c r="A131" s="149" t="str">
        <f t="shared" si="10"/>
        <v>Оплачено поставщику (поставщикам) коммунального ресурса, руб.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36100.39</v>
      </c>
      <c r="L131" s="49"/>
      <c r="O131" s="1" t="s">
        <v>152</v>
      </c>
    </row>
    <row r="132" spans="1:15" ht="32.25" customHeight="1" outlineLevel="2">
      <c r="A132" s="149" t="str">
        <f t="shared" si="10"/>
        <v>Задолженность перед поставщиком (поставщиками) коммунального ресурса, руб.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49" t="str">
        <f t="shared" si="10"/>
        <v>Размер пени и штрафов, уплаченных поставщику (поставщикам) коммунального ресурса, руб.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2"/>
      <c r="I134" s="152"/>
      <c r="J134" s="152"/>
      <c r="L134" s="49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49" t="s">
        <v>43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1</v>
      </c>
      <c r="O144" t="s">
        <v>172</v>
      </c>
    </row>
    <row r="145" spans="1:15" ht="18.75" customHeight="1" outlineLevel="1">
      <c r="A145" s="149" t="s">
        <v>44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9" t="s">
        <v>175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22868.55</v>
      </c>
      <c r="O146" t="s">
        <v>174</v>
      </c>
    </row>
    <row r="149" spans="1:15" ht="52.5" customHeight="1">
      <c r="A149" s="145" t="s">
        <v>199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203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4" t="s">
        <v>69</v>
      </c>
      <c r="B154" s="144"/>
      <c r="C154" s="144"/>
      <c r="D154" s="144"/>
      <c r="E154" s="27">
        <f>ПТО!G1</f>
        <v>-156914.64000000001</v>
      </c>
    </row>
    <row r="155" spans="1:15" ht="34.5" customHeight="1">
      <c r="A155" s="146" t="s">
        <v>70</v>
      </c>
      <c r="B155" s="146"/>
      <c r="C155" s="146"/>
      <c r="D155" s="146"/>
      <c r="E155" s="28">
        <f>J13</f>
        <v>73712.34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18</v>
      </c>
      <c r="B157" s="147"/>
      <c r="C157" s="147"/>
      <c r="D157" s="147"/>
      <c r="E157" s="147"/>
      <c r="F157" s="147" t="s">
        <v>19</v>
      </c>
      <c r="G157" s="147"/>
      <c r="H157" s="20" t="s">
        <v>55</v>
      </c>
      <c r="I157" s="147" t="s">
        <v>20</v>
      </c>
      <c r="J157" s="147"/>
    </row>
    <row r="158" spans="1:15" ht="29.25" customHeight="1">
      <c r="A158" s="141" t="str">
        <f t="shared" ref="A158:A163" si="14">IF(N158&gt;0,N158,0)</f>
        <v>Техническое обслуживание охранной сигнализации.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5400</v>
      </c>
      <c r="G158" s="142"/>
      <c r="H158" s="24" t="str">
        <f t="shared" ref="H158:H187" si="16">VLOOKUP(A158,$A$28:$J$72,8,FALSE)</f>
        <v>ежемесячно</v>
      </c>
      <c r="I158" s="143">
        <f t="shared" ref="I158:I161" si="17">VLOOKUP(A158,$A$28:$J$72,9,FALSE)</f>
        <v>12</v>
      </c>
      <c r="J158" s="143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1" t="str">
        <f t="shared" si="14"/>
        <v>Услуги промышленных альпинистов.</v>
      </c>
      <c r="B159" s="141"/>
      <c r="C159" s="141"/>
      <c r="D159" s="141"/>
      <c r="E159" s="141"/>
      <c r="F159" s="142">
        <f t="shared" si="15"/>
        <v>4000</v>
      </c>
      <c r="G159" s="142"/>
      <c r="H159" s="24" t="str">
        <f t="shared" si="16"/>
        <v>разово</v>
      </c>
      <c r="I159" s="143">
        <f t="shared" si="17"/>
        <v>1</v>
      </c>
      <c r="J159" s="143"/>
      <c r="M159" s="22" t="s">
        <v>74</v>
      </c>
      <c r="N159" s="1" t="str">
        <v>Услуги промышленных альпинистов.</v>
      </c>
    </row>
    <row r="160" spans="1:15" ht="28.5" customHeight="1">
      <c r="A160" s="141" t="str">
        <f t="shared" si="14"/>
        <v>Монтаж системы видеонаблюдения.</v>
      </c>
      <c r="B160" s="141"/>
      <c r="C160" s="141"/>
      <c r="D160" s="141"/>
      <c r="E160" s="141"/>
      <c r="F160" s="142">
        <f t="shared" si="15"/>
        <v>48437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74</v>
      </c>
      <c r="N160" s="1" t="str">
        <v>Монтаж системы видеонаблюдения.</v>
      </c>
    </row>
    <row r="161" spans="1:14" ht="28.5" customHeight="1">
      <c r="A161" s="141" t="str">
        <f>IF(N161&gt;0,N161,0)</f>
        <v>Ремонт подъезда.</v>
      </c>
      <c r="B161" s="141"/>
      <c r="C161" s="141"/>
      <c r="D161" s="141"/>
      <c r="E161" s="141"/>
      <c r="F161" s="142">
        <f t="shared" si="15"/>
        <v>155120</v>
      </c>
      <c r="G161" s="142"/>
      <c r="H161" s="24" t="str">
        <f t="shared" si="16"/>
        <v>разово</v>
      </c>
      <c r="I161" s="143">
        <f t="shared" si="17"/>
        <v>1</v>
      </c>
      <c r="J161" s="143"/>
      <c r="M161" s="22" t="s">
        <v>74</v>
      </c>
      <c r="N161" s="1" t="str">
        <v>Ремонт подъезда.</v>
      </c>
    </row>
    <row r="162" spans="1:14" ht="28.5" customHeight="1">
      <c r="A162" s="141" t="str">
        <f t="shared" si="14"/>
        <v>Аварийный ремонт теплообменника ГВС в ИТП.</v>
      </c>
      <c r="B162" s="141"/>
      <c r="C162" s="141"/>
      <c r="D162" s="141"/>
      <c r="E162" s="141"/>
      <c r="F162" s="142">
        <f t="shared" si="15"/>
        <v>17868</v>
      </c>
      <c r="G162" s="142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74</v>
      </c>
      <c r="N162" s="1" t="str">
        <v>Аварийный ремонт теплообменника ГВС в ИТП.</v>
      </c>
    </row>
    <row r="163" spans="1:14" ht="28.5" customHeight="1">
      <c r="A163" s="141" t="str">
        <f t="shared" si="14"/>
        <v>Приобретение и установка профлиста на торец дома.</v>
      </c>
      <c r="B163" s="141"/>
      <c r="C163" s="141"/>
      <c r="D163" s="141"/>
      <c r="E163" s="141"/>
      <c r="F163" s="142">
        <f t="shared" si="15"/>
        <v>6540</v>
      </c>
      <c r="G163" s="142"/>
      <c r="H163" s="24" t="str">
        <f t="shared" si="16"/>
        <v>разово</v>
      </c>
      <c r="I163" s="143">
        <f>VLOOKUP(A163,$A$28:$J$72,9,FALSE)</f>
        <v>1</v>
      </c>
      <c r="J163" s="143"/>
      <c r="M163" s="22" t="s">
        <v>74</v>
      </c>
      <c r="N163" s="1" t="str">
        <v>Приобретение и установка профлиста на торец дома.</v>
      </c>
    </row>
    <row r="164" spans="1:14" ht="28.5" customHeight="1">
      <c r="A164" s="141" t="str">
        <f t="shared" ref="A164:A187" si="18">IF(N164&gt;0,N164,0)</f>
        <v>Аварийная замена полотенцесушителя кв.34 и кв.38.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8000</v>
      </c>
      <c r="G164" s="142"/>
      <c r="H164" s="29" t="str">
        <f t="shared" si="16"/>
        <v>разово</v>
      </c>
      <c r="I164" s="143">
        <f t="shared" ref="I164:I187" si="20">VLOOKUP(A164,$A$28:$J$72,9,FALSE)</f>
        <v>1</v>
      </c>
      <c r="J164" s="143"/>
      <c r="M164" s="22" t="s">
        <v>74</v>
      </c>
      <c r="N164" s="1" t="str">
        <v>Аварийная замена полотенцесушителя кв.34 и кв.38.</v>
      </c>
    </row>
    <row r="165" spans="1:14" ht="28.5" customHeight="1">
      <c r="A165" s="141" t="str">
        <f t="shared" si="18"/>
        <v>Аварийная замена полотенцесушителя.</v>
      </c>
      <c r="B165" s="141"/>
      <c r="C165" s="141"/>
      <c r="D165" s="141"/>
      <c r="E165" s="141"/>
      <c r="F165" s="142">
        <f t="shared" si="19"/>
        <v>4000</v>
      </c>
      <c r="G165" s="142"/>
      <c r="H165" s="29" t="str">
        <f t="shared" si="16"/>
        <v>разово</v>
      </c>
      <c r="I165" s="143">
        <f t="shared" si="20"/>
        <v>1</v>
      </c>
      <c r="J165" s="143"/>
      <c r="M165" s="22" t="s">
        <v>74</v>
      </c>
      <c r="N165" s="1" t="str">
        <v>Аварийная замена полотенцесушителя.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2">
        <f t="shared" si="19"/>
        <v>0</v>
      </c>
      <c r="G166" s="142"/>
      <c r="H166" s="29" t="e">
        <f t="shared" si="16"/>
        <v>#N/A</v>
      </c>
      <c r="I166" s="143" t="e">
        <f t="shared" si="20"/>
        <v>#N/A</v>
      </c>
      <c r="J166" s="143"/>
      <c r="M166" s="22" t="s">
        <v>74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2">
        <f t="shared" si="19"/>
        <v>0</v>
      </c>
      <c r="G167" s="142"/>
      <c r="H167" s="29" t="e">
        <f t="shared" si="16"/>
        <v>#N/A</v>
      </c>
      <c r="I167" s="143" t="e">
        <f t="shared" si="20"/>
        <v>#N/A</v>
      </c>
      <c r="J167" s="143"/>
      <c r="M167" s="22" t="s">
        <v>74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74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74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74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74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74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74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74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74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74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74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74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74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74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74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74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74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74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74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74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44" t="s">
        <v>71</v>
      </c>
      <c r="B190" s="144"/>
      <c r="C190" s="144"/>
      <c r="D190" s="144"/>
      <c r="E190" s="27">
        <f>SUM(F158:G187)</f>
        <v>249365</v>
      </c>
    </row>
    <row r="191" spans="1:14" ht="51.75" customHeight="1">
      <c r="A191" s="144" t="s">
        <v>72</v>
      </c>
      <c r="B191" s="144"/>
      <c r="C191" s="144"/>
      <c r="D191" s="144"/>
      <c r="E191" s="27">
        <f>E190+E154-E155</f>
        <v>18738.01999999999</v>
      </c>
    </row>
    <row r="192" spans="1:14">
      <c r="A192" s="107" t="s">
        <v>176</v>
      </c>
    </row>
    <row r="193" spans="1:10" ht="62.25" customHeight="1">
      <c r="A193" s="169" t="s">
        <v>75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51">
        <f>ПТО!G12</f>
        <v>1200</v>
      </c>
      <c r="I194" s="52" t="s">
        <v>77</v>
      </c>
    </row>
    <row r="195" spans="1:10" ht="18.75" customHeight="1">
      <c r="A195" s="168" t="str">
        <f>ПТО!F13</f>
        <v xml:space="preserve">  -  техническое обслуживание охранной сигнализации</v>
      </c>
      <c r="B195" s="168"/>
      <c r="C195" s="168"/>
      <c r="D195" s="168"/>
      <c r="E195" s="168"/>
      <c r="F195" s="168"/>
      <c r="G195" s="168"/>
      <c r="H195" s="51">
        <f>ПТО!G13</f>
        <v>5400</v>
      </c>
      <c r="I195" s="52" t="s">
        <v>77</v>
      </c>
    </row>
    <row r="196" spans="1:10" ht="18.75" customHeight="1">
      <c r="A196" s="168" t="str">
        <f>ПТО!F14</f>
        <v xml:space="preserve">  -  работы по выбору (решению) общего собрания или совета дома</v>
      </c>
      <c r="B196" s="168"/>
      <c r="C196" s="168"/>
      <c r="D196" s="168"/>
      <c r="E196" s="168"/>
      <c r="F196" s="168"/>
      <c r="G196" s="168"/>
      <c r="H196" s="51">
        <f>ПТО!G14</f>
        <v>48000</v>
      </c>
      <c r="I196" s="52" t="s">
        <v>77</v>
      </c>
    </row>
    <row r="197" spans="1:10" ht="18.75" hidden="1" customHeight="1">
      <c r="A197" s="168">
        <f>ПТО!F15</f>
        <v>0</v>
      </c>
      <c r="B197" s="168"/>
      <c r="C197" s="168"/>
      <c r="D197" s="168"/>
      <c r="E197" s="168"/>
      <c r="F197" s="168"/>
      <c r="G197" s="168"/>
      <c r="H197" s="51">
        <f>ПТО!G15</f>
        <v>0</v>
      </c>
      <c r="I197" s="52" t="s">
        <v>77</v>
      </c>
    </row>
    <row r="198" spans="1:10" ht="18.75" hidden="1" customHeight="1">
      <c r="A198" s="168">
        <f>ПТО!F16</f>
        <v>0</v>
      </c>
      <c r="B198" s="168"/>
      <c r="C198" s="168"/>
      <c r="D198" s="168"/>
      <c r="E198" s="168"/>
      <c r="F198" s="168"/>
      <c r="G198" s="168"/>
      <c r="H198" s="51">
        <f>ПТО!G16</f>
        <v>0</v>
      </c>
      <c r="I198" s="54" t="s">
        <v>77</v>
      </c>
    </row>
    <row r="199" spans="1:10" ht="18.75" hidden="1" customHeight="1">
      <c r="A199" s="168">
        <f>ПТО!F17</f>
        <v>0</v>
      </c>
      <c r="B199" s="168"/>
      <c r="C199" s="168"/>
      <c r="D199" s="168"/>
      <c r="E199" s="168"/>
      <c r="F199" s="168"/>
      <c r="G199" s="168"/>
      <c r="H199" s="51">
        <f>ПТО!G17</f>
        <v>0</v>
      </c>
      <c r="I199" s="52" t="s">
        <v>77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51">
        <f>ПТО!G18</f>
        <v>0</v>
      </c>
      <c r="I200" s="52" t="s">
        <v>77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51">
        <f>ПТО!G19</f>
        <v>0</v>
      </c>
      <c r="I201" s="52" t="s">
        <v>77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51">
        <f>ПТО!G20</f>
        <v>0</v>
      </c>
      <c r="I202" s="52" t="s">
        <v>77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51">
        <f>ПТО!G21</f>
        <v>0</v>
      </c>
      <c r="I203" s="52" t="s">
        <v>77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51">
        <f>ПТО!G22</f>
        <v>0</v>
      </c>
      <c r="I204" s="52" t="s">
        <v>77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51">
        <f>ПТО!G23</f>
        <v>0</v>
      </c>
      <c r="I205" s="52" t="s">
        <v>77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51">
        <f>ПТО!G24</f>
        <v>0</v>
      </c>
      <c r="I206" s="52" t="s">
        <v>77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51">
        <f>ПТО!G25</f>
        <v>0</v>
      </c>
      <c r="I207" s="52" t="s">
        <v>77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51">
        <f>ПТО!G26</f>
        <v>0</v>
      </c>
      <c r="I208" s="52" t="s">
        <v>77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51">
        <f>ПТО!G27</f>
        <v>0</v>
      </c>
      <c r="I209" s="52" t="s">
        <v>77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51">
        <f>ПТО!G28</f>
        <v>0</v>
      </c>
      <c r="I210" s="52" t="s">
        <v>77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51">
        <f>ПТО!G29</f>
        <v>0</v>
      </c>
      <c r="I211" s="52" t="s">
        <v>77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51">
        <f>ПТО!G30</f>
        <v>0</v>
      </c>
      <c r="I212" s="52" t="s">
        <v>77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54600</v>
      </c>
      <c r="I214" s="58" t="s">
        <v>79</v>
      </c>
    </row>
  </sheetData>
  <sheetProtection algorithmName="SHA-512" hashValue="QeieL1r4np0EFGBEulDk1PI8POqK035K0wG8B4zJWJiT5tyyWyJAsUSKz6I+fpkJA9j8s70hxHXlWpwat11lvQ==" saltValue="GhBV0JAd9ANuNSOmXi9vr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F28" sqref="F28:G3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-156914.64</f>
        <v>-156914.64000000001</v>
      </c>
    </row>
    <row r="2" spans="1:12" ht="18.75" customHeight="1">
      <c r="A2" s="139" t="s">
        <v>197</v>
      </c>
      <c r="B2" s="125" t="s">
        <v>182</v>
      </c>
      <c r="C2" s="124">
        <v>12</v>
      </c>
      <c r="D2" s="123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179</v>
      </c>
      <c r="B3" s="125" t="s">
        <v>183</v>
      </c>
      <c r="C3" s="124">
        <v>1</v>
      </c>
      <c r="D3" s="122">
        <v>4000</v>
      </c>
      <c r="E3" s="121" t="s">
        <v>184</v>
      </c>
      <c r="F3" s="30"/>
      <c r="G3" s="30"/>
      <c r="L3" s="33" t="str">
        <f t="shared" si="0"/>
        <v>ТР</v>
      </c>
    </row>
    <row r="4" spans="1:12" ht="18.75" customHeight="1">
      <c r="A4" s="126" t="s">
        <v>180</v>
      </c>
      <c r="B4" s="125" t="s">
        <v>183</v>
      </c>
      <c r="C4" s="124">
        <v>1</v>
      </c>
      <c r="D4" s="122">
        <v>48437</v>
      </c>
      <c r="E4" s="134" t="s">
        <v>190</v>
      </c>
      <c r="F4" s="30"/>
      <c r="G4" s="30"/>
      <c r="L4" s="33" t="str">
        <f t="shared" si="0"/>
        <v>ТР</v>
      </c>
    </row>
    <row r="5" spans="1:12" ht="18.75" customHeight="1">
      <c r="A5" s="126" t="s">
        <v>181</v>
      </c>
      <c r="B5" s="125" t="s">
        <v>183</v>
      </c>
      <c r="C5" s="125">
        <v>1</v>
      </c>
      <c r="D5" s="122">
        <v>155120</v>
      </c>
      <c r="E5" s="133" t="s">
        <v>188</v>
      </c>
      <c r="F5" s="46"/>
      <c r="G5" s="46"/>
      <c r="K5" s="48"/>
      <c r="L5" s="33" t="str">
        <f t="shared" si="0"/>
        <v>ТР</v>
      </c>
    </row>
    <row r="6" spans="1:12" ht="18.75" customHeight="1">
      <c r="A6" s="128" t="s">
        <v>185</v>
      </c>
      <c r="B6" s="129" t="s">
        <v>183</v>
      </c>
      <c r="C6" s="130">
        <v>1</v>
      </c>
      <c r="D6" s="131">
        <v>17868</v>
      </c>
      <c r="E6" s="133" t="s">
        <v>186</v>
      </c>
      <c r="F6" s="46"/>
      <c r="G6" s="46"/>
      <c r="K6" s="48"/>
      <c r="L6" s="33" t="str">
        <f t="shared" si="0"/>
        <v>ТР</v>
      </c>
    </row>
    <row r="7" spans="1:12" ht="18.75" customHeight="1">
      <c r="A7" s="140" t="s">
        <v>198</v>
      </c>
      <c r="B7" s="132" t="s">
        <v>183</v>
      </c>
      <c r="C7" s="45">
        <v>1</v>
      </c>
      <c r="D7" s="48">
        <v>6540</v>
      </c>
      <c r="E7" s="133" t="s">
        <v>189</v>
      </c>
      <c r="F7" s="47"/>
      <c r="G7" s="47"/>
      <c r="K7" s="48"/>
      <c r="L7" s="33" t="str">
        <f t="shared" si="0"/>
        <v>ТР</v>
      </c>
    </row>
    <row r="8" spans="1:12" ht="18.75" customHeight="1">
      <c r="A8" s="135" t="s">
        <v>191</v>
      </c>
      <c r="B8" s="136" t="s">
        <v>183</v>
      </c>
      <c r="C8" s="43">
        <v>1</v>
      </c>
      <c r="D8" s="44">
        <v>8000</v>
      </c>
      <c r="E8" s="133" t="s">
        <v>192</v>
      </c>
      <c r="F8" s="47"/>
      <c r="G8" s="47"/>
      <c r="K8" s="44"/>
      <c r="L8" s="33" t="str">
        <f t="shared" si="0"/>
        <v>ТР</v>
      </c>
    </row>
    <row r="9" spans="1:12">
      <c r="A9" s="137" t="s">
        <v>193</v>
      </c>
      <c r="B9" s="138" t="s">
        <v>183</v>
      </c>
      <c r="C9" s="43">
        <v>1</v>
      </c>
      <c r="D9" s="44">
        <v>4000</v>
      </c>
      <c r="E9" s="46" t="s">
        <v>194</v>
      </c>
      <c r="F9" s="46"/>
      <c r="G9" s="46"/>
      <c r="K9" s="44"/>
      <c r="L9" s="33" t="str">
        <f t="shared" si="0"/>
        <v>ТР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195</v>
      </c>
      <c r="G13" s="116">
        <v>5400</v>
      </c>
      <c r="L13" s="33">
        <f t="shared" si="0"/>
        <v>0</v>
      </c>
    </row>
    <row r="14" spans="1:12" ht="31.5">
      <c r="A14" s="30"/>
      <c r="F14" s="115" t="s">
        <v>196</v>
      </c>
      <c r="G14" s="116">
        <v>48000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17954.68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17954.68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22485.65</v>
      </c>
      <c r="C40" s="38" t="s">
        <v>66</v>
      </c>
      <c r="D40" s="39">
        <v>5</v>
      </c>
      <c r="E40" s="34" t="s">
        <v>202</v>
      </c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22485.65</v>
      </c>
      <c r="O40" s="41" t="str">
        <f t="shared" ref="O40:O53" si="5">C40</f>
        <v>Ежемесячно</v>
      </c>
      <c r="P40">
        <f t="shared" ref="P40:P53" si="6">D40</f>
        <v>5</v>
      </c>
    </row>
    <row r="41" spans="1:16" ht="25.5">
      <c r="A41" s="37" t="s">
        <v>200</v>
      </c>
      <c r="B41" s="38">
        <v>28842.5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28842.5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16072.46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16072.46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6762.6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6762.6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30465.5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30465.5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201</v>
      </c>
      <c r="B46" s="38">
        <v>39448.5</v>
      </c>
      <c r="C46" s="38" t="s">
        <v>66</v>
      </c>
      <c r="D46" s="50">
        <v>7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39448.5</v>
      </c>
      <c r="O46" s="41" t="str">
        <f t="shared" si="5"/>
        <v>Ежемесячно</v>
      </c>
      <c r="P46">
        <f t="shared" si="6"/>
        <v>7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js1WwuwquHra96isn3+WFnUpe15fZDNw1ujF8AhhsqdvCfDMg9Z5+7fLoX+PocghyVh4Xlysk0rgBQbcfU609A==" saltValue="w/LcZ/w/X0QBWwbLDZbOo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F28" sqref="F28:G35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127" t="s">
        <v>187</v>
      </c>
      <c r="F1" s="127">
        <v>1127.0999999999999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99636.09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241656.62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128404.59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F1*5.45*12</f>
        <v>73712.34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39539.69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240392.18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240392.18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240392.18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100900.52999999997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72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72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72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72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71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71"/>
      <c r="N26" s="65"/>
    </row>
    <row r="27" spans="1:15" ht="18.75" customHeight="1">
      <c r="A27" s="72" t="s">
        <v>107</v>
      </c>
      <c r="B27" s="77" t="s">
        <v>3</v>
      </c>
      <c r="C27" s="88">
        <v>47035.03</v>
      </c>
      <c r="D27" s="83" t="s">
        <v>58</v>
      </c>
      <c r="E27" s="66"/>
      <c r="F27" s="66"/>
      <c r="G27" s="66"/>
      <c r="H27" s="66"/>
      <c r="I27" s="66"/>
      <c r="J27" s="66"/>
      <c r="M27" s="171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71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71"/>
      <c r="N29" s="65"/>
    </row>
    <row r="30" spans="1:15" ht="18.75" customHeight="1">
      <c r="A30" s="72" t="s">
        <v>110</v>
      </c>
      <c r="B30" s="77" t="s">
        <v>17</v>
      </c>
      <c r="C30" s="88">
        <v>74525.17</v>
      </c>
      <c r="D30" s="83" t="s">
        <v>64</v>
      </c>
      <c r="E30" s="66"/>
      <c r="F30" s="66"/>
      <c r="G30" s="66"/>
      <c r="H30" s="66"/>
      <c r="I30" s="66"/>
      <c r="J30" s="66"/>
      <c r="M30" s="171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71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71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71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71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19883.75</v>
      </c>
      <c r="F37" s="96" t="s">
        <v>169</v>
      </c>
      <c r="G37" s="68"/>
      <c r="H37" s="68"/>
      <c r="I37" s="68"/>
      <c r="L37" s="65"/>
      <c r="M37" s="170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18158.68</v>
      </c>
      <c r="D38" s="96" t="s">
        <v>167</v>
      </c>
      <c r="E38" s="70"/>
      <c r="G38" s="69"/>
      <c r="H38" s="69"/>
      <c r="L38" s="65"/>
      <c r="M38" s="170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19025.86</v>
      </c>
      <c r="D39" s="96" t="s">
        <v>168</v>
      </c>
      <c r="E39" s="70"/>
      <c r="G39" s="69"/>
      <c r="H39" s="69"/>
      <c r="L39" s="65"/>
      <c r="M39" s="170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857.88999999999942</v>
      </c>
      <c r="D40" s="82" t="s">
        <v>57</v>
      </c>
      <c r="E40" s="70"/>
      <c r="G40" s="69"/>
      <c r="H40" s="69"/>
      <c r="L40" s="65"/>
      <c r="M40" s="170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19883.75</v>
      </c>
      <c r="D41" s="82" t="s">
        <v>57</v>
      </c>
      <c r="E41" s="70"/>
      <c r="G41" s="69"/>
      <c r="H41" s="69"/>
      <c r="L41" s="65"/>
      <c r="M41" s="170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19883.75</v>
      </c>
      <c r="D42" s="82" t="s">
        <v>57</v>
      </c>
      <c r="E42" s="70"/>
      <c r="G42" s="69"/>
      <c r="H42" s="69"/>
      <c r="L42" s="65"/>
      <c r="M42" s="170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70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70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54280.44</v>
      </c>
      <c r="F45" s="96" t="s">
        <v>169</v>
      </c>
      <c r="G45" s="68"/>
      <c r="H45" s="68"/>
      <c r="L45" s="65"/>
      <c r="M45" s="170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3898.06</v>
      </c>
      <c r="D46" s="96" t="s">
        <v>170</v>
      </c>
      <c r="E46" s="70"/>
      <c r="G46" s="69"/>
      <c r="H46" s="69"/>
      <c r="L46" s="65"/>
      <c r="M46" s="170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48698.53</v>
      </c>
      <c r="D47" s="96" t="s">
        <v>168</v>
      </c>
      <c r="E47" s="70"/>
      <c r="G47" s="69"/>
      <c r="H47" s="69"/>
      <c r="L47" s="65"/>
      <c r="M47" s="170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5581.9100000000035</v>
      </c>
      <c r="D48" s="82" t="s">
        <v>57</v>
      </c>
      <c r="E48" s="70"/>
      <c r="G48" s="69"/>
      <c r="H48" s="69"/>
      <c r="L48" s="65"/>
      <c r="M48" s="170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54280.44</v>
      </c>
      <c r="D49" s="82" t="s">
        <v>57</v>
      </c>
      <c r="E49" s="70"/>
      <c r="G49" s="69"/>
      <c r="H49" s="69"/>
      <c r="L49" s="65"/>
      <c r="M49" s="170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54280.44</v>
      </c>
      <c r="D50" s="82" t="s">
        <v>57</v>
      </c>
      <c r="E50" s="70"/>
      <c r="G50" s="69"/>
      <c r="H50" s="69"/>
      <c r="L50" s="65"/>
      <c r="M50" s="170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70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70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96831.79</v>
      </c>
      <c r="F53" s="96" t="s">
        <v>169</v>
      </c>
      <c r="G53" s="68"/>
      <c r="H53" s="68"/>
      <c r="L53" s="65"/>
      <c r="M53" s="170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6490.07</v>
      </c>
      <c r="D54" s="96" t="s">
        <v>170</v>
      </c>
      <c r="E54" s="71"/>
      <c r="F54" s="91"/>
      <c r="G54" s="66"/>
      <c r="H54" s="66"/>
      <c r="L54" s="65"/>
      <c r="M54" s="170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85977.7</v>
      </c>
      <c r="D55" s="96" t="s">
        <v>168</v>
      </c>
      <c r="E55" s="71"/>
      <c r="G55" s="66"/>
      <c r="H55" s="66"/>
      <c r="L55" s="65"/>
      <c r="M55" s="170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10854.089999999997</v>
      </c>
      <c r="D56" s="82" t="s">
        <v>57</v>
      </c>
      <c r="E56" s="71"/>
      <c r="G56" s="66"/>
      <c r="H56" s="66"/>
      <c r="L56" s="65"/>
      <c r="M56" s="170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96831.79</v>
      </c>
      <c r="D57" s="82" t="s">
        <v>57</v>
      </c>
      <c r="E57" s="71"/>
      <c r="G57" s="66"/>
      <c r="H57" s="66"/>
      <c r="L57" s="65"/>
      <c r="M57" s="170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96831.79</v>
      </c>
      <c r="D58" s="82" t="s">
        <v>57</v>
      </c>
      <c r="E58" s="71"/>
      <c r="G58" s="66"/>
      <c r="H58" s="66"/>
      <c r="L58" s="65"/>
      <c r="M58" s="170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70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70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43253.22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80.05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37986.99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5266.2300000000032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43253.22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43253.22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36100.39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2592.4899999999998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31170.37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4930.0200000000004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36100.39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36100.39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28" sqref="F28:G3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1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22868.55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2020-03-20T03:02:33Z</dcterms:modified>
</cp:coreProperties>
</file>