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23" i="1" l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138" i="1"/>
  <c r="A134" i="1"/>
  <c r="A135" i="1"/>
  <c r="A139" i="1"/>
  <c r="A106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<sst xmlns="http://schemas.openxmlformats.org/spreadsheetml/2006/main" count="552" uniqueCount="203">
  <si>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</si>
  <si>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</si>
  <si>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</si>
  <si>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</si>
  <si>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</si>
  <si>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</si>
  <si>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</si>
  <si>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</si>
  <si>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</si>
  <si>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</si>
  <si>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</si>
  <si>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</si>
  <si>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</si>
  <si>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</si>
  <si>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</si>
  <si>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</si>
  <si>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</si>
  <si>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</si>
  <si>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</si>
  <si>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</si>
  <si>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</si>
  <si>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</si>
  <si>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</si>
  <si>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</si>
  <si>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</si>
  <si>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</si>
  <si>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</si>
  <si>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</si>
  <si>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</si>
  <si>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</si>
  <si>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</si>
  <si>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</si>
  <si>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</si>
  <si>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</si>
  <si>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</si>
  <si>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</si>
  <si>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</si>
  <si>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</si>
  <si>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</si>
  <si>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</si>
  <si>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</si>
  <si>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</si>
  <si>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</si>
  <si>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</si>
  <si>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</si>
  <si>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</si>
  <si>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</si>
  <si>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</si>
  <si>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</si>
  <si>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</si>
  <si>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</si>
  <si>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</si>
  <si>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</si>
  <si>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</si>
  <si>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</si>
  <si>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</si>
  <si>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</si>
  <si>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</si>
  <si>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</si>
  <si>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</si>
  <si>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</si>
  <si>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</si>
  <si>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</si>
  <si>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</si>
  <si>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</si>
  <si>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</si>
  <si>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</si>
  <si>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</si>
  <si>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</si>
  <si>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</si>
  <si>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</si>
  <si>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</si>
  <si>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</si>
  <si>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</si>
  <si>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</si>
  <si>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</si>
  <si>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</si>
  <si>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</si>
  <si>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</si>
  <si>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</si>
  <si>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</si>
  <si>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</si>
  <si>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</si>
  <si>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</si>
  <si>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</si>
  <si>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</si>
  <si>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</si>
  <si>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</si>
  <si>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</si>
  <si>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</si>
  <si>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</si>
  <si>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</si>
  <si>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</si>
  <si>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</si>
  <si>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</si>
  <si>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</si>
  <si>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</si>
  <si>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</si>
  <si>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</si>
  <si>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</si>
  <si>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</si>
  <si>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</si>
  <si>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</si>
  <si>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</si>
  <si>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</si>
  <si>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</si>
  <si>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</si>
  <si>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</si>
  <si>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</si>
  <si>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</si>
  <si>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</si>
  <si>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</si>
  <si>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</si>
  <si>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</si>
  <si>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</si>
  <si>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</si>
  <si>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</si>
  <si>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</si>
  <si>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</si>
  <si>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</si>
  <si>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</si>
  <si>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</si>
  <si>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</si>
  <si>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</si>
  <si>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</si>
  <si>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</si>
  <si>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</si>
  <si>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</si>
  <si>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</si>
  <si>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</si>
  <si>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</si>
  <si>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</si>
  <si>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</si>
  <si>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</si>
  <si>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</si>
  <si>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</si>
  <si>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</si>
  <si>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</si>
  <si>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</si>
  <si>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</si>
  <si>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</si>
  <si>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</si>
  <si>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</si>
  <si>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</si>
  <si>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</si>
  <si>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</si>
  <si>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</si>
  <si>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</si>
  <si>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</si>
  <si>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</si>
  <si>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</si>
  <si>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</si>
  <si>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</si>
  <si>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</si>
  <si>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</si>
  <si>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</si>
  <si>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</si>
  <si>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</si>
  <si>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</si>
  <si>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</si>
  <si>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</si>
  <si>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</si>
  <si>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</si>
  <si>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</si>
  <si>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</si>
  <si>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</si>
  <si>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</si>
  <si>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</si>
  <si>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</si>
  <si>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</si>
  <si>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</si>
  <si>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</si>
  <si>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</si>
  <si>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</si>
  <si>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</si>
  <si>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</si>
  <si>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</si>
  <si>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</si>
  <si>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</si>
  <si>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</si>
  <si>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</si>
  <si>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</si>
  <si>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</si>
  <si>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</si>
  <si>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</si>
  <si>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</si>
  <si>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</si>
  <si>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Установка светильника.</t>
  </si>
  <si>
    <t>Установка системы видеонаблюдения.</t>
  </si>
  <si>
    <t>ежемесячно</t>
  </si>
  <si>
    <t>ежегодно</t>
  </si>
  <si>
    <t>разово</t>
  </si>
  <si>
    <t>АВР от 25.06.2019, Решение, счет №88 от 30.05.2019</t>
  </si>
  <si>
    <t>площадь дома</t>
  </si>
  <si>
    <t>Ремонт прибора учета тепловой энергии.</t>
  </si>
  <si>
    <t>Установка аэраторов на фановые трубы.</t>
  </si>
  <si>
    <t>счет №13383 от 13.11.2019</t>
  </si>
  <si>
    <t xml:space="preserve">  -  техническое обслуживание охранной сигнализации</t>
  </si>
  <si>
    <t xml:space="preserve">  -  изготовление и монтаж козырька</t>
  </si>
  <si>
    <t xml:space="preserve">  -  перенос водостока</t>
  </si>
  <si>
    <t>АВР от 13.11.2019, Счет №99 от 31.01.2019</t>
  </si>
  <si>
    <t>АВР от 13.11.2019, счет №С-763 от 30.08.2019</t>
  </si>
  <si>
    <t xml:space="preserve">Услуги и работы по управлению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</si>
</sst>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29" fillId="0" borderId="0" xfId="0" applyNumberFormat="1" applyFont="1"/>
    <xf numFmtId="0" fontId="4" fillId="0" borderId="0" xfId="5" applyBorder="1" applyAlignment="1">
      <alignment horizontal="center"/>
    </xf>
    <xf numFmtId="1" fontId="4" fillId="0" borderId="0" xfId="5" applyNumberFormat="1" applyBorder="1" applyAlignment="1">
      <alignment horizontal="center"/>
    </xf>
    <xf numFmtId="0" fontId="4" fillId="0" borderId="0" xfId="5" applyFill="1" applyBorder="1" applyAlignment="1">
      <alignment horizontal="center"/>
    </xf>
    <xf numFmtId="4" fontId="4" fillId="0" borderId="0" xfId="5" applyNumberFormat="1" applyFill="1" applyBorder="1" applyAlignment="1"/>
    <xf numFmtId="0" fontId="4" fillId="0" borderId="0" xfId="5" applyFill="1" applyBorder="1"/>
    <xf numFmtId="1" fontId="4" fillId="0" borderId="0" xfId="5" applyNumberFormat="1" applyFill="1" applyBorder="1" applyAlignment="1">
      <alignment horizontal="center"/>
    </xf>
    <xf numFmtId="0" fontId="4" fillId="0" borderId="0" xfId="5" applyFill="1" applyBorder="1" applyAlignment="1"/>
    <xf numFmtId="4" fontId="4" fillId="0" borderId="0" xfId="5" applyNumberFormat="1" applyBorder="1" applyAlignment="1"/>
    <xf numFmtId="4" fontId="19" fillId="0" borderId="0" xfId="5" applyNumberFormat="1" applyFont="1" applyFill="1" applyBorder="1" applyAlignment="1"/>
    <xf numFmtId="0" fontId="0" fillId="6" borderId="0" xfId="0" applyFill="1"/>
    <xf numFmtId="4" fontId="19" fillId="6" borderId="0" xfId="4" applyNumberFormat="1" applyFont="1" applyFill="1" applyBorder="1" applyAlignment="1"/>
    <xf numFmtId="0" fontId="2" fillId="6" borderId="0" xfId="4" applyFont="1" applyFill="1" applyBorder="1" applyAlignment="1"/>
    <xf numFmtId="0" fontId="2" fillId="6" borderId="0" xfId="4" applyFont="1" applyFill="1" applyBorder="1" applyAlignment="1">
      <alignment horizontal="center"/>
    </xf>
    <xf numFmtId="0" fontId="19" fillId="6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16" sqref="K2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0" t="s">
        <v>184</v>
      </c>
      <c r="B2" s="160"/>
      <c r="C2" s="160"/>
      <c r="D2" s="160"/>
      <c r="E2" s="160"/>
      <c r="F2" s="160"/>
      <c r="G2" s="160"/>
      <c r="H2" s="160"/>
      <c r="I2" s="160"/>
      <c r="J2" s="16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1"/>
      <c r="L8" s="161"/>
      <c r="M8" s="111"/>
      <c r="N8" s="111"/>
      <c r="O8" s="71" t="s">
        <v>90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1"/>
      <c r="L9" s="161"/>
      <c r="M9" s="111"/>
      <c r="N9" s="111"/>
      <c r="O9" s="71" t="s">
        <v>91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140802.06</v>
      </c>
      <c r="K10" s="111"/>
      <c r="L10" s="161"/>
      <c r="M10" s="111"/>
      <c r="N10" s="111"/>
      <c r="O10" s="71" t="s">
        <v>92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905381.21</v>
      </c>
      <c r="K11" s="111"/>
      <c r="L11" s="161"/>
      <c r="M11" s="111"/>
      <c r="N11" s="111"/>
      <c r="O11" s="71" t="s">
        <v>93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540519.24</v>
      </c>
      <c r="K12" s="111"/>
      <c r="L12" s="161"/>
      <c r="M12" s="111"/>
      <c r="N12" s="111"/>
      <c r="O12" s="71" t="s">
        <v>94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179850</v>
      </c>
      <c r="K13" s="111"/>
      <c r="L13" s="161"/>
      <c r="M13" s="111"/>
      <c r="N13" s="111"/>
      <c r="O13" s="71" t="s">
        <v>95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185011.97</v>
      </c>
      <c r="K14" s="111"/>
      <c r="L14" s="161"/>
      <c r="M14" s="111"/>
      <c r="N14" s="111"/>
      <c r="O14" s="71" t="s">
        <v>96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920952.95</v>
      </c>
      <c r="K15" s="111"/>
      <c r="L15" s="161"/>
      <c r="M15" s="111"/>
      <c r="N15" s="111"/>
      <c r="O15" s="71" t="s">
        <v>97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920952.95</v>
      </c>
      <c r="K16" s="111"/>
      <c r="L16" s="161"/>
      <c r="M16" s="111"/>
      <c r="N16" s="111"/>
      <c r="O16" s="71" t="s">
        <v>98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1"/>
      <c r="L17" s="161"/>
      <c r="M17" s="111"/>
      <c r="N17" s="111"/>
      <c r="O17" s="71" t="s">
        <v>99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1"/>
      <c r="L18" s="161"/>
      <c r="M18" s="111"/>
      <c r="N18" s="111"/>
      <c r="O18" s="71" t="s">
        <v>100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1"/>
      <c r="L19" s="161"/>
      <c r="M19" s="111"/>
      <c r="N19" s="111"/>
      <c r="O19" s="71" t="s">
        <v>101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1"/>
      <c r="L20" s="161"/>
      <c r="M20" s="111"/>
      <c r="N20" s="111"/>
      <c r="O20" s="71" t="s">
        <v>102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920952.95</v>
      </c>
      <c r="K21" s="111"/>
      <c r="L21" s="161"/>
      <c r="M21" s="111"/>
      <c r="N21" s="111"/>
      <c r="O21" s="71" t="s">
        <v>103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1"/>
      <c r="L22" s="161"/>
      <c r="M22" s="111"/>
      <c r="N22" s="111"/>
      <c r="O22" s="71" t="s">
        <v>104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1"/>
      <c r="L23" s="161"/>
      <c r="M23" s="111"/>
      <c r="N23" s="111"/>
      <c r="O23" s="71" t="s">
        <v>105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125230.32000000007</v>
      </c>
      <c r="K24" s="111"/>
      <c r="L24" s="161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4" t="s">
        <v>19</v>
      </c>
      <c r="B27" s="144"/>
      <c r="C27" s="144"/>
      <c r="D27" s="144"/>
      <c r="E27" s="144"/>
      <c r="F27" s="144" t="s">
        <v>20</v>
      </c>
      <c r="G27" s="144"/>
      <c r="H27" s="5" t="s">
        <v>57</v>
      </c>
      <c r="I27" s="144" t="s">
        <v>21</v>
      </c>
      <c r="J27" s="144"/>
      <c r="K27" s="111"/>
      <c r="L27" s="16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39">
        <f>VLOOKUP(A28,ПТО!$A$39:$D$53,2,FALSE)</f>
        <v>229128.96000000002</v>
      </c>
      <c r="G28" s="139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1"/>
      <c r="L28" s="16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8">
        <f>ПТО!A40</f>
        <v>0</v>
      </c>
      <c r="B29" s="138"/>
      <c r="C29" s="138"/>
      <c r="D29" s="138"/>
      <c r="E29" s="138"/>
      <c r="F29" s="139" t="e">
        <f>VLOOKUP(A29,ПТО!$A$39:$D$53,2,FALSE)</f>
        <v>#N/A</v>
      </c>
      <c r="G29" s="139"/>
      <c r="H29" s="42" t="e">
        <f>VLOOKUP(A29,ПТО!$A$39:$D$53,3,FALSE)</f>
        <v>#N/A</v>
      </c>
      <c r="I29" s="140" t="e">
        <f>VLOOKUP(A29,ПТО!$A$39:$D$53,4,FALSE)</f>
        <v>#N/A</v>
      </c>
      <c r="J29" s="140"/>
      <c r="K29" s="111"/>
      <c r="L29" s="162"/>
      <c r="M29" s="111"/>
      <c r="N29" s="111"/>
      <c r="O29" s="23">
        <f t="shared" si="1"/>
        <v>0</v>
      </c>
      <c r="R29" s="1" t="s">
        <v>75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39">
        <f>VLOOKUP(A30,ПТО!$A$39:$D$53,2,FALSE)</f>
        <v>75537</v>
      </c>
      <c r="G30" s="139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1"/>
      <c r="L30" s="16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39">
        <f>VLOOKUP(A31,ПТО!$A$39:$D$53,2,FALSE)</f>
        <v>43164</v>
      </c>
      <c r="G31" s="139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1"/>
      <c r="L31" s="16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1"/>
      <c r="L32" s="162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39">
        <f>VLOOKUP(A33,ПТО!$A$39:$D$53,2,FALSE)</f>
        <v>14388</v>
      </c>
      <c r="G33" s="139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1"/>
      <c r="L33" s="16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39">
        <f>VLOOKUP(A34,ПТО!$A$39:$D$53,2,FALSE)</f>
        <v>93522</v>
      </c>
      <c r="G34" s="139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1"/>
      <c r="L34" s="16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8" t="str">
        <f>ПТО!A46</f>
        <v>Работы по содержанию лифта (лифтов)</v>
      </c>
      <c r="B35" s="138"/>
      <c r="C35" s="138"/>
      <c r="D35" s="138"/>
      <c r="E35" s="138"/>
      <c r="F35" s="139">
        <f>VLOOKUP(A35,ПТО!$A$39:$D$53,2,FALSE)</f>
        <v>67623.600000000006</v>
      </c>
      <c r="G35" s="139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1"/>
      <c r="L35" s="162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8" t="str">
        <f>ПТО!A47</f>
        <v xml:space="preserve">Услуги и работы по управлению </v>
      </c>
      <c r="B36" s="138"/>
      <c r="C36" s="138"/>
      <c r="D36" s="138"/>
      <c r="E36" s="138"/>
      <c r="F36" s="139">
        <f>VLOOKUP(A36,ПТО!$A$39:$D$53,2,FALSE)</f>
        <v>179850</v>
      </c>
      <c r="G36" s="139"/>
      <c r="H36" s="42" t="str">
        <f>VLOOKUP(A36,ПТО!$A$39:$D$53,3,FALSE)</f>
        <v>Ежемесячно</v>
      </c>
      <c r="I36" s="140">
        <f>VLOOKUP(A36,ПТО!$A$39:$D$53,4,FALSE)</f>
        <v>12</v>
      </c>
      <c r="J36" s="140"/>
      <c r="K36" s="111"/>
      <c r="L36" s="162"/>
      <c r="M36" s="118"/>
      <c r="N36" s="111"/>
      <c r="O36" s="23" t="str">
        <f t="shared" si="1"/>
        <v xml:space="preserve">Услуги и работы по управлению </v>
      </c>
      <c r="R36" s="1" t="s">
        <v>75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1"/>
      <c r="L37" s="162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1"/>
      <c r="L38" s="162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1"/>
      <c r="L39" s="162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1"/>
      <c r="L40" s="162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1"/>
      <c r="L41" s="162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1"/>
      <c r="L42" s="162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8" t="str">
        <f>ПТО!A2</f>
        <v>Техническое обслуживание охранной сигнализации ИТП.</v>
      </c>
      <c r="B43" s="138"/>
      <c r="C43" s="138"/>
      <c r="D43" s="138"/>
      <c r="E43" s="138"/>
      <c r="F43" s="139">
        <f>VLOOKUP(A43,ПТО!$A$2:$D$31,4,FALSE)</f>
        <v>6000</v>
      </c>
      <c r="G43" s="139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1"/>
      <c r="L43" s="162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8" t="str">
        <f>ПТО!A3</f>
        <v>Техническое освидетельствование лифта.</v>
      </c>
      <c r="B44" s="138"/>
      <c r="C44" s="138"/>
      <c r="D44" s="138"/>
      <c r="E44" s="138"/>
      <c r="F44" s="139">
        <f>VLOOKUP(A44,ПТО!$A$2:$D$31,4,FALSE)</f>
        <v>8100</v>
      </c>
      <c r="G44" s="139"/>
      <c r="H44" s="25" t="str">
        <f>VLOOKUP(A44,ПТО!$A$2:$D$31,2,FALSE)</f>
        <v>ежегодно</v>
      </c>
      <c r="I44" s="140">
        <f>VLOOKUP(A44,ПТО!$A$2:$D$31,3,FALSE)</f>
        <v>1</v>
      </c>
      <c r="J44" s="140"/>
      <c r="K44" s="111"/>
      <c r="L44" s="162"/>
      <c r="M44" s="118"/>
      <c r="N44" s="111"/>
      <c r="O44" s="23" t="str">
        <f t="shared" si="1"/>
        <v>Техническое освидетельствование лифта.</v>
      </c>
      <c r="R44" s="22" t="s">
        <v>76</v>
      </c>
    </row>
    <row r="45" spans="1:18" ht="51" customHeight="1" outlineLevel="1">
      <c r="A45" s="138" t="str">
        <f>ПТО!A4</f>
        <v>Установка светильника.</v>
      </c>
      <c r="B45" s="138"/>
      <c r="C45" s="138"/>
      <c r="D45" s="138"/>
      <c r="E45" s="138"/>
      <c r="F45" s="139">
        <f>VLOOKUP(A45,ПТО!$A$2:$D$31,4,FALSE)</f>
        <v>700</v>
      </c>
      <c r="G45" s="139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1"/>
      <c r="L45" s="162"/>
      <c r="M45" s="118"/>
      <c r="N45" s="111"/>
      <c r="O45" s="23" t="str">
        <f t="shared" si="1"/>
        <v>Установка светильника.</v>
      </c>
      <c r="R45" s="22" t="s">
        <v>76</v>
      </c>
    </row>
    <row r="46" spans="1:18" ht="51" customHeight="1" outlineLevel="1">
      <c r="A46" s="138" t="str">
        <f>ПТО!A5</f>
        <v>Установка системы видеонаблюдения.</v>
      </c>
      <c r="B46" s="138"/>
      <c r="C46" s="138"/>
      <c r="D46" s="138"/>
      <c r="E46" s="138"/>
      <c r="F46" s="139">
        <f>VLOOKUP(A46,ПТО!$A$2:$D$31,4,FALSE)</f>
        <v>89341</v>
      </c>
      <c r="G46" s="139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1"/>
      <c r="L46" s="162"/>
      <c r="M46" s="118"/>
      <c r="N46" s="111"/>
      <c r="O46" s="23" t="str">
        <f t="shared" si="1"/>
        <v>Установка системы видеонаблюдения.</v>
      </c>
      <c r="R46" s="22" t="s">
        <v>76</v>
      </c>
    </row>
    <row r="47" spans="1:18" ht="51" customHeight="1" outlineLevel="1">
      <c r="A47" s="138" t="str">
        <f>ПТО!A6</f>
        <v>Ремонт прибора учета тепловой энергии.</v>
      </c>
      <c r="B47" s="138"/>
      <c r="C47" s="138"/>
      <c r="D47" s="138"/>
      <c r="E47" s="138"/>
      <c r="F47" s="139">
        <f>VLOOKUP(A47,ПТО!$A$2:$D$31,4,FALSE)</f>
        <v>1770</v>
      </c>
      <c r="G47" s="139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1"/>
      <c r="L47" s="162"/>
      <c r="M47" s="118"/>
      <c r="N47" s="111"/>
      <c r="O47" s="23" t="str">
        <f t="shared" si="1"/>
        <v>Ремонт прибора учета тепловой энергии.</v>
      </c>
      <c r="R47" s="22" t="s">
        <v>76</v>
      </c>
    </row>
    <row r="48" spans="1:18" ht="51" customHeight="1" outlineLevel="1">
      <c r="A48" s="138" t="str">
        <f>ПТО!A7</f>
        <v>Установка аэраторов на фановые трубы.</v>
      </c>
      <c r="B48" s="138"/>
      <c r="C48" s="138"/>
      <c r="D48" s="138"/>
      <c r="E48" s="138"/>
      <c r="F48" s="139">
        <f>VLOOKUP(A48,ПТО!$A$2:$D$31,4,FALSE)</f>
        <v>3784</v>
      </c>
      <c r="G48" s="139"/>
      <c r="H48" s="25" t="str">
        <f>VLOOKUP(A48,ПТО!$A$2:$D$31,2,FALSE)</f>
        <v>разово</v>
      </c>
      <c r="I48" s="140">
        <f>VLOOKUP(A48,ПТО!$A$2:$D$31,3,FALSE)</f>
        <v>1</v>
      </c>
      <c r="J48" s="140"/>
      <c r="K48" s="111"/>
      <c r="L48" s="162"/>
      <c r="M48" s="118"/>
      <c r="N48" s="111"/>
      <c r="O48" s="23" t="str">
        <f t="shared" si="1"/>
        <v>Установка аэраторов на фановые трубы.</v>
      </c>
      <c r="R48" s="22" t="s">
        <v>76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1"/>
      <c r="L49" s="162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1"/>
      <c r="L50" s="162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1"/>
      <c r="L51" s="162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1"/>
      <c r="L52" s="162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1"/>
      <c r="L53" s="162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1"/>
      <c r="L54" s="162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1"/>
      <c r="L55" s="162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1"/>
      <c r="L56" s="162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1"/>
      <c r="L57" s="162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1"/>
      <c r="L58" s="162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1"/>
      <c r="L59" s="162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1"/>
      <c r="L60" s="162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1"/>
      <c r="L61" s="162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1"/>
      <c r="L62" s="162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1"/>
      <c r="L63" s="162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1"/>
      <c r="L64" s="162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1"/>
      <c r="L65" s="162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1"/>
      <c r="L66" s="162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1"/>
      <c r="L67" s="162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1"/>
      <c r="L68" s="162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1"/>
      <c r="L69" s="162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1"/>
      <c r="L70" s="162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1"/>
      <c r="L72" s="162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1"/>
      <c r="L75" s="145"/>
      <c r="M75" s="111"/>
      <c r="N75" s="111"/>
      <c r="O75" s="71" t="s">
        <v>107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1"/>
      <c r="L76" s="145"/>
      <c r="M76" s="111"/>
      <c r="N76" s="111"/>
      <c r="O76" s="71" t="s">
        <v>108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1"/>
      <c r="L77" s="145"/>
      <c r="M77" s="111"/>
      <c r="N77" s="111"/>
      <c r="O77" s="71" t="s">
        <v>109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8">
        <f>VLOOKUP(O78,АО,3,FALSE)</f>
        <v>0</v>
      </c>
      <c r="K78" s="111"/>
      <c r="L78" s="145"/>
      <c r="M78" s="111"/>
      <c r="N78" s="111"/>
      <c r="O78" s="71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8">
        <f t="shared" ref="J81:J90" si="2">VLOOKUP(O81,АО,3,FALSE)</f>
        <v>0</v>
      </c>
      <c r="K81" s="111"/>
      <c r="L81" s="163"/>
      <c r="M81" s="111"/>
      <c r="N81" s="111"/>
      <c r="O81" s="71" t="s">
        <v>111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8">
        <f t="shared" si="2"/>
        <v>0</v>
      </c>
      <c r="K82" s="111"/>
      <c r="L82" s="163"/>
      <c r="M82" s="111"/>
      <c r="N82" s="111"/>
      <c r="O82" s="71" t="s">
        <v>112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8">
        <f t="shared" si="2"/>
        <v>340126.94</v>
      </c>
      <c r="K83" s="111"/>
      <c r="L83" s="163"/>
      <c r="M83" s="111"/>
      <c r="N83" s="111"/>
      <c r="O83" s="71" t="s">
        <v>113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8">
        <f t="shared" si="2"/>
        <v>0</v>
      </c>
      <c r="K84" s="111"/>
      <c r="L84" s="163"/>
      <c r="M84" s="111"/>
      <c r="N84" s="111"/>
      <c r="O84" s="71" t="s">
        <v>114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8">
        <f t="shared" si="2"/>
        <v>0</v>
      </c>
      <c r="K85" s="111"/>
      <c r="L85" s="163"/>
      <c r="M85" s="111"/>
      <c r="N85" s="111"/>
      <c r="O85" s="71" t="s">
        <v>115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8">
        <f t="shared" si="2"/>
        <v>320393.64</v>
      </c>
      <c r="K86" s="111"/>
      <c r="L86" s="163"/>
      <c r="M86" s="111"/>
      <c r="N86" s="111"/>
      <c r="O86" s="71" t="s">
        <v>116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1"/>
      <c r="L87" s="163"/>
      <c r="M87" s="111"/>
      <c r="N87" s="111"/>
      <c r="O87" s="71" t="s">
        <v>117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1"/>
      <c r="L88" s="163"/>
      <c r="M88" s="111"/>
      <c r="N88" s="111"/>
      <c r="O88" s="71" t="s">
        <v>118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1"/>
      <c r="L89" s="163"/>
      <c r="M89" s="111"/>
      <c r="N89" s="111"/>
      <c r="O89" s="71" t="s">
        <v>119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8">
        <f t="shared" si="2"/>
        <v>0</v>
      </c>
      <c r="K90" s="111"/>
      <c r="L90" s="163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7" t="s">
        <v>48</v>
      </c>
      <c r="B93" s="147"/>
      <c r="C93" s="147"/>
      <c r="D93" s="150" t="s">
        <v>49</v>
      </c>
      <c r="E93" s="150"/>
      <c r="F93" s="10" t="s">
        <v>50</v>
      </c>
      <c r="G93" s="147" t="s">
        <v>51</v>
      </c>
      <c r="H93" s="147"/>
      <c r="I93" s="147"/>
      <c r="J93" s="147"/>
      <c r="K93" s="111"/>
      <c r="L93" s="111"/>
      <c r="M93" s="111"/>
      <c r="N93" s="111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48">
        <f>VLOOKUP("эл",АО,5,FALSE)</f>
        <v>38389.57</v>
      </c>
      <c r="H94" s="149"/>
      <c r="I94" s="149"/>
      <c r="J94" s="149"/>
      <c r="K94" s="1" t="str">
        <f>VLOOKUP("эл",АО,2,FALSE)</f>
        <v>Электроснабжение</v>
      </c>
      <c r="L94" s="164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35058.97</v>
      </c>
      <c r="L95" s="164"/>
      <c r="O95" s="1" t="s">
        <v>121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36415.71</v>
      </c>
      <c r="L96" s="164"/>
      <c r="O96" s="1" t="s">
        <v>122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1973.8600000000006</v>
      </c>
      <c r="L97" s="164"/>
      <c r="O97" s="1" t="s">
        <v>123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38389.57</v>
      </c>
      <c r="L98" s="164"/>
      <c r="O98" s="1" t="s">
        <v>124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38389.57</v>
      </c>
      <c r="L99" s="164"/>
      <c r="O99" s="1" t="s">
        <v>125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64"/>
      <c r="O100" s="1" t="s">
        <v>126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64"/>
      <c r="O101" s="1" t="s">
        <v>127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48">
        <f>VLOOKUP("хвс",АО,5,FALSE)</f>
        <v>50351.360000000001</v>
      </c>
      <c r="H102" s="149"/>
      <c r="I102" s="149"/>
      <c r="J102" s="149"/>
      <c r="L102" s="164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3615.9</v>
      </c>
      <c r="L103" s="164"/>
      <c r="O103" s="1" t="s">
        <v>130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53244.77</v>
      </c>
      <c r="L104" s="164"/>
      <c r="O104" s="1" t="s">
        <v>131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0</v>
      </c>
      <c r="L105" s="164"/>
      <c r="O105" s="1" t="s">
        <v>132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50351.360000000001</v>
      </c>
      <c r="L106" s="164"/>
      <c r="O106" s="1" t="s">
        <v>133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50351.360000000001</v>
      </c>
      <c r="L107" s="164"/>
      <c r="O107" s="1" t="s">
        <v>134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64"/>
      <c r="O108" s="1" t="s">
        <v>135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64"/>
      <c r="O109" s="1" t="s">
        <v>136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48">
        <f>VLOOKUP("воо",АО,5,FALSE)</f>
        <v>86970.86</v>
      </c>
      <c r="H110" s="149"/>
      <c r="I110" s="149"/>
      <c r="J110" s="149"/>
      <c r="L110" s="164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5829.15</v>
      </c>
      <c r="L111" s="164"/>
      <c r="O111" s="1" t="s">
        <v>138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92588.84</v>
      </c>
      <c r="L112" s="164"/>
      <c r="O112" s="1" t="s">
        <v>139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64"/>
      <c r="O113" s="1" t="s">
        <v>140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86970.86</v>
      </c>
      <c r="L114" s="164"/>
      <c r="O114" s="1" t="s">
        <v>141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86970.86</v>
      </c>
      <c r="L115" s="164"/>
      <c r="O115" s="1" t="s">
        <v>142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64"/>
      <c r="O116" s="1" t="s">
        <v>143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64"/>
      <c r="O117" s="1" t="s">
        <v>144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48">
        <f>VLOOKUP("тко",АО,5,FALSE)</f>
        <v>138462.97</v>
      </c>
      <c r="H118" s="149"/>
      <c r="I118" s="149"/>
      <c r="J118" s="149"/>
      <c r="L118" s="48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256.26</v>
      </c>
      <c r="L119" s="48"/>
      <c r="O119" s="1" t="s">
        <v>146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109731.6</v>
      </c>
      <c r="L120" s="48"/>
      <c r="O120" s="1" t="s">
        <v>147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28731.369999999995</v>
      </c>
      <c r="L121" s="48"/>
      <c r="O121" s="1" t="s">
        <v>148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138462.97</v>
      </c>
      <c r="L122" s="48"/>
      <c r="O122" s="1" t="s">
        <v>149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138462.97</v>
      </c>
      <c r="L123" s="48"/>
      <c r="O123" s="1" t="s">
        <v>150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152</v>
      </c>
    </row>
    <row r="126" spans="1:15" ht="32.25" hidden="1" customHeight="1" outlineLevel="1">
      <c r="A126" s="151" t="str">
        <f>IF(VLOOKUP("гвс",АО,3,FALSE)&gt;0,"Горячее водоснабжение",0)</f>
        <v>Горячее водоснабжение</v>
      </c>
      <c r="B126" s="151"/>
      <c r="C126" s="151"/>
      <c r="D126" s="149" t="str">
        <f>IF(VLOOKUP("гвс",АО,3,FALSE)&gt;0,VLOOKUP("гвс",АО,3,FALSE),0)</f>
        <v>Предоставляется</v>
      </c>
      <c r="E126" s="149"/>
      <c r="F126" s="13" t="str">
        <f>IF(VLOOKUP("гвс",АО,3,FALSE)&gt;0,VLOOKUP("гвс",АО,4,FALSE),0)</f>
        <v>куб.м.</v>
      </c>
      <c r="G126" s="148">
        <f>VLOOKUP("гвс",АО,5,FALSE)</f>
        <v>224995.98</v>
      </c>
      <c r="H126" s="149"/>
      <c r="I126" s="149"/>
      <c r="J126" s="149"/>
      <c r="L126" s="48"/>
    </row>
    <row r="127" spans="1:15" ht="32.25" hidden="1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16157.7</v>
      </c>
      <c r="L127" s="48"/>
      <c r="O127" s="1" t="s">
        <v>154</v>
      </c>
    </row>
    <row r="128" spans="1:15" ht="32.25" hidden="1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230032.81</v>
      </c>
      <c r="L128" s="48"/>
      <c r="O128" s="1" t="s">
        <v>155</v>
      </c>
    </row>
    <row r="129" spans="1:15" ht="32.25" hidden="1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8"/>
      <c r="O129" s="1" t="s">
        <v>156</v>
      </c>
    </row>
    <row r="130" spans="1:15" ht="32.25" hidden="1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224995.98</v>
      </c>
      <c r="L130" s="48"/>
      <c r="O130" s="1" t="s">
        <v>157</v>
      </c>
    </row>
    <row r="131" spans="1:15" ht="32.25" hidden="1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224995.98</v>
      </c>
      <c r="L131" s="48"/>
      <c r="O131" s="1" t="s">
        <v>158</v>
      </c>
    </row>
    <row r="132" spans="1:15" ht="32.25" hidden="1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159</v>
      </c>
    </row>
    <row r="133" spans="1:15" ht="32.25" hidden="1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51" t="str">
        <f>IF(VLOOKUP("отопление",АО,3,FALSE)&gt;0,"Отопление",0)</f>
        <v>Отопление</v>
      </c>
      <c r="B134" s="151"/>
      <c r="C134" s="151"/>
      <c r="D134" s="149" t="str">
        <f>IF(VLOOKUP("отопление",АО,3,FALSE)&gt;0,VLOOKUP("отопление",АО,3,FALSE),0)</f>
        <v>Предоставляется</v>
      </c>
      <c r="E134" s="149"/>
      <c r="F134" s="13" t="str">
        <f>IF(VLOOKUP("отопление",АО,3,FALSE)&gt;0,VLOOKUP("отопление",АО,4,FALSE),0)</f>
        <v>Гкал</v>
      </c>
      <c r="G134" s="148">
        <f>VLOOKUP("отопление",АО,5,FALSE)</f>
        <v>604218.15</v>
      </c>
      <c r="H134" s="149"/>
      <c r="I134" s="149"/>
      <c r="J134" s="149"/>
      <c r="L134" s="48"/>
    </row>
    <row r="135" spans="1:15" ht="32.25" hidden="1" customHeight="1" outlineLevel="2">
      <c r="A135" s="146" t="str">
        <f t="shared" ref="A135:A141" si="12">IF(VLOOKUP("отопление",АО,3,FALSE)&gt;0,VLOOKUP(O135,АО,2,FALSE),0)</f>
        <v>Общий объем потребления, нат. показ.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442.29</v>
      </c>
      <c r="L135" s="48"/>
      <c r="O135" s="1" t="s">
        <v>162</v>
      </c>
    </row>
    <row r="136" spans="1:15" ht="32.25" hidden="1" customHeight="1" outlineLevel="2">
      <c r="A136" s="146" t="str">
        <f t="shared" si="12"/>
        <v>Оплачено потребителями, руб.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641108.46</v>
      </c>
      <c r="L136" s="48"/>
      <c r="O136" s="1" t="s">
        <v>163</v>
      </c>
    </row>
    <row r="137" spans="1:15" ht="32.25" hidden="1" customHeight="1" outlineLevel="2">
      <c r="A137" s="146" t="str">
        <f t="shared" si="12"/>
        <v>Задолженность потребителей, руб.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46" t="str">
        <f t="shared" si="12"/>
        <v>Начислено поставщиком (поставщиками) коммунального ресурса, руб.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604218.15</v>
      </c>
      <c r="L138" s="48"/>
      <c r="O138" s="1" t="s">
        <v>165</v>
      </c>
    </row>
    <row r="139" spans="1:15" ht="32.25" hidden="1" customHeight="1" outlineLevel="2">
      <c r="A139" s="146" t="str">
        <f t="shared" si="12"/>
        <v>Оплачено поставщику (поставщикам) коммунального ресурса, руб.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604218.15</v>
      </c>
      <c r="L139" s="48"/>
      <c r="O139" s="1" t="s">
        <v>166</v>
      </c>
    </row>
    <row r="140" spans="1:15" ht="32.25" hidden="1" customHeight="1" outlineLevel="2">
      <c r="A140" s="146" t="str">
        <f t="shared" si="12"/>
        <v>Задолженность перед поставщиком (поставщиками) коммунального ресурса, руб.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46" t="str">
        <f t="shared" si="12"/>
        <v>Размер пени и штрафов, уплаченных поставщику (поставщикам) коммунального ресурса, руб.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10</v>
      </c>
      <c r="O144" t="s">
        <v>178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179</v>
      </c>
    </row>
    <row r="146" spans="1:15" ht="30" customHeight="1" outlineLevel="1">
      <c r="A146" s="146" t="s">
        <v>181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458353.64</v>
      </c>
      <c r="O146" t="s">
        <v>180</v>
      </c>
    </row>
    <row r="149" spans="1:15" ht="52.5" customHeight="1">
      <c r="A149" s="142" t="s">
        <v>185</v>
      </c>
      <c r="B149" s="142"/>
      <c r="C149" s="142"/>
      <c r="D149" s="142"/>
      <c r="E149" s="142"/>
      <c r="F149" s="142"/>
      <c r="G149" s="142"/>
      <c r="H149" s="142"/>
      <c r="I149" s="142"/>
      <c r="J149" s="142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1" t="s">
        <v>71</v>
      </c>
      <c r="B154" s="141"/>
      <c r="C154" s="141"/>
      <c r="D154" s="141"/>
      <c r="E154" s="27">
        <f>ПТО!G1</f>
        <v>-228609.48</v>
      </c>
    </row>
    <row r="155" spans="1:15" ht="34.5" customHeight="1">
      <c r="A155" s="143" t="s">
        <v>72</v>
      </c>
      <c r="B155" s="143"/>
      <c r="C155" s="143"/>
      <c r="D155" s="143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19</v>
      </c>
      <c r="B157" s="144"/>
      <c r="C157" s="144"/>
      <c r="D157" s="144"/>
      <c r="E157" s="144"/>
      <c r="F157" s="144" t="s">
        <v>20</v>
      </c>
      <c r="G157" s="144"/>
      <c r="H157" s="20" t="s">
        <v>57</v>
      </c>
      <c r="I157" s="144" t="s">
        <v>21</v>
      </c>
      <c r="J157" s="144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 ИТП.</v>
      </c>
      <c r="B158" s="138"/>
      <c r="C158" s="138"/>
      <c r="D158" s="138"/>
      <c r="E158" s="138"/>
      <c r="F158" s="139">
        <f t="shared" ref="F158:F163" si="15">IF(ISERROR(VLOOKUP(A158,$A$28:$J$72,6,FALSE)),0,VLOOKUP(A158,$A$28:$J$72,6,FALSE))</f>
        <v>6000</v>
      </c>
      <c r="G158" s="139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8" t="str">
        <f t="shared" si="14"/>
        <v>Техническое освидетельствование лифта.</v>
      </c>
      <c r="B159" s="138"/>
      <c r="C159" s="138"/>
      <c r="D159" s="138"/>
      <c r="E159" s="138"/>
      <c r="F159" s="139">
        <f t="shared" si="15"/>
        <v>8100</v>
      </c>
      <c r="G159" s="139"/>
      <c r="H159" s="24" t="str">
        <f t="shared" si="16"/>
        <v>ежегодно</v>
      </c>
      <c r="I159" s="140">
        <f t="shared" si="17"/>
        <v>1</v>
      </c>
      <c r="J159" s="140"/>
      <c r="M159" s="22" t="s">
        <v>76</v>
      </c>
      <c r="N159" s="1" t="str">
        <v>Техническое освидетельствование лифта.</v>
      </c>
    </row>
    <row r="160" spans="1:15" ht="28.5" customHeight="1">
      <c r="A160" s="138" t="str">
        <f t="shared" si="14"/>
        <v>Установка светильника.</v>
      </c>
      <c r="B160" s="138"/>
      <c r="C160" s="138"/>
      <c r="D160" s="138"/>
      <c r="E160" s="138"/>
      <c r="F160" s="139">
        <f t="shared" si="15"/>
        <v>700</v>
      </c>
      <c r="G160" s="139"/>
      <c r="H160" s="24" t="str">
        <f t="shared" si="16"/>
        <v>разово</v>
      </c>
      <c r="I160" s="140">
        <f t="shared" si="17"/>
        <v>1</v>
      </c>
      <c r="J160" s="140"/>
      <c r="M160" s="22" t="s">
        <v>76</v>
      </c>
      <c r="N160" s="1" t="str">
        <v>Установка светильника.</v>
      </c>
    </row>
    <row r="161" spans="1:14" ht="28.5" customHeight="1">
      <c r="A161" s="138" t="str">
        <f>IF(N161&gt;0,N161,0)</f>
        <v>Установка системы видеонаблюдения.</v>
      </c>
      <c r="B161" s="138"/>
      <c r="C161" s="138"/>
      <c r="D161" s="138"/>
      <c r="E161" s="138"/>
      <c r="F161" s="139">
        <f t="shared" si="15"/>
        <v>89341</v>
      </c>
      <c r="G161" s="139"/>
      <c r="H161" s="24" t="str">
        <f t="shared" si="16"/>
        <v>разово</v>
      </c>
      <c r="I161" s="140">
        <f t="shared" si="17"/>
        <v>1</v>
      </c>
      <c r="J161" s="140"/>
      <c r="M161" s="22" t="s">
        <v>76</v>
      </c>
      <c r="N161" s="1" t="str">
        <v>Установка системы видеонаблюдения.</v>
      </c>
    </row>
    <row r="162" spans="1:14" ht="28.5" customHeight="1">
      <c r="A162" s="138" t="str">
        <f t="shared" si="14"/>
        <v>Ремонт прибора учета тепловой энергии.</v>
      </c>
      <c r="B162" s="138"/>
      <c r="C162" s="138"/>
      <c r="D162" s="138"/>
      <c r="E162" s="138"/>
      <c r="F162" s="139">
        <f t="shared" si="15"/>
        <v>1770</v>
      </c>
      <c r="G162" s="139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76</v>
      </c>
      <c r="N162" s="1" t="str">
        <v>Ремонт прибора учета тепловой энергии.</v>
      </c>
    </row>
    <row r="163" spans="1:14" ht="28.5" customHeight="1">
      <c r="A163" s="138" t="str">
        <f t="shared" si="14"/>
        <v>Установка аэраторов на фановые трубы.</v>
      </c>
      <c r="B163" s="138"/>
      <c r="C163" s="138"/>
      <c r="D163" s="138"/>
      <c r="E163" s="138"/>
      <c r="F163" s="139">
        <f t="shared" si="15"/>
        <v>3784</v>
      </c>
      <c r="G163" s="139"/>
      <c r="H163" s="24" t="str">
        <f t="shared" si="16"/>
        <v>разово</v>
      </c>
      <c r="I163" s="140">
        <f>VLOOKUP(A163,$A$28:$J$72,9,FALSE)</f>
        <v>1</v>
      </c>
      <c r="J163" s="140"/>
      <c r="M163" s="22" t="s">
        <v>76</v>
      </c>
      <c r="N163" s="1" t="str">
        <v>Установка аэраторов на фановые трубы.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76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39">
        <f t="shared" si="19"/>
        <v>0</v>
      </c>
      <c r="G165" s="139"/>
      <c r="H165" s="29" t="e">
        <f t="shared" si="16"/>
        <v>#N/A</v>
      </c>
      <c r="I165" s="140" t="e">
        <f t="shared" si="20"/>
        <v>#N/A</v>
      </c>
      <c r="J165" s="140"/>
      <c r="M165" s="22" t="s">
        <v>76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39">
        <f t="shared" si="19"/>
        <v>0</v>
      </c>
      <c r="G166" s="139"/>
      <c r="H166" s="29" t="e">
        <f t="shared" si="16"/>
        <v>#N/A</v>
      </c>
      <c r="I166" s="140" t="e">
        <f t="shared" si="20"/>
        <v>#N/A</v>
      </c>
      <c r="J166" s="140"/>
      <c r="M166" s="22" t="s">
        <v>76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39">
        <f t="shared" si="19"/>
        <v>0</v>
      </c>
      <c r="G167" s="139"/>
      <c r="H167" s="29" t="e">
        <f t="shared" si="16"/>
        <v>#N/A</v>
      </c>
      <c r="I167" s="140" t="e">
        <f t="shared" si="20"/>
        <v>#N/A</v>
      </c>
      <c r="J167" s="140"/>
      <c r="M167" s="22" t="s">
        <v>76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39">
        <f t="shared" si="19"/>
        <v>0</v>
      </c>
      <c r="G168" s="139"/>
      <c r="H168" s="29" t="e">
        <f t="shared" si="16"/>
        <v>#N/A</v>
      </c>
      <c r="I168" s="140" t="e">
        <f t="shared" si="20"/>
        <v>#N/A</v>
      </c>
      <c r="J168" s="140"/>
      <c r="M168" s="22" t="s">
        <v>76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39">
        <f t="shared" si="19"/>
        <v>0</v>
      </c>
      <c r="G169" s="139"/>
      <c r="H169" s="29" t="e">
        <f t="shared" si="16"/>
        <v>#N/A</v>
      </c>
      <c r="I169" s="140" t="e">
        <f t="shared" si="20"/>
        <v>#N/A</v>
      </c>
      <c r="J169" s="140"/>
      <c r="M169" s="22" t="s">
        <v>76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39">
        <f t="shared" si="19"/>
        <v>0</v>
      </c>
      <c r="G170" s="139"/>
      <c r="H170" s="29" t="e">
        <f t="shared" si="16"/>
        <v>#N/A</v>
      </c>
      <c r="I170" s="140" t="e">
        <f t="shared" si="20"/>
        <v>#N/A</v>
      </c>
      <c r="J170" s="140"/>
      <c r="M170" s="22" t="s">
        <v>76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39">
        <f t="shared" si="19"/>
        <v>0</v>
      </c>
      <c r="G171" s="139"/>
      <c r="H171" s="29" t="e">
        <f t="shared" si="16"/>
        <v>#N/A</v>
      </c>
      <c r="I171" s="140" t="e">
        <f t="shared" si="20"/>
        <v>#N/A</v>
      </c>
      <c r="J171" s="140"/>
      <c r="M171" s="22" t="s">
        <v>76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39">
        <f t="shared" si="19"/>
        <v>0</v>
      </c>
      <c r="G172" s="139"/>
      <c r="H172" s="29" t="e">
        <f t="shared" si="16"/>
        <v>#N/A</v>
      </c>
      <c r="I172" s="140" t="e">
        <f t="shared" si="20"/>
        <v>#N/A</v>
      </c>
      <c r="J172" s="140"/>
      <c r="M172" s="22" t="s">
        <v>76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39">
        <f t="shared" si="19"/>
        <v>0</v>
      </c>
      <c r="G173" s="139"/>
      <c r="H173" s="29" t="e">
        <f t="shared" si="16"/>
        <v>#N/A</v>
      </c>
      <c r="I173" s="140" t="e">
        <f t="shared" si="20"/>
        <v>#N/A</v>
      </c>
      <c r="J173" s="140"/>
      <c r="M173" s="22" t="s">
        <v>76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39">
        <f t="shared" si="19"/>
        <v>0</v>
      </c>
      <c r="G174" s="139"/>
      <c r="H174" s="29" t="e">
        <f t="shared" si="16"/>
        <v>#N/A</v>
      </c>
      <c r="I174" s="140" t="e">
        <f t="shared" si="20"/>
        <v>#N/A</v>
      </c>
      <c r="J174" s="140"/>
      <c r="M174" s="22" t="s">
        <v>76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39">
        <f t="shared" si="19"/>
        <v>0</v>
      </c>
      <c r="G175" s="139"/>
      <c r="H175" s="29" t="e">
        <f t="shared" si="16"/>
        <v>#N/A</v>
      </c>
      <c r="I175" s="140" t="e">
        <f t="shared" si="20"/>
        <v>#N/A</v>
      </c>
      <c r="J175" s="140"/>
      <c r="M175" s="22" t="s">
        <v>76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39">
        <f t="shared" si="19"/>
        <v>0</v>
      </c>
      <c r="G176" s="139"/>
      <c r="H176" s="29" t="e">
        <f t="shared" si="16"/>
        <v>#N/A</v>
      </c>
      <c r="I176" s="140" t="e">
        <f t="shared" si="20"/>
        <v>#N/A</v>
      </c>
      <c r="J176" s="140"/>
      <c r="M176" s="22" t="s">
        <v>76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39">
        <f t="shared" si="19"/>
        <v>0</v>
      </c>
      <c r="G177" s="139"/>
      <c r="H177" s="29" t="e">
        <f t="shared" si="16"/>
        <v>#N/A</v>
      </c>
      <c r="I177" s="140" t="e">
        <f t="shared" si="20"/>
        <v>#N/A</v>
      </c>
      <c r="J177" s="140"/>
      <c r="M177" s="22" t="s">
        <v>76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39">
        <f t="shared" si="19"/>
        <v>0</v>
      </c>
      <c r="G178" s="139"/>
      <c r="H178" s="29" t="e">
        <f t="shared" si="16"/>
        <v>#N/A</v>
      </c>
      <c r="I178" s="140" t="e">
        <f t="shared" si="20"/>
        <v>#N/A</v>
      </c>
      <c r="J178" s="140"/>
      <c r="M178" s="22" t="s">
        <v>76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39">
        <f t="shared" si="19"/>
        <v>0</v>
      </c>
      <c r="G179" s="139"/>
      <c r="H179" s="29" t="e">
        <f t="shared" si="16"/>
        <v>#N/A</v>
      </c>
      <c r="I179" s="140" t="e">
        <f t="shared" si="20"/>
        <v>#N/A</v>
      </c>
      <c r="J179" s="140"/>
      <c r="M179" s="22" t="s">
        <v>76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39">
        <f t="shared" si="19"/>
        <v>0</v>
      </c>
      <c r="G180" s="139"/>
      <c r="H180" s="29" t="e">
        <f t="shared" si="16"/>
        <v>#N/A</v>
      </c>
      <c r="I180" s="140" t="e">
        <f t="shared" si="20"/>
        <v>#N/A</v>
      </c>
      <c r="J180" s="140"/>
      <c r="M180" s="22" t="s">
        <v>76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39">
        <f t="shared" si="19"/>
        <v>0</v>
      </c>
      <c r="G181" s="139"/>
      <c r="H181" s="29" t="e">
        <f t="shared" si="16"/>
        <v>#N/A</v>
      </c>
      <c r="I181" s="140" t="e">
        <f t="shared" si="20"/>
        <v>#N/A</v>
      </c>
      <c r="J181" s="140"/>
      <c r="M181" s="22" t="s">
        <v>76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39">
        <f t="shared" si="19"/>
        <v>0</v>
      </c>
      <c r="G182" s="139"/>
      <c r="H182" s="29" t="e">
        <f t="shared" si="16"/>
        <v>#N/A</v>
      </c>
      <c r="I182" s="140" t="e">
        <f t="shared" si="20"/>
        <v>#N/A</v>
      </c>
      <c r="J182" s="140"/>
      <c r="M182" s="22" t="s">
        <v>76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39">
        <f t="shared" si="19"/>
        <v>0</v>
      </c>
      <c r="G183" s="139"/>
      <c r="H183" s="29" t="e">
        <f t="shared" si="16"/>
        <v>#N/A</v>
      </c>
      <c r="I183" s="140" t="e">
        <f t="shared" si="20"/>
        <v>#N/A</v>
      </c>
      <c r="J183" s="140"/>
      <c r="M183" s="22" t="s">
        <v>76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39">
        <f t="shared" si="19"/>
        <v>0</v>
      </c>
      <c r="G184" s="139"/>
      <c r="H184" s="29" t="e">
        <f t="shared" si="16"/>
        <v>#N/A</v>
      </c>
      <c r="I184" s="140" t="e">
        <f t="shared" si="20"/>
        <v>#N/A</v>
      </c>
      <c r="J184" s="140"/>
      <c r="M184" s="22" t="s">
        <v>76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39">
        <f t="shared" si="19"/>
        <v>0</v>
      </c>
      <c r="G185" s="139"/>
      <c r="H185" s="29" t="e">
        <f t="shared" si="16"/>
        <v>#N/A</v>
      </c>
      <c r="I185" s="140" t="e">
        <f t="shared" si="20"/>
        <v>#N/A</v>
      </c>
      <c r="J185" s="140"/>
      <c r="M185" s="22" t="s">
        <v>76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39">
        <f t="shared" si="19"/>
        <v>0</v>
      </c>
      <c r="G186" s="139"/>
      <c r="H186" s="29" t="e">
        <f t="shared" si="16"/>
        <v>#N/A</v>
      </c>
      <c r="I186" s="140" t="e">
        <f t="shared" si="20"/>
        <v>#N/A</v>
      </c>
      <c r="J186" s="140"/>
      <c r="M186" s="22" t="s">
        <v>76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39">
        <f t="shared" si="19"/>
        <v>0</v>
      </c>
      <c r="G187" s="139"/>
      <c r="H187" s="29" t="e">
        <f t="shared" si="16"/>
        <v>#N/A</v>
      </c>
      <c r="I187" s="140" t="e">
        <f t="shared" si="20"/>
        <v>#N/A</v>
      </c>
      <c r="J187" s="140"/>
      <c r="M187" s="22" t="s">
        <v>76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41" t="s">
        <v>73</v>
      </c>
      <c r="B190" s="141"/>
      <c r="C190" s="141"/>
      <c r="D190" s="141"/>
      <c r="E190" s="27">
        <f>SUM(F158:G187)</f>
        <v>109695</v>
      </c>
    </row>
    <row r="191" spans="1:14" ht="51.75" customHeight="1">
      <c r="A191" s="141" t="s">
        <v>74</v>
      </c>
      <c r="B191" s="141"/>
      <c r="C191" s="141"/>
      <c r="D191" s="141"/>
      <c r="E191" s="27">
        <f>E190+E154-E155</f>
        <v>-298764.48</v>
      </c>
    </row>
    <row r="192" spans="1:14">
      <c r="A192" s="106" t="s">
        <v>182</v>
      </c>
    </row>
    <row r="193" spans="1:10" ht="62.25" customHeight="1">
      <c r="A193" s="166" t="s">
        <v>78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50">
        <f>ПТО!G12</f>
        <v>1200</v>
      </c>
      <c r="I194" s="51" t="s">
        <v>80</v>
      </c>
    </row>
    <row r="195" spans="1:10" ht="18.75" customHeight="1">
      <c r="A195" s="165" t="str">
        <f>ПТО!F13</f>
        <v xml:space="preserve">  -  техническое освидетельствование лифта</v>
      </c>
      <c r="B195" s="165"/>
      <c r="C195" s="165"/>
      <c r="D195" s="165"/>
      <c r="E195" s="165"/>
      <c r="F195" s="165"/>
      <c r="G195" s="165"/>
      <c r="H195" s="50">
        <f>ПТО!G13</f>
        <v>8100</v>
      </c>
      <c r="I195" s="51" t="s">
        <v>80</v>
      </c>
    </row>
    <row r="196" spans="1:10" ht="18.75" customHeight="1">
      <c r="A196" s="165" t="str">
        <f>ПТО!F14</f>
        <v xml:space="preserve">  -  обслуживание ТП и кабельных линий</v>
      </c>
      <c r="B196" s="165"/>
      <c r="C196" s="165"/>
      <c r="D196" s="165"/>
      <c r="E196" s="165"/>
      <c r="F196" s="165"/>
      <c r="G196" s="165"/>
      <c r="H196" s="50">
        <f>ПТО!G14</f>
        <v>15000</v>
      </c>
      <c r="I196" s="51" t="s">
        <v>80</v>
      </c>
    </row>
    <row r="197" spans="1:10" ht="18.75" customHeight="1">
      <c r="A197" s="165" t="str">
        <f>ПТО!F15</f>
        <v xml:space="preserve">  -  передача бесхозных эл. сети и ТП</v>
      </c>
      <c r="B197" s="165"/>
      <c r="C197" s="165"/>
      <c r="D197" s="165"/>
      <c r="E197" s="165"/>
      <c r="F197" s="165"/>
      <c r="G197" s="165"/>
      <c r="H197" s="50">
        <f>ПТО!G15</f>
        <v>12000</v>
      </c>
      <c r="I197" s="51" t="s">
        <v>80</v>
      </c>
    </row>
    <row r="198" spans="1:10" ht="18.75" customHeight="1">
      <c r="A198" s="165" t="str">
        <f>ПТО!F16</f>
        <v xml:space="preserve">  -  техническое обслуживание охранной сигнализации</v>
      </c>
      <c r="B198" s="165"/>
      <c r="C198" s="165"/>
      <c r="D198" s="165"/>
      <c r="E198" s="165"/>
      <c r="F198" s="165"/>
      <c r="G198" s="165"/>
      <c r="H198" s="50">
        <f>ПТО!G16</f>
        <v>6000</v>
      </c>
      <c r="I198" s="53" t="s">
        <v>80</v>
      </c>
    </row>
    <row r="199" spans="1:10" ht="18.75" customHeight="1">
      <c r="A199" s="165" t="str">
        <f>ПТО!F17</f>
        <v xml:space="preserve">  -  изготовление и монтаж козырька</v>
      </c>
      <c r="B199" s="165"/>
      <c r="C199" s="165"/>
      <c r="D199" s="165"/>
      <c r="E199" s="165"/>
      <c r="F199" s="165"/>
      <c r="G199" s="165"/>
      <c r="H199" s="50">
        <f>ПТО!G17</f>
        <v>50000</v>
      </c>
      <c r="I199" s="51" t="s">
        <v>80</v>
      </c>
    </row>
    <row r="200" spans="1:10">
      <c r="A200" s="165" t="str">
        <f>ПТО!F18</f>
        <v xml:space="preserve">  -  перенос водостока</v>
      </c>
      <c r="B200" s="165"/>
      <c r="C200" s="165"/>
      <c r="D200" s="165"/>
      <c r="E200" s="165"/>
      <c r="F200" s="165"/>
      <c r="G200" s="165"/>
      <c r="H200" s="50">
        <f>ПТО!G18</f>
        <v>18000</v>
      </c>
      <c r="I200" s="51" t="s">
        <v>80</v>
      </c>
    </row>
    <row r="201" spans="1:10" hidden="1">
      <c r="A201" s="165">
        <f>ПТО!F19</f>
        <v>0</v>
      </c>
      <c r="B201" s="165"/>
      <c r="C201" s="165"/>
      <c r="D201" s="165"/>
      <c r="E201" s="165"/>
      <c r="F201" s="165"/>
      <c r="G201" s="165"/>
      <c r="H201" s="50">
        <f>ПТО!G19</f>
        <v>0</v>
      </c>
      <c r="I201" s="51" t="s">
        <v>80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50">
        <f>ПТО!G20</f>
        <v>0</v>
      </c>
      <c r="I202" s="51" t="s">
        <v>80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50">
        <f>ПТО!G21</f>
        <v>0</v>
      </c>
      <c r="I203" s="51" t="s">
        <v>80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50">
        <f>ПТО!G22</f>
        <v>0</v>
      </c>
      <c r="I204" s="51" t="s">
        <v>80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50">
        <f>ПТО!G23</f>
        <v>0</v>
      </c>
      <c r="I205" s="51" t="s">
        <v>80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50">
        <f>ПТО!G24</f>
        <v>0</v>
      </c>
      <c r="I206" s="51" t="s">
        <v>80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50">
        <f>ПТО!G25</f>
        <v>0</v>
      </c>
      <c r="I207" s="51" t="s">
        <v>80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50">
        <f>ПТО!G26</f>
        <v>0</v>
      </c>
      <c r="I208" s="51" t="s">
        <v>80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50">
        <f>ПТО!G27</f>
        <v>0</v>
      </c>
      <c r="I209" s="51" t="s">
        <v>80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50">
        <f>ПТО!G28</f>
        <v>0</v>
      </c>
      <c r="I210" s="51" t="s">
        <v>80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50">
        <f>ПТО!G29</f>
        <v>0</v>
      </c>
      <c r="I211" s="51" t="s">
        <v>80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50">
        <f>ПТО!G30</f>
        <v>0</v>
      </c>
      <c r="I212" s="51" t="s">
        <v>80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110300</v>
      </c>
      <c r="I214" s="57" t="s">
        <v>85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D35" sqref="D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-228609.48</f>
        <v>-228609.48</v>
      </c>
    </row>
    <row r="2" spans="1:12" ht="18.75" customHeight="1">
      <c r="A2" s="135" t="s">
        <v>186</v>
      </c>
      <c r="B2" s="121" t="s">
        <v>189</v>
      </c>
      <c r="C2" s="122">
        <v>12</v>
      </c>
      <c r="D2" s="128">
        <v>6000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77</v>
      </c>
      <c r="B3" s="121" t="s">
        <v>190</v>
      </c>
      <c r="C3" s="123">
        <v>1</v>
      </c>
      <c r="D3" s="129">
        <v>8100</v>
      </c>
      <c r="F3" s="30"/>
      <c r="G3" s="30"/>
      <c r="L3" s="33" t="str">
        <f t="shared" si="0"/>
        <v>ТР</v>
      </c>
    </row>
    <row r="4" spans="1:12" ht="18.75" customHeight="1">
      <c r="A4" s="127" t="s">
        <v>187</v>
      </c>
      <c r="B4" s="123" t="s">
        <v>191</v>
      </c>
      <c r="C4" s="126">
        <v>1</v>
      </c>
      <c r="D4" s="124">
        <v>700</v>
      </c>
      <c r="E4" s="136" t="s">
        <v>200</v>
      </c>
      <c r="F4" s="30"/>
      <c r="G4" s="30"/>
      <c r="L4" s="33" t="str">
        <f t="shared" si="0"/>
        <v>ТР</v>
      </c>
    </row>
    <row r="5" spans="1:12" ht="18.75" customHeight="1">
      <c r="A5" s="127" t="s">
        <v>188</v>
      </c>
      <c r="B5" s="123" t="s">
        <v>191</v>
      </c>
      <c r="C5" s="126">
        <v>1</v>
      </c>
      <c r="D5" s="124">
        <v>89341</v>
      </c>
      <c r="E5" s="125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194</v>
      </c>
      <c r="B6" s="137" t="s">
        <v>191</v>
      </c>
      <c r="C6" s="43">
        <v>1</v>
      </c>
      <c r="D6" s="47">
        <v>1770</v>
      </c>
      <c r="E6" s="136" t="s">
        <v>201</v>
      </c>
      <c r="F6" s="45"/>
      <c r="G6" s="45"/>
      <c r="K6" s="47"/>
      <c r="L6" s="33" t="str">
        <f t="shared" si="0"/>
        <v>ТР</v>
      </c>
    </row>
    <row r="7" spans="1:12" ht="18.75" customHeight="1">
      <c r="A7" s="132" t="s">
        <v>195</v>
      </c>
      <c r="B7" s="133" t="s">
        <v>191</v>
      </c>
      <c r="C7" s="134">
        <v>1</v>
      </c>
      <c r="D7" s="131">
        <v>3784</v>
      </c>
      <c r="E7" s="130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5">
        <v>15000</v>
      </c>
      <c r="L14" s="33">
        <f t="shared" si="0"/>
        <v>0</v>
      </c>
    </row>
    <row r="15" spans="1:12" ht="15.75">
      <c r="A15" s="30"/>
      <c r="F15" s="114" t="s">
        <v>83</v>
      </c>
      <c r="G15" s="115">
        <v>12000</v>
      </c>
      <c r="L15" s="33">
        <f t="shared" si="0"/>
        <v>0</v>
      </c>
    </row>
    <row r="16" spans="1:12" ht="31.5">
      <c r="A16" s="30"/>
      <c r="F16" s="114" t="s">
        <v>197</v>
      </c>
      <c r="G16" s="116">
        <v>6000</v>
      </c>
      <c r="L16" s="33">
        <f t="shared" si="0"/>
        <v>0</v>
      </c>
    </row>
    <row r="17" spans="1:12" ht="15.75">
      <c r="A17" s="30"/>
      <c r="F17" s="114" t="s">
        <v>198</v>
      </c>
      <c r="G17" s="115">
        <v>50000</v>
      </c>
      <c r="L17" s="33">
        <f t="shared" si="0"/>
        <v>0</v>
      </c>
    </row>
    <row r="18" spans="1:12" ht="15.75">
      <c r="A18" s="30"/>
      <c r="F18" s="114" t="s">
        <v>199</v>
      </c>
      <c r="G18" s="115">
        <v>18000</v>
      </c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120">
        <v>229128.96000000002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229128.96000000002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20">
        <v>75537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75537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0">
        <v>43164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0">
        <v>14388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14388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20">
        <v>93522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93522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183</v>
      </c>
      <c r="B46" s="120">
        <v>67623.600000000006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67623.600000000006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202</v>
      </c>
      <c r="B47" s="31">
        <v>179850</v>
      </c>
      <c r="C47" s="38" t="s">
        <v>68</v>
      </c>
      <c r="D47" s="49">
        <v>12</v>
      </c>
      <c r="L47" s="40" t="str">
        <f t="shared" si="2"/>
        <v>СОД</v>
      </c>
      <c r="M47" t="str">
        <f t="shared" si="3"/>
        <v xml:space="preserve">Услуги и работы по управлению </v>
      </c>
      <c r="N47" s="41">
        <f t="shared" si="4"/>
        <v>179850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kFQCnt3O55yd785kt8/Pb4pj8tir97IVkCD0O4qPwayCY/UGDYoIedn+6jBYaGdBxpG9adKoysm1LQksEopsAA==" saltValue="pqluaZvpAhHngszwV74B5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193</v>
      </c>
      <c r="F1" s="61">
        <v>2997.5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140802.06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905381.21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540519.24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F1*5*12</f>
        <v>179850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185011.97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920952.95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920952.95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920952.95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125230.32000000007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9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9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9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9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8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8"/>
      <c r="N26" s="64"/>
    </row>
    <row r="27" spans="1:15" ht="18.75" customHeight="1">
      <c r="A27" s="71" t="s">
        <v>113</v>
      </c>
      <c r="B27" s="76" t="s">
        <v>4</v>
      </c>
      <c r="C27" s="87">
        <v>340126.94</v>
      </c>
      <c r="D27" s="82" t="s">
        <v>60</v>
      </c>
      <c r="E27" s="65"/>
      <c r="F27" s="65"/>
      <c r="G27" s="65"/>
      <c r="H27" s="65"/>
      <c r="I27" s="65"/>
      <c r="J27" s="65"/>
      <c r="M27" s="168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8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8"/>
      <c r="N29" s="64"/>
    </row>
    <row r="30" spans="1:15" ht="18.75" customHeight="1">
      <c r="A30" s="71" t="s">
        <v>116</v>
      </c>
      <c r="B30" s="76" t="s">
        <v>18</v>
      </c>
      <c r="C30" s="87">
        <v>320393.64</v>
      </c>
      <c r="D30" s="82" t="s">
        <v>66</v>
      </c>
      <c r="E30" s="65"/>
      <c r="F30" s="65"/>
      <c r="G30" s="65"/>
      <c r="H30" s="65"/>
      <c r="I30" s="65"/>
      <c r="J30" s="65"/>
      <c r="M30" s="168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8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8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8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8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38389.57</v>
      </c>
      <c r="F37" s="95" t="s">
        <v>175</v>
      </c>
      <c r="G37" s="67"/>
      <c r="H37" s="67"/>
      <c r="I37" s="67"/>
      <c r="L37" s="64"/>
      <c r="M37" s="167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35058.97</v>
      </c>
      <c r="D38" s="95" t="s">
        <v>173</v>
      </c>
      <c r="E38" s="69"/>
      <c r="G38" s="68"/>
      <c r="H38" s="68"/>
      <c r="L38" s="64"/>
      <c r="M38" s="167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36415.71</v>
      </c>
      <c r="D39" s="95" t="s">
        <v>174</v>
      </c>
      <c r="E39" s="69"/>
      <c r="G39" s="68"/>
      <c r="H39" s="68"/>
      <c r="L39" s="64"/>
      <c r="M39" s="167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1973.8600000000006</v>
      </c>
      <c r="D40" s="81" t="s">
        <v>59</v>
      </c>
      <c r="E40" s="69"/>
      <c r="G40" s="68"/>
      <c r="H40" s="68"/>
      <c r="L40" s="64"/>
      <c r="M40" s="167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38389.57</v>
      </c>
      <c r="D41" s="81" t="s">
        <v>59</v>
      </c>
      <c r="E41" s="69"/>
      <c r="G41" s="68"/>
      <c r="H41" s="68"/>
      <c r="L41" s="64"/>
      <c r="M41" s="167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38389.57</v>
      </c>
      <c r="D42" s="81" t="s">
        <v>59</v>
      </c>
      <c r="E42" s="69"/>
      <c r="G42" s="68"/>
      <c r="H42" s="68"/>
      <c r="L42" s="64"/>
      <c r="M42" s="167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7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7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50351.360000000001</v>
      </c>
      <c r="F45" s="95" t="s">
        <v>175</v>
      </c>
      <c r="G45" s="67"/>
      <c r="H45" s="67"/>
      <c r="L45" s="64"/>
      <c r="M45" s="167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3615.9</v>
      </c>
      <c r="D46" s="95" t="s">
        <v>176</v>
      </c>
      <c r="E46" s="69"/>
      <c r="G46" s="68"/>
      <c r="H46" s="68"/>
      <c r="L46" s="64"/>
      <c r="M46" s="167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53244.77</v>
      </c>
      <c r="D47" s="95" t="s">
        <v>174</v>
      </c>
      <c r="E47" s="69"/>
      <c r="G47" s="68"/>
      <c r="H47" s="68"/>
      <c r="L47" s="64"/>
      <c r="M47" s="167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7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50351.360000000001</v>
      </c>
      <c r="D49" s="81" t="s">
        <v>59</v>
      </c>
      <c r="E49" s="69"/>
      <c r="G49" s="68"/>
      <c r="H49" s="68"/>
      <c r="L49" s="64"/>
      <c r="M49" s="167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50351.360000000001</v>
      </c>
      <c r="D50" s="81" t="s">
        <v>59</v>
      </c>
      <c r="E50" s="69"/>
      <c r="G50" s="68"/>
      <c r="H50" s="68"/>
      <c r="L50" s="64"/>
      <c r="M50" s="167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7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7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86970.86</v>
      </c>
      <c r="F53" s="95" t="s">
        <v>175</v>
      </c>
      <c r="G53" s="67"/>
      <c r="H53" s="67"/>
      <c r="L53" s="64"/>
      <c r="M53" s="167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5829.15</v>
      </c>
      <c r="D54" s="95" t="s">
        <v>176</v>
      </c>
      <c r="E54" s="70"/>
      <c r="F54" s="90"/>
      <c r="G54" s="65"/>
      <c r="H54" s="65"/>
      <c r="L54" s="64"/>
      <c r="M54" s="167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92588.84</v>
      </c>
      <c r="D55" s="95" t="s">
        <v>174</v>
      </c>
      <c r="E55" s="70"/>
      <c r="G55" s="65"/>
      <c r="H55" s="65"/>
      <c r="L55" s="64"/>
      <c r="M55" s="167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7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86970.86</v>
      </c>
      <c r="D57" s="81" t="s">
        <v>59</v>
      </c>
      <c r="E57" s="70"/>
      <c r="G57" s="65"/>
      <c r="H57" s="65"/>
      <c r="L57" s="64"/>
      <c r="M57" s="167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86970.86</v>
      </c>
      <c r="D58" s="81" t="s">
        <v>59</v>
      </c>
      <c r="E58" s="70"/>
      <c r="G58" s="65"/>
      <c r="H58" s="65"/>
      <c r="L58" s="64"/>
      <c r="M58" s="167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7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7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138462.97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256.26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109731.6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28731.369999999995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138462.97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138462.97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224995.98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16157.7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230032.81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224995.98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224995.98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 t="str">
        <f>IF(E77&gt;0,"Предоставляется",0)</f>
        <v>Предоставляется</v>
      </c>
      <c r="D77" s="97" t="s">
        <v>89</v>
      </c>
      <c r="E77" s="96">
        <v>604218.15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442.29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641108.46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604218.15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604218.15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10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458353.64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2020-03-19T01:43:00Z</dcterms:modified>
</cp:coreProperties>
</file>