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workbookProtection workbookAlgorithmName="SHA-512" workbookHashValue="eBsumwv0Mbb1F+P7fbByG5ufeklOdsCk0MYYjPCB1TPgTbBTKXs0wLyuwxTktJTXBWrWxm8OnVXnkQfnxdHaXQ==" workbookSaltValue="ZgFBwWq5oBVJ/0ef5vMUIg==" workbookSpinCount="100000" lockStructure="1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2" i="1" l="1"/>
  <c r="A118" i="1"/>
  <c r="A113" i="1"/>
  <c r="A114" i="1"/>
  <c r="D110" i="1"/>
  <c r="A116" i="1"/>
  <c r="F110" i="1"/>
  <c r="A117" i="1"/>
  <c r="D118" i="1"/>
  <c r="A120" i="1"/>
  <c r="A124" i="1"/>
  <c r="A110" i="1"/>
  <c r="A111" i="1"/>
  <c r="F118" i="1"/>
  <c r="A121" i="1"/>
  <c r="A125" i="1"/>
  <c r="A141" i="1"/>
  <c r="F134" i="1"/>
  <c r="A137" i="1"/>
  <c r="A106" i="1"/>
  <c r="A138" i="1"/>
  <c r="A103" i="1"/>
  <c r="A107" i="1"/>
  <c r="A134" i="1"/>
  <c r="A135" i="1"/>
  <c r="A139" i="1"/>
  <c r="A102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<sst xmlns="http://schemas.openxmlformats.org/spreadsheetml/2006/main" count="555" uniqueCount="204">
  <si>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</si>
  <si>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</si>
  <si>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</si>
  <si>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</si>
  <si>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</si>
  <si>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</si>
  <si>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</si>
  <si>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</si>
  <si>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</si>
  <si>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</si>
  <si>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</si>
  <si>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</si>
  <si>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</si>
  <si>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</si>
  <si>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</si>
  <si>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</si>
  <si>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</si>
  <si>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</si>
  <si>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</si>
  <si>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</si>
  <si>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</si>
  <si>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</si>
  <si>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</si>
  <si>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</si>
  <si>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</si>
  <si>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</si>
  <si>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</si>
  <si>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</si>
  <si>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</si>
  <si>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</si>
  <si>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</si>
  <si>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</si>
  <si>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</si>
  <si>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</si>
  <si>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</si>
  <si>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</si>
  <si>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</si>
  <si>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</si>
  <si>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</si>
  <si>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</si>
  <si>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</si>
  <si>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</si>
  <si>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</si>
  <si>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</si>
  <si>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</si>
  <si>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</si>
  <si>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</si>
  <si>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</si>
  <si>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</si>
  <si>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</si>
  <si>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</si>
  <si>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</si>
  <si>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</si>
  <si>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</si>
  <si>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</si>
  <si>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</si>
  <si>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</si>
  <si>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</si>
  <si>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</si>
  <si>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</si>
  <si>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</si>
  <si>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</si>
  <si>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</si>
  <si>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</si>
  <si>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</si>
  <si>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</si>
  <si>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</si>
  <si>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</si>
  <si>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</si>
  <si>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</si>
  <si>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</si>
  <si>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</si>
  <si>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</si>
  <si>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</si>
  <si>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</si>
  <si>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</si>
  <si>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</si>
  <si>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</si>
  <si>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</si>
  <si>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</si>
  <si>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</si>
  <si>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</si>
  <si>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</si>
  <si>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</si>
  <si>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</si>
  <si>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</si>
  <si>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</si>
  <si>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</si>
  <si>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</si>
  <si>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</si>
  <si>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</si>
  <si>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</si>
  <si>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</si>
  <si>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</si>
  <si>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</si>
  <si>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</si>
  <si>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</si>
  <si>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</si>
  <si>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</si>
  <si>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</si>
  <si>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</si>
  <si>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</si>
  <si>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</si>
  <si>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</si>
  <si>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</si>
  <si>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</si>
  <si>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</si>
  <si>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</si>
  <si>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</si>
  <si>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</si>
  <si>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</si>
  <si>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</si>
  <si>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</si>
  <si>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</si>
  <si>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</si>
  <si>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</si>
  <si>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</si>
  <si>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</si>
  <si>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</si>
  <si>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</si>
  <si>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</si>
  <si>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</si>
  <si>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</si>
  <si>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</si>
  <si>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</si>
  <si>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</si>
  <si>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</si>
  <si>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</si>
  <si>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</si>
  <si>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</si>
  <si>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</si>
  <si>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</si>
  <si>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</si>
  <si>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</si>
  <si>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</si>
  <si>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</si>
  <si>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</si>
  <si>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</si>
  <si>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</si>
  <si>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</si>
  <si>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</si>
  <si>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</si>
  <si>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</si>
  <si>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</si>
  <si>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</si>
  <si>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</si>
  <si>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</si>
  <si>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</si>
  <si>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</si>
  <si>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</si>
  <si>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</si>
  <si>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</si>
  <si>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</si>
  <si>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</si>
  <si>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</si>
  <si>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</si>
  <si>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</si>
  <si>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</si>
  <si>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</si>
  <si>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</si>
  <si>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</si>
  <si>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</si>
  <si>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</si>
  <si>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</si>
  <si>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</si>
  <si>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</si>
  <si>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</si>
  <si>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</si>
  <si>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</si>
  <si>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</si>
  <si>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</si>
  <si>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</si>
  <si>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</si>
  <si>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</si>
  <si>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</si>
  <si>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</si>
  <si>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12/5</t>
  </si>
  <si>
    <t>Техническое обслуживание охранной сигнализации.</t>
  </si>
  <si>
    <t>Вывоз снега с придомовой территории.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</si>
  <si>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</si>
  <si>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</si>
  <si>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</si>
  <si>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</si>
  <si>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Юрия Тена, 12/5 в части текущего ремонта</t>
  </si>
  <si>
    <t>Начислено за  текущий ремонт в 2018 году (руб.):</t>
  </si>
  <si>
    <t>Перерасход (+) или экономия 
(-) средств в 2017 году (руб.)</t>
  </si>
  <si>
    <t>Итого выполнено работ в 2018 года (руб.):</t>
  </si>
  <si>
    <t>Перерасход (+) или экономия 
(-) средств по состоянию на 31 декабря 2018 года (руб.):</t>
  </si>
  <si>
    <t>В 2019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</si>
  <si>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- техническое освидетельствование лифта</t>
  </si>
  <si>
    <t xml:space="preserve"> - тех. обслуживание охранной сигнализации</t>
  </si>
  <si>
    <t xml:space="preserve"> - поверка (замена) манометров и термометров</t>
  </si>
  <si>
    <t xml:space="preserve"> - работы по выбору (решению) общего собрания или совета дома</t>
  </si>
  <si>
    <t>Приобретение и замена видеорегистратора.</t>
  </si>
  <si>
    <t>Монтаж системы видеонаблюдения в лифт.</t>
  </si>
  <si>
    <t>Ремонт трансформатора (ТОЛ 1А 06 кВа лифтовое оборудование).</t>
  </si>
  <si>
    <t>Изготовление и монтаж ограждения газона.</t>
  </si>
  <si>
    <t>Ремонт уличного освещения.</t>
  </si>
  <si>
    <t>АВР от 10.05.2018, Смета</t>
  </si>
  <si>
    <t>АВР от 10.05.2018, Решение, смета, Счет №61 от 24.04.2018</t>
  </si>
  <si>
    <t>АВР от 18.07.2018</t>
  </si>
  <si>
    <t>АВР от 14.09.2018, договор</t>
  </si>
  <si>
    <t>АВР от 26.10.2018</t>
  </si>
  <si>
    <t>АВР от 18.01.2018, АВР от 05.03.2018, Счет №7 от 06.03.2018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</si>
</sst>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7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2" fillId="0" borderId="0"/>
    <xf numFmtId="0" fontId="1" fillId="0" borderId="0"/>
  </cellStyleXfs>
  <cellXfs count="173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0" fontId="2" fillId="0" borderId="0" xfId="5" applyFill="1" applyBorder="1" applyAlignment="1">
      <alignment horizontal="center"/>
    </xf>
    <xf numFmtId="4" fontId="2" fillId="0" borderId="0" xfId="5" applyNumberFormat="1" applyFill="1" applyBorder="1" applyAlignment="1"/>
    <xf numFmtId="0" fontId="2" fillId="0" borderId="0" xfId="5" applyBorder="1" applyAlignment="1">
      <alignment horizontal="center"/>
    </xf>
    <xf numFmtId="0" fontId="1" fillId="0" borderId="0" xfId="2" applyFont="1" applyFill="1" applyBorder="1" applyAlignment="1"/>
    <xf numFmtId="0" fontId="1" fillId="0" borderId="0" xfId="6" applyFill="1"/>
    <xf numFmtId="0" fontId="0" fillId="0" borderId="0" xfId="0" applyFill="1" applyBorder="1" applyAlignment="1">
      <alignment horizontal="left"/>
    </xf>
    <xf numFmtId="4" fontId="0" fillId="0" borderId="0" xfId="0" applyNumberFormat="1" applyAlignment="1">
      <alignment horizontal="right"/>
    </xf>
    <xf numFmtId="0" fontId="16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vertical="center" wrapText="1"/>
    </xf>
    <xf numFmtId="0" fontId="16" fillId="0" borderId="6" xfId="0" applyFont="1" applyFill="1" applyBorder="1" applyAlignment="1"/>
    <xf numFmtId="0" fontId="16" fillId="0" borderId="0" xfId="0" applyFont="1" applyFill="1" applyBorder="1" applyAlignment="1">
      <alignment wrapText="1"/>
    </xf>
    <xf numFmtId="0" fontId="0" fillId="0" borderId="7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16" fillId="0" borderId="0" xfId="0" applyNumberFormat="1" applyFont="1" applyFill="1" applyBorder="1" applyAlignment="1">
      <alignment horizontal="center"/>
    </xf>
    <xf numFmtId="0" fontId="0" fillId="0" borderId="7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4" fontId="16" fillId="0" borderId="6" xfId="0" applyNumberFormat="1" applyFont="1" applyFill="1" applyBorder="1" applyAlignment="1"/>
    <xf numFmtId="4" fontId="0" fillId="0" borderId="6" xfId="0" applyNumberFormat="1" applyBorder="1" applyAlignment="1"/>
    <xf numFmtId="4" fontId="0" fillId="0" borderId="6" xfId="0" applyNumberFormat="1" applyFill="1" applyBorder="1" applyAlignment="1">
      <alignment vertical="center"/>
    </xf>
    <xf numFmtId="4" fontId="0" fillId="0" borderId="6" xfId="0" applyNumberFormat="1" applyFill="1" applyBorder="1" applyAlignment="1"/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8" fillId="3" borderId="1" xfId="0" applyFont="1" applyFill="1" applyBorder="1" applyAlignment="1">
      <alignment horizontal="left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8" fillId="0" borderId="1" xfId="1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11" zoomScaleNormal="100" zoomScaleSheetLayoutView="100" workbookViewId="0">
      <selection activeCell="H6" sqref="H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3" t="s">
        <v>176</v>
      </c>
      <c r="B2" s="163"/>
      <c r="C2" s="163"/>
      <c r="D2" s="163"/>
      <c r="E2" s="163"/>
      <c r="F2" s="163"/>
      <c r="G2" s="163"/>
      <c r="H2" s="163"/>
      <c r="I2" s="163"/>
      <c r="J2" s="16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43101</v>
      </c>
      <c r="K4" s="109"/>
      <c r="L4" s="109"/>
      <c r="M4" s="109"/>
      <c r="N4" s="109"/>
    </row>
    <row r="5" spans="1:18">
      <c r="A5" s="1" t="s">
        <v>1</v>
      </c>
      <c r="E5" s="116">
        <v>43465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09"/>
      <c r="L8" s="164"/>
      <c r="M8" s="109"/>
      <c r="N8" s="109"/>
      <c r="O8" s="70" t="s">
        <v>81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09"/>
      <c r="L9" s="164"/>
      <c r="M9" s="109"/>
      <c r="N9" s="109"/>
      <c r="O9" s="70" t="s">
        <v>82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235603.15</v>
      </c>
      <c r="K10" s="109"/>
      <c r="L10" s="164"/>
      <c r="M10" s="109"/>
      <c r="N10" s="109"/>
      <c r="O10" s="70" t="s">
        <v>83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670747.35</v>
      </c>
      <c r="K11" s="109"/>
      <c r="L11" s="164"/>
      <c r="M11" s="109"/>
      <c r="N11" s="109"/>
      <c r="O11" s="70" t="s">
        <v>84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555225.75</v>
      </c>
      <c r="K12" s="109"/>
      <c r="L12" s="164"/>
      <c r="M12" s="109"/>
      <c r="N12" s="109"/>
      <c r="O12" s="70" t="s">
        <v>85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115521.60000000001</v>
      </c>
      <c r="K13" s="109"/>
      <c r="L13" s="164"/>
      <c r="M13" s="109"/>
      <c r="N13" s="109"/>
      <c r="O13" s="70" t="s">
        <v>86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09"/>
      <c r="L14" s="164"/>
      <c r="M14" s="109"/>
      <c r="N14" s="109"/>
      <c r="O14" s="70" t="s">
        <v>87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706838.48</v>
      </c>
      <c r="K15" s="109"/>
      <c r="L15" s="164"/>
      <c r="M15" s="109"/>
      <c r="N15" s="109"/>
      <c r="O15" s="70" t="s">
        <v>88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706838.48</v>
      </c>
      <c r="K16" s="109"/>
      <c r="L16" s="164"/>
      <c r="M16" s="109"/>
      <c r="N16" s="109"/>
      <c r="O16" s="70" t="s">
        <v>89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09"/>
      <c r="L17" s="164"/>
      <c r="M17" s="109"/>
      <c r="N17" s="109"/>
      <c r="O17" s="70" t="s">
        <v>90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09"/>
      <c r="L18" s="164"/>
      <c r="M18" s="109"/>
      <c r="N18" s="109"/>
      <c r="O18" s="70" t="s">
        <v>91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09"/>
      <c r="L19" s="164"/>
      <c r="M19" s="109"/>
      <c r="N19" s="109"/>
      <c r="O19" s="70" t="s">
        <v>92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09"/>
      <c r="L20" s="164"/>
      <c r="M20" s="109"/>
      <c r="N20" s="109"/>
      <c r="O20" s="70" t="s">
        <v>93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706838.48</v>
      </c>
      <c r="K21" s="109"/>
      <c r="L21" s="164"/>
      <c r="M21" s="109"/>
      <c r="N21" s="109"/>
      <c r="O21" s="70" t="s">
        <v>94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09"/>
      <c r="L22" s="164"/>
      <c r="M22" s="109"/>
      <c r="N22" s="109"/>
      <c r="O22" s="70" t="s">
        <v>95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09"/>
      <c r="L23" s="164"/>
      <c r="M23" s="109"/>
      <c r="N23" s="109"/>
      <c r="O23" s="70" t="s">
        <v>96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199512.02000000002</v>
      </c>
      <c r="K24" s="109"/>
      <c r="L24" s="16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09"/>
      <c r="L27" s="16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134650.4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09"/>
      <c r="L28" s="16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2">
        <f>VLOOKUP(A29,ПТО!$A$39:$D$53,2,FALSE)</f>
        <v>54004.08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09"/>
      <c r="L29" s="16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75085.919999999998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09"/>
      <c r="L30" s="16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34077.480000000003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09"/>
      <c r="L31" s="16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09"/>
      <c r="L32" s="16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12129.24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09"/>
      <c r="L33" s="16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106853.04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09"/>
      <c r="L34" s="16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1" t="str">
        <f>ПТО!A46</f>
        <v>Работы (услуги) по управлению многоквартирным домом</v>
      </c>
      <c r="B35" s="141"/>
      <c r="C35" s="141"/>
      <c r="D35" s="141"/>
      <c r="E35" s="141"/>
      <c r="F35" s="142">
        <f>VLOOKUP(A35,ПТО!$A$39:$D$53,2,FALSE)</f>
        <v>144396</v>
      </c>
      <c r="G35" s="142"/>
      <c r="H35" s="42" t="str">
        <f>VLOOKUP(A35,ПТО!$A$39:$D$53,3,FALSE)</f>
        <v>Ежемесячно</v>
      </c>
      <c r="I35" s="143">
        <f>VLOOKUP(A35,ПТО!$A$39:$D$53,4,FALSE)</f>
        <v>12</v>
      </c>
      <c r="J35" s="143"/>
      <c r="K35" s="109"/>
      <c r="L35" s="165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09"/>
      <c r="L36" s="165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09"/>
      <c r="L37" s="165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09"/>
      <c r="L38" s="16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09"/>
      <c r="L39" s="16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09"/>
      <c r="L40" s="16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09"/>
      <c r="L41" s="16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09"/>
      <c r="L42" s="16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Техническое освидетельствование лифта.</v>
      </c>
      <c r="B43" s="141"/>
      <c r="C43" s="141"/>
      <c r="D43" s="141"/>
      <c r="E43" s="141"/>
      <c r="F43" s="142">
        <f>VLOOKUP(A43,ПТО!$A$2:$D$31,4,FALSE)</f>
        <v>8100</v>
      </c>
      <c r="G43" s="142"/>
      <c r="H43" s="19" t="str">
        <f>VLOOKUP(A43,ПТО!$A$2:$D$31,2,FALSE)</f>
        <v>ежегодно</v>
      </c>
      <c r="I43" s="143">
        <f>VLOOKUP(A43,ПТО!$A$2:$D$31,3,FALSE)</f>
        <v>1</v>
      </c>
      <c r="J43" s="143"/>
      <c r="K43" s="109"/>
      <c r="L43" s="165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1" t="str">
        <f>ПТО!A3</f>
        <v>Техническое обслуживание охранной сигнализации.</v>
      </c>
      <c r="B44" s="141"/>
      <c r="C44" s="141"/>
      <c r="D44" s="141"/>
      <c r="E44" s="141"/>
      <c r="F44" s="142">
        <f>VLOOKUP(A44,ПТО!$A$2:$D$31,4,FALSE)</f>
        <v>18000</v>
      </c>
      <c r="G44" s="142"/>
      <c r="H44" s="25" t="str">
        <f>VLOOKUP(A44,ПТО!$A$2:$D$31,2,FALSE)</f>
        <v>ежемесячно</v>
      </c>
      <c r="I44" s="143">
        <f>VLOOKUP(A44,ПТО!$A$2:$D$31,3,FALSE)</f>
        <v>12</v>
      </c>
      <c r="J44" s="143"/>
      <c r="K44" s="109"/>
      <c r="L44" s="165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41" t="str">
        <f>ПТО!A4</f>
        <v>Вывоз снега с придомовой территории.</v>
      </c>
      <c r="B45" s="141"/>
      <c r="C45" s="141"/>
      <c r="D45" s="141"/>
      <c r="E45" s="141"/>
      <c r="F45" s="142">
        <f>VLOOKUP(A45,ПТО!$A$2:$D$31,4,FALSE)</f>
        <v>12900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09"/>
      <c r="L45" s="165"/>
      <c r="M45" s="115"/>
      <c r="N45" s="109"/>
      <c r="O45" s="23" t="str">
        <f t="shared" si="1"/>
        <v>Вывоз снега с придомовой территории.</v>
      </c>
      <c r="R45" s="22" t="s">
        <v>72</v>
      </c>
    </row>
    <row r="46" spans="1:18" ht="51" hidden="1" customHeight="1" outlineLevel="1">
      <c r="A46" s="141">
        <f>ПТО!A5</f>
        <v>0</v>
      </c>
      <c r="B46" s="141"/>
      <c r="C46" s="141"/>
      <c r="D46" s="141"/>
      <c r="E46" s="141"/>
      <c r="F46" s="142" t="e">
        <f>VLOOKUP(A46,ПТО!$A$2:$D$31,4,FALSE)</f>
        <v>#N/A</v>
      </c>
      <c r="G46" s="142"/>
      <c r="H46" s="25" t="e">
        <f>VLOOKUP(A46,ПТО!$A$2:$D$31,2,FALSE)</f>
        <v>#N/A</v>
      </c>
      <c r="I46" s="143" t="e">
        <f>VLOOKUP(A46,ПТО!$A$2:$D$31,3,FALSE)</f>
        <v>#N/A</v>
      </c>
      <c r="J46" s="143"/>
      <c r="K46" s="109"/>
      <c r="L46" s="165"/>
      <c r="M46" s="115"/>
      <c r="N46" s="109"/>
      <c r="O46" s="23">
        <f t="shared" si="1"/>
        <v>0</v>
      </c>
      <c r="R46" s="22" t="s">
        <v>72</v>
      </c>
    </row>
    <row r="47" spans="1:18" ht="51" customHeight="1" outlineLevel="1">
      <c r="A47" s="141" t="str">
        <f>ПТО!A6</f>
        <v>Приобретение и замена видеорегистратора.</v>
      </c>
      <c r="B47" s="141"/>
      <c r="C47" s="141"/>
      <c r="D47" s="141"/>
      <c r="E47" s="141"/>
      <c r="F47" s="142">
        <f>VLOOKUP(A47,ПТО!$A$2:$D$31,4,FALSE)</f>
        <v>5573.98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09"/>
      <c r="L47" s="165"/>
      <c r="M47" s="115"/>
      <c r="N47" s="109"/>
      <c r="O47" s="23" t="str">
        <f t="shared" si="1"/>
        <v>Приобретение и замена видеорегистратора.</v>
      </c>
      <c r="R47" s="22" t="s">
        <v>72</v>
      </c>
    </row>
    <row r="48" spans="1:18" ht="51" customHeight="1" outlineLevel="1">
      <c r="A48" s="141" t="str">
        <f>ПТО!A7</f>
        <v>Монтаж системы видеонаблюдения в лифт.</v>
      </c>
      <c r="B48" s="141"/>
      <c r="C48" s="141"/>
      <c r="D48" s="141"/>
      <c r="E48" s="141"/>
      <c r="F48" s="142">
        <f>VLOOKUP(A48,ПТО!$A$2:$D$31,4,FALSE)</f>
        <v>10067.5</v>
      </c>
      <c r="G48" s="142"/>
      <c r="H48" s="25" t="str">
        <f>VLOOKUP(A48,ПТО!$A$2:$D$31,2,FALSE)</f>
        <v>разово</v>
      </c>
      <c r="I48" s="143">
        <f>VLOOKUP(A48,ПТО!$A$2:$D$31,3,FALSE)</f>
        <v>1</v>
      </c>
      <c r="J48" s="143"/>
      <c r="K48" s="109"/>
      <c r="L48" s="165"/>
      <c r="M48" s="115"/>
      <c r="N48" s="109"/>
      <c r="O48" s="23" t="str">
        <f t="shared" si="1"/>
        <v>Монтаж системы видеонаблюдения в лифт.</v>
      </c>
      <c r="R48" s="22" t="s">
        <v>72</v>
      </c>
    </row>
    <row r="49" spans="1:18" ht="51" customHeight="1" outlineLevel="1">
      <c r="A49" s="141" t="str">
        <f>ПТО!A8</f>
        <v>Ремонт трансформатора (ТОЛ 1А 06 кВа лифтовое оборудование).</v>
      </c>
      <c r="B49" s="141"/>
      <c r="C49" s="141"/>
      <c r="D49" s="141"/>
      <c r="E49" s="141"/>
      <c r="F49" s="142">
        <f>VLOOKUP(A49,ПТО!$A$2:$D$31,4,FALSE)</f>
        <v>3800</v>
      </c>
      <c r="G49" s="142"/>
      <c r="H49" s="25" t="str">
        <f>VLOOKUP(A49,ПТО!$A$2:$D$31,2,FALSE)</f>
        <v>разово</v>
      </c>
      <c r="I49" s="143">
        <f>VLOOKUP(A49,ПТО!$A$2:$D$31,3,FALSE)</f>
        <v>1</v>
      </c>
      <c r="J49" s="143"/>
      <c r="K49" s="109"/>
      <c r="L49" s="165"/>
      <c r="M49" s="115"/>
      <c r="N49" s="109"/>
      <c r="O49" s="23" t="str">
        <f t="shared" si="1"/>
        <v>Ремонт трансформатора (ТОЛ 1А 06 кВа лифтовое оборудование).</v>
      </c>
      <c r="R49" s="22" t="s">
        <v>72</v>
      </c>
    </row>
    <row r="50" spans="1:18" ht="51" customHeight="1" outlineLevel="1">
      <c r="A50" s="141" t="str">
        <f>ПТО!A9</f>
        <v>Изготовление и монтаж ограждения газона.</v>
      </c>
      <c r="B50" s="141"/>
      <c r="C50" s="141"/>
      <c r="D50" s="141"/>
      <c r="E50" s="141"/>
      <c r="F50" s="142">
        <f>VLOOKUP(A50,ПТО!$A$2:$D$31,4,FALSE)</f>
        <v>16290</v>
      </c>
      <c r="G50" s="142"/>
      <c r="H50" s="25" t="str">
        <f>VLOOKUP(A50,ПТО!$A$2:$D$31,2,FALSE)</f>
        <v>разово</v>
      </c>
      <c r="I50" s="143">
        <f>VLOOKUP(A50,ПТО!$A$2:$D$31,3,FALSE)</f>
        <v>14</v>
      </c>
      <c r="J50" s="143"/>
      <c r="K50" s="109"/>
      <c r="L50" s="165"/>
      <c r="M50" s="115"/>
      <c r="N50" s="109"/>
      <c r="O50" s="23" t="str">
        <f t="shared" si="1"/>
        <v>Изготовление и монтаж ограждения газона.</v>
      </c>
      <c r="R50" s="22" t="s">
        <v>72</v>
      </c>
    </row>
    <row r="51" spans="1:18" ht="51" customHeight="1" outlineLevel="1">
      <c r="A51" s="141" t="str">
        <f>ПТО!A10</f>
        <v>Ремонт уличного освещения.</v>
      </c>
      <c r="B51" s="141"/>
      <c r="C51" s="141"/>
      <c r="D51" s="141"/>
      <c r="E51" s="141"/>
      <c r="F51" s="142">
        <f>VLOOKUP(A51,ПТО!$A$2:$D$31,4,FALSE)</f>
        <v>5325.41</v>
      </c>
      <c r="G51" s="142"/>
      <c r="H51" s="25" t="str">
        <f>VLOOKUP(A51,ПТО!$A$2:$D$31,2,FALSE)</f>
        <v>разово</v>
      </c>
      <c r="I51" s="143">
        <f>VLOOKUP(A51,ПТО!$A$2:$D$31,3,FALSE)</f>
        <v>1</v>
      </c>
      <c r="J51" s="143"/>
      <c r="K51" s="109"/>
      <c r="L51" s="165"/>
      <c r="M51" s="115"/>
      <c r="N51" s="109"/>
      <c r="O51" s="23" t="str">
        <f t="shared" si="1"/>
        <v>Ремонт уличного освещения.</v>
      </c>
      <c r="R51" s="22" t="s">
        <v>72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09"/>
      <c r="L52" s="165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09"/>
      <c r="L53" s="165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09"/>
      <c r="L54" s="165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09"/>
      <c r="L55" s="165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09"/>
      <c r="L56" s="165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09"/>
      <c r="L57" s="165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09"/>
      <c r="L58" s="165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09"/>
      <c r="L59" s="165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09"/>
      <c r="L60" s="16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09"/>
      <c r="L61" s="16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09"/>
      <c r="L62" s="16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09"/>
      <c r="L63" s="16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09"/>
      <c r="L64" s="16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09"/>
      <c r="L65" s="16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09"/>
      <c r="L66" s="16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09"/>
      <c r="L67" s="16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09"/>
      <c r="L68" s="16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09"/>
      <c r="L69" s="16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09"/>
      <c r="L70" s="16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5"/>
      <c r="L71" s="16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09"/>
      <c r="L72" s="16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09"/>
      <c r="L75" s="148"/>
      <c r="M75" s="109"/>
      <c r="N75" s="109"/>
      <c r="O75" s="70" t="s">
        <v>98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09"/>
      <c r="L76" s="148"/>
      <c r="M76" s="109"/>
      <c r="N76" s="109"/>
      <c r="O76" s="70" t="s">
        <v>99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09"/>
      <c r="L77" s="148"/>
      <c r="M77" s="109"/>
      <c r="N77" s="109"/>
      <c r="O77" s="70" t="s">
        <v>100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7">
        <f>VLOOKUP(O78,АО,3,FALSE)</f>
        <v>0</v>
      </c>
      <c r="K78" s="109"/>
      <c r="L78" s="14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7">
        <f t="shared" ref="J81:J90" si="2">VLOOKUP(O81,АО,3,FALSE)</f>
        <v>0</v>
      </c>
      <c r="K81" s="109"/>
      <c r="L81" s="166"/>
      <c r="M81" s="109"/>
      <c r="N81" s="109"/>
      <c r="O81" s="70" t="s">
        <v>102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7">
        <f t="shared" si="2"/>
        <v>0</v>
      </c>
      <c r="K82" s="109"/>
      <c r="L82" s="166"/>
      <c r="M82" s="109"/>
      <c r="N82" s="109"/>
      <c r="O82" s="70" t="s">
        <v>103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7">
        <f t="shared" si="2"/>
        <v>300489.43</v>
      </c>
      <c r="K83" s="109"/>
      <c r="L83" s="166"/>
      <c r="M83" s="109"/>
      <c r="N83" s="109"/>
      <c r="O83" s="70" t="s">
        <v>104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7">
        <f t="shared" si="2"/>
        <v>0</v>
      </c>
      <c r="K84" s="109"/>
      <c r="L84" s="166"/>
      <c r="M84" s="109"/>
      <c r="N84" s="109"/>
      <c r="O84" s="70" t="s">
        <v>105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7">
        <f t="shared" si="2"/>
        <v>0</v>
      </c>
      <c r="K85" s="109"/>
      <c r="L85" s="166"/>
      <c r="M85" s="109"/>
      <c r="N85" s="109"/>
      <c r="O85" s="70" t="s">
        <v>106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7">
        <f t="shared" si="2"/>
        <v>259908.72</v>
      </c>
      <c r="K86" s="109"/>
      <c r="L86" s="166"/>
      <c r="M86" s="109"/>
      <c r="N86" s="109"/>
      <c r="O86" s="70" t="s">
        <v>107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09"/>
      <c r="L87" s="166"/>
      <c r="M87" s="109"/>
      <c r="N87" s="109"/>
      <c r="O87" s="70" t="s">
        <v>108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09"/>
      <c r="L88" s="166"/>
      <c r="M88" s="109"/>
      <c r="N88" s="109"/>
      <c r="O88" s="70" t="s">
        <v>109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09"/>
      <c r="L89" s="166"/>
      <c r="M89" s="109"/>
      <c r="N89" s="109"/>
      <c r="O89" s="70" t="s">
        <v>110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7">
        <f t="shared" si="2"/>
        <v>0</v>
      </c>
      <c r="K90" s="109"/>
      <c r="L90" s="16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09"/>
      <c r="L93" s="109"/>
      <c r="M93" s="109"/>
      <c r="N93" s="109"/>
    </row>
    <row r="94" spans="1:15" hidden="1" outlineLevel="1">
      <c r="A94" s="154">
        <f>IF(VLOOKUP("эл",АО,3,FALSE)&gt;0,"Электроснабжение",0)</f>
        <v>0</v>
      </c>
      <c r="B94" s="154"/>
      <c r="C94" s="154"/>
      <c r="D94" s="152">
        <f>IF(VLOOKUP("эл",АО,3,FALSE)&gt;0,VLOOKUP("эл",АО,3,FALSE),0)</f>
        <v>0</v>
      </c>
      <c r="E94" s="152"/>
      <c r="F94" s="13">
        <f>IF(VLOOKUP("эл",АО,3,FALSE)&gt;0,VLOOKUP("эл",АО,4,FALSE),0)</f>
        <v>0</v>
      </c>
      <c r="G94" s="151">
        <f>VLOOKUP("эл",АО,5,FALSE)</f>
        <v>0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hidden="1" outlineLevel="2">
      <c r="A95" s="155">
        <f>IF(VLOOKUP("эл",АО,3,FALSE)&gt;0,VLOOKUP("эл1",АО,2,FALSE),0)</f>
        <v>0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0</v>
      </c>
      <c r="L95" s="167"/>
      <c r="O95" s="1" t="s">
        <v>112</v>
      </c>
    </row>
    <row r="96" spans="1:15" hidden="1" outlineLevel="2">
      <c r="A96" s="155">
        <f>IF(VLOOKUP("эл",АО,3,FALSE)&gt;0,VLOOKUP("эл2",АО,2,FALSE),0)</f>
        <v>0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0</v>
      </c>
      <c r="L96" s="167"/>
      <c r="O96" s="1" t="s">
        <v>113</v>
      </c>
    </row>
    <row r="97" spans="1:15" hidden="1" outlineLevel="2">
      <c r="A97" s="155">
        <f>IF(VLOOKUP("эл",АО,3,FALSE)&gt;0,VLOOKUP("эл3",АО,2,FALSE),0)</f>
        <v>0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0</v>
      </c>
      <c r="L97" s="167"/>
      <c r="O97" s="1" t="s">
        <v>114</v>
      </c>
    </row>
    <row r="98" spans="1:15" ht="37.5" hidden="1" customHeight="1" outlineLevel="2">
      <c r="A98" s="155">
        <f>IF(VLOOKUP("эл",АО,3,FALSE)&gt;0,VLOOKUP("эл4",АО,2,FALSE),0)</f>
        <v>0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0</v>
      </c>
      <c r="L98" s="167"/>
      <c r="O98" s="1" t="s">
        <v>115</v>
      </c>
    </row>
    <row r="99" spans="1:15" hidden="1" outlineLevel="2">
      <c r="A99" s="155">
        <f>IF(VLOOKUP("эл",АО,3,FALSE)&gt;0,VLOOKUP("эл5",АО,2,FALSE),0)</f>
        <v>0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0</v>
      </c>
      <c r="L99" s="167"/>
      <c r="O99" s="1" t="s">
        <v>116</v>
      </c>
    </row>
    <row r="100" spans="1:15" ht="39" hidden="1" customHeight="1" outlineLevel="2">
      <c r="A100" s="155">
        <f>IF(VLOOKUP("эл",АО,3,FALSE)&gt;0,VLOOKUP("эл6",АО,2,FALSE),0)</f>
        <v>0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117</v>
      </c>
    </row>
    <row r="101" spans="1:15" ht="34.5" hidden="1" customHeight="1" outlineLevel="2">
      <c r="A101" s="155">
        <f>IF(VLOOKUP("эл",АО,3,FALSE)&gt;0,VLOOKUP("эл7",АО,2,FALSE),0)</f>
        <v>0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118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55131.360000000001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4160.8599999999997</v>
      </c>
      <c r="L103" s="167"/>
      <c r="O103" s="1" t="s">
        <v>121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53617.86</v>
      </c>
      <c r="L104" s="167"/>
      <c r="O104" s="1" t="s">
        <v>122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1513.5</v>
      </c>
      <c r="L105" s="167"/>
      <c r="O105" s="1" t="s">
        <v>123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55131.360000000001</v>
      </c>
      <c r="L106" s="167"/>
      <c r="O106" s="1" t="s">
        <v>124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55131.360000000001</v>
      </c>
      <c r="L107" s="167"/>
      <c r="O107" s="1" t="s">
        <v>125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126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127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93064.83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6241.77</v>
      </c>
      <c r="L111" s="167"/>
      <c r="O111" s="1" t="s">
        <v>129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88957.21</v>
      </c>
      <c r="L112" s="167"/>
      <c r="O112" s="1" t="s">
        <v>130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4107.6199999999953</v>
      </c>
      <c r="L113" s="167"/>
      <c r="O113" s="1" t="s">
        <v>131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93064.83</v>
      </c>
      <c r="L114" s="167"/>
      <c r="O114" s="1" t="s">
        <v>132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93064.83</v>
      </c>
      <c r="L115" s="167"/>
      <c r="O115" s="1" t="s">
        <v>133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134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135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1">
        <f>VLOOKUP("тко",АО,5,FALSE)</f>
        <v>0</v>
      </c>
      <c r="H118" s="152"/>
      <c r="I118" s="152"/>
      <c r="J118" s="152"/>
      <c r="L118" s="47"/>
    </row>
    <row r="119" spans="1:15" ht="32.25" hidden="1" customHeight="1" outlineLevel="2">
      <c r="A119" s="149">
        <f t="shared" ref="A119:A125" si="8">IF(VLOOKUP("тко",АО,3,FALSE)&gt;0,VLOOKUP(O119,АО,2,FALSE),0)</f>
        <v>0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49">
        <f t="shared" si="8"/>
        <v>0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49">
        <f t="shared" si="8"/>
        <v>0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49">
        <f t="shared" si="8"/>
        <v>0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49">
        <f t="shared" si="8"/>
        <v>0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49">
        <f t="shared" si="8"/>
        <v>0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49">
        <f t="shared" si="8"/>
        <v>0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1">
        <f>VLOOKUP("гвс",АО,5,FALSE)</f>
        <v>0</v>
      </c>
      <c r="H126" s="152"/>
      <c r="I126" s="152"/>
      <c r="J126" s="152"/>
      <c r="L126" s="47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7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4</v>
      </c>
      <c r="O144" t="s">
        <v>169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9" t="s">
        <v>172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15356.58</v>
      </c>
      <c r="O146" t="s">
        <v>171</v>
      </c>
    </row>
    <row r="149" spans="1:15" ht="52.5" customHeight="1">
      <c r="A149" s="145" t="s">
        <v>183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43101</v>
      </c>
    </row>
    <row r="152" spans="1:15">
      <c r="A152" s="1" t="s">
        <v>1</v>
      </c>
      <c r="E152" s="3">
        <v>43465</v>
      </c>
    </row>
    <row r="154" spans="1:15" ht="39.75" customHeight="1">
      <c r="A154" s="144" t="s">
        <v>185</v>
      </c>
      <c r="B154" s="144"/>
      <c r="C154" s="144"/>
      <c r="D154" s="144"/>
      <c r="E154" s="27">
        <f>ПТО!G1</f>
        <v>33804.97</v>
      </c>
    </row>
    <row r="155" spans="1:15" ht="34.5" customHeight="1">
      <c r="A155" s="146" t="s">
        <v>184</v>
      </c>
      <c r="B155" s="146"/>
      <c r="C155" s="146"/>
      <c r="D155" s="146"/>
      <c r="E155" s="28">
        <f>J13</f>
        <v>115521.60000000001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освидетельствование лифта.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8100</v>
      </c>
      <c r="G158" s="142"/>
      <c r="H158" s="24" t="str">
        <f t="shared" ref="H158:H187" si="16">VLOOKUP(A158,$A$28:$J$72,8,FALSE)</f>
        <v>ежегодно</v>
      </c>
      <c r="I158" s="143">
        <f t="shared" ref="I158:I161" si="17">VLOOKUP(A158,$A$28:$J$72,9,FALSE)</f>
        <v>1</v>
      </c>
      <c r="J158" s="14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1" t="str">
        <f t="shared" si="14"/>
        <v>Техническое обслуживание охранной сигнализации.</v>
      </c>
      <c r="B159" s="141"/>
      <c r="C159" s="141"/>
      <c r="D159" s="141"/>
      <c r="E159" s="141"/>
      <c r="F159" s="142">
        <f t="shared" si="15"/>
        <v>18000</v>
      </c>
      <c r="G159" s="142"/>
      <c r="H159" s="24" t="str">
        <f t="shared" si="16"/>
        <v>ежемесячно</v>
      </c>
      <c r="I159" s="143">
        <f t="shared" si="17"/>
        <v>12</v>
      </c>
      <c r="J159" s="143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41" t="str">
        <f t="shared" si="14"/>
        <v>Вывоз снега с придомовой территории.</v>
      </c>
      <c r="B160" s="141"/>
      <c r="C160" s="141"/>
      <c r="D160" s="141"/>
      <c r="E160" s="141"/>
      <c r="F160" s="142">
        <f t="shared" si="15"/>
        <v>12900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72</v>
      </c>
      <c r="N160" s="1" t="str">
        <v>Вывоз снега с придомовой территории.</v>
      </c>
    </row>
    <row r="161" spans="1:14" ht="28.5" hidden="1" customHeight="1">
      <c r="A161" s="141">
        <f>IF(N161&gt;0,N161,0)</f>
        <v>0</v>
      </c>
      <c r="B161" s="141"/>
      <c r="C161" s="141"/>
      <c r="D161" s="141"/>
      <c r="E161" s="141"/>
      <c r="F161" s="142">
        <f t="shared" si="15"/>
        <v>0</v>
      </c>
      <c r="G161" s="142"/>
      <c r="H161" s="24" t="e">
        <f t="shared" si="16"/>
        <v>#N/A</v>
      </c>
      <c r="I161" s="143" t="e">
        <f t="shared" si="17"/>
        <v>#N/A</v>
      </c>
      <c r="J161" s="143"/>
      <c r="M161" s="22" t="s">
        <v>72</v>
      </c>
      <c r="N161" s="1">
        <v>0</v>
      </c>
    </row>
    <row r="162" spans="1:14" ht="28.5" customHeight="1">
      <c r="A162" s="141" t="str">
        <f t="shared" si="14"/>
        <v>Приобретение и замена видеорегистратора.</v>
      </c>
      <c r="B162" s="141"/>
      <c r="C162" s="141"/>
      <c r="D162" s="141"/>
      <c r="E162" s="141"/>
      <c r="F162" s="142">
        <f t="shared" si="15"/>
        <v>5573.98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72</v>
      </c>
      <c r="N162" s="1" t="str">
        <v>Приобретение и замена видеорегистратора.</v>
      </c>
    </row>
    <row r="163" spans="1:14" ht="28.5" customHeight="1">
      <c r="A163" s="141" t="str">
        <f t="shared" si="14"/>
        <v>Монтаж системы видеонаблюдения в лифт.</v>
      </c>
      <c r="B163" s="141"/>
      <c r="C163" s="141"/>
      <c r="D163" s="141"/>
      <c r="E163" s="141"/>
      <c r="F163" s="142">
        <f t="shared" si="15"/>
        <v>10067.5</v>
      </c>
      <c r="G163" s="142"/>
      <c r="H163" s="24" t="str">
        <f t="shared" si="16"/>
        <v>разово</v>
      </c>
      <c r="I163" s="143">
        <f>VLOOKUP(A163,$A$28:$J$72,9,FALSE)</f>
        <v>1</v>
      </c>
      <c r="J163" s="143"/>
      <c r="M163" s="22" t="s">
        <v>72</v>
      </c>
      <c r="N163" s="1" t="str">
        <v>Монтаж системы видеонаблюдения в лифт.</v>
      </c>
    </row>
    <row r="164" spans="1:14" ht="28.5" customHeight="1">
      <c r="A164" s="141" t="str">
        <f t="shared" ref="A164:A187" si="18">IF(N164&gt;0,N164,0)</f>
        <v>Ремонт трансформатора (ТОЛ 1А 06 кВа лифтовое оборудование).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3800</v>
      </c>
      <c r="G164" s="142"/>
      <c r="H164" s="29" t="str">
        <f t="shared" si="16"/>
        <v>разово</v>
      </c>
      <c r="I164" s="143">
        <f t="shared" ref="I164:I187" si="20">VLOOKUP(A164,$A$28:$J$72,9,FALSE)</f>
        <v>1</v>
      </c>
      <c r="J164" s="143"/>
      <c r="M164" s="22" t="s">
        <v>72</v>
      </c>
      <c r="N164" s="1" t="str">
        <v>Ремонт трансформатора (ТОЛ 1А 06 кВа лифтовое оборудование).</v>
      </c>
    </row>
    <row r="165" spans="1:14" ht="28.5" customHeight="1">
      <c r="A165" s="141" t="str">
        <f t="shared" si="18"/>
        <v>Изготовление и монтаж ограждения газона.</v>
      </c>
      <c r="B165" s="141"/>
      <c r="C165" s="141"/>
      <c r="D165" s="141"/>
      <c r="E165" s="141"/>
      <c r="F165" s="142">
        <f t="shared" si="19"/>
        <v>16290</v>
      </c>
      <c r="G165" s="142"/>
      <c r="H165" s="29" t="str">
        <f t="shared" si="16"/>
        <v>разово</v>
      </c>
      <c r="I165" s="143">
        <f t="shared" si="20"/>
        <v>14</v>
      </c>
      <c r="J165" s="143"/>
      <c r="M165" s="22" t="s">
        <v>72</v>
      </c>
      <c r="N165" s="1" t="str">
        <v>Изготовление и монтаж ограждения газона.</v>
      </c>
    </row>
    <row r="166" spans="1:14" ht="28.5" customHeight="1">
      <c r="A166" s="141" t="str">
        <f t="shared" si="18"/>
        <v>Ремонт уличного освещения.</v>
      </c>
      <c r="B166" s="141"/>
      <c r="C166" s="141"/>
      <c r="D166" s="141"/>
      <c r="E166" s="141"/>
      <c r="F166" s="142">
        <f t="shared" si="19"/>
        <v>5325.41</v>
      </c>
      <c r="G166" s="142"/>
      <c r="H166" s="29" t="str">
        <f t="shared" si="16"/>
        <v>разово</v>
      </c>
      <c r="I166" s="143">
        <f t="shared" si="20"/>
        <v>1</v>
      </c>
      <c r="J166" s="143"/>
      <c r="M166" s="22" t="s">
        <v>72</v>
      </c>
      <c r="N166" s="1" t="str">
        <v>Ремонт уличного освещения.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72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72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44" t="s">
        <v>186</v>
      </c>
      <c r="B190" s="144"/>
      <c r="C190" s="144"/>
      <c r="D190" s="144"/>
      <c r="E190" s="27">
        <f>SUM(F158:G187)</f>
        <v>80056.89</v>
      </c>
    </row>
    <row r="191" spans="1:14" ht="51.75" customHeight="1">
      <c r="A191" s="144" t="s">
        <v>187</v>
      </c>
      <c r="B191" s="144"/>
      <c r="C191" s="144"/>
      <c r="D191" s="144"/>
      <c r="E191" s="27">
        <f>E190+E154-E155</f>
        <v>-1659.7400000000052</v>
      </c>
    </row>
    <row r="192" spans="1:14">
      <c r="A192" s="104" t="s">
        <v>173</v>
      </c>
    </row>
    <row r="193" spans="1:10" ht="62.25" customHeight="1">
      <c r="A193" s="169" t="s">
        <v>188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- техническое освидетельствование лифта</v>
      </c>
      <c r="B194" s="168"/>
      <c r="C194" s="168"/>
      <c r="D194" s="168"/>
      <c r="E194" s="168"/>
      <c r="F194" s="168"/>
      <c r="G194" s="168"/>
      <c r="H194" s="49">
        <f>ПТО!G12</f>
        <v>8100</v>
      </c>
      <c r="I194" s="50" t="s">
        <v>74</v>
      </c>
    </row>
    <row r="195" spans="1:10" ht="18.75" customHeight="1">
      <c r="A195" s="168" t="str">
        <f>ПТО!F13</f>
        <v xml:space="preserve"> - тех. обслуживание охранной сигнализации</v>
      </c>
      <c r="B195" s="168"/>
      <c r="C195" s="168"/>
      <c r="D195" s="168"/>
      <c r="E195" s="168"/>
      <c r="F195" s="168"/>
      <c r="G195" s="168"/>
      <c r="H195" s="49">
        <f>ПТО!G13</f>
        <v>18000</v>
      </c>
      <c r="I195" s="50" t="s">
        <v>74</v>
      </c>
    </row>
    <row r="196" spans="1:10" ht="18.75" customHeight="1">
      <c r="A196" s="168" t="str">
        <f>ПТО!F14</f>
        <v xml:space="preserve"> - поверка (замена) манометров и термометров</v>
      </c>
      <c r="B196" s="168"/>
      <c r="C196" s="168"/>
      <c r="D196" s="168"/>
      <c r="E196" s="168"/>
      <c r="F196" s="168"/>
      <c r="G196" s="168"/>
      <c r="H196" s="49">
        <f>ПТО!G14</f>
        <v>1200</v>
      </c>
      <c r="I196" s="50" t="s">
        <v>74</v>
      </c>
    </row>
    <row r="197" spans="1:10" ht="18.75" customHeight="1">
      <c r="A197" s="168" t="str">
        <f>ПТО!F15</f>
        <v xml:space="preserve"> - работы по выбору (решению) общего собрания или совета дома</v>
      </c>
      <c r="B197" s="168"/>
      <c r="C197" s="168"/>
      <c r="D197" s="168"/>
      <c r="E197" s="168"/>
      <c r="F197" s="168"/>
      <c r="G197" s="168"/>
      <c r="H197" s="49">
        <f>ПТО!G15</f>
        <v>122700</v>
      </c>
      <c r="I197" s="50" t="s">
        <v>74</v>
      </c>
    </row>
    <row r="198" spans="1:10" ht="18.75" hidden="1" customHeight="1">
      <c r="A198" s="168">
        <f>ПТО!F16</f>
        <v>0</v>
      </c>
      <c r="B198" s="168"/>
      <c r="C198" s="168"/>
      <c r="D198" s="168"/>
      <c r="E198" s="168"/>
      <c r="F198" s="168"/>
      <c r="G198" s="168"/>
      <c r="H198" s="49">
        <f>ПТО!G16</f>
        <v>0</v>
      </c>
      <c r="I198" s="52" t="s">
        <v>74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49">
        <f>ПТО!G17</f>
        <v>0</v>
      </c>
      <c r="I199" s="50" t="s">
        <v>74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49">
        <f>ПТО!G18</f>
        <v>0</v>
      </c>
      <c r="I200" s="50" t="s">
        <v>74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49">
        <f>ПТО!G19</f>
        <v>0</v>
      </c>
      <c r="I201" s="50" t="s">
        <v>74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49">
        <f>ПТО!G20</f>
        <v>0</v>
      </c>
      <c r="I202" s="50" t="s">
        <v>74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49">
        <f>ПТО!G21</f>
        <v>0</v>
      </c>
      <c r="I203" s="50" t="s">
        <v>74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49">
        <f>ПТО!G22</f>
        <v>0</v>
      </c>
      <c r="I204" s="50" t="s">
        <v>74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49">
        <f>ПТО!G23</f>
        <v>0</v>
      </c>
      <c r="I205" s="50" t="s">
        <v>74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49">
        <f>ПТО!G24</f>
        <v>0</v>
      </c>
      <c r="I206" s="50" t="s">
        <v>74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49">
        <f>ПТО!G25</f>
        <v>0</v>
      </c>
      <c r="I207" s="50" t="s">
        <v>74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49">
        <f>ПТО!G26</f>
        <v>0</v>
      </c>
      <c r="I208" s="50" t="s">
        <v>74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49">
        <f>ПТО!G27</f>
        <v>0</v>
      </c>
      <c r="I209" s="50" t="s">
        <v>74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49">
        <f>ПТО!G28</f>
        <v>0</v>
      </c>
      <c r="I210" s="50" t="s">
        <v>74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49">
        <f>ПТО!G29</f>
        <v>0</v>
      </c>
      <c r="I211" s="50" t="s">
        <v>74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49">
        <f>ПТО!G30</f>
        <v>0</v>
      </c>
      <c r="I212" s="50" t="s">
        <v>74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150000</v>
      </c>
      <c r="I214" s="56" t="s">
        <v>76</v>
      </c>
    </row>
  </sheetData>
  <sheetProtection algorithmName="SHA-512" hashValue="FB0iNwi0BLZZuuUxHhK1kAwY+8LYt4DeEYqRiFYmgingIz8fjMBu8S/2xzQ3gJgYowe6uPNL37VSASabXqfV1A==" saltValue="WmRfmZ4hT/aj6opb0TbIbw==" spinCount="100000" sheet="1" selectLockedCells="1" selectUnlockedCells="1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185</v>
      </c>
      <c r="G1" s="101">
        <v>33804.97</v>
      </c>
    </row>
    <row r="2" spans="1:12" ht="18.75" customHeight="1">
      <c r="A2" s="124" t="s">
        <v>73</v>
      </c>
      <c r="B2" s="119" t="s">
        <v>179</v>
      </c>
      <c r="C2" s="129">
        <v>1</v>
      </c>
      <c r="D2" s="134">
        <v>8100</v>
      </c>
      <c r="E2" s="140"/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177</v>
      </c>
      <c r="B3" s="119" t="s">
        <v>180</v>
      </c>
      <c r="C3" s="129">
        <v>12</v>
      </c>
      <c r="D3" s="135">
        <f>(1500*12)</f>
        <v>18000</v>
      </c>
      <c r="E3" s="140"/>
      <c r="F3" s="30"/>
      <c r="G3" s="30"/>
      <c r="L3" s="33" t="str">
        <f t="shared" si="0"/>
        <v>ТР</v>
      </c>
    </row>
    <row r="4" spans="1:12" ht="18.75" customHeight="1">
      <c r="A4" s="125" t="s">
        <v>178</v>
      </c>
      <c r="B4" s="119" t="s">
        <v>181</v>
      </c>
      <c r="C4" s="130">
        <v>1</v>
      </c>
      <c r="D4" s="135">
        <v>12900</v>
      </c>
      <c r="E4" t="s">
        <v>203</v>
      </c>
      <c r="F4" s="30"/>
      <c r="G4" s="30"/>
      <c r="L4" s="33" t="str">
        <f t="shared" si="0"/>
        <v>ТР</v>
      </c>
    </row>
    <row r="5" spans="1:12" ht="18.75" customHeight="1">
      <c r="A5" s="125"/>
      <c r="B5" s="117"/>
      <c r="C5" s="130"/>
      <c r="D5" s="135"/>
      <c r="E5"/>
      <c r="F5" s="44"/>
      <c r="G5" s="44"/>
      <c r="K5" s="46"/>
      <c r="L5" s="33">
        <f t="shared" si="0"/>
        <v>0</v>
      </c>
    </row>
    <row r="6" spans="1:12" ht="18.75" customHeight="1">
      <c r="A6" s="125" t="s">
        <v>193</v>
      </c>
      <c r="B6" s="117" t="s">
        <v>181</v>
      </c>
      <c r="C6" s="131">
        <v>1</v>
      </c>
      <c r="D6" s="134">
        <v>5573.98</v>
      </c>
      <c r="E6" s="138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6" t="s">
        <v>194</v>
      </c>
      <c r="B7" s="117" t="s">
        <v>181</v>
      </c>
      <c r="C7" s="132">
        <v>1</v>
      </c>
      <c r="D7" s="136">
        <v>10067.5</v>
      </c>
      <c r="E7" s="139" t="s">
        <v>199</v>
      </c>
      <c r="F7" s="45"/>
      <c r="G7" s="45"/>
      <c r="K7" s="46"/>
      <c r="L7" s="33" t="str">
        <f t="shared" si="0"/>
        <v>ТР</v>
      </c>
    </row>
    <row r="8" spans="1:12" ht="30" customHeight="1">
      <c r="A8" s="125" t="s">
        <v>195</v>
      </c>
      <c r="B8" s="117" t="s">
        <v>181</v>
      </c>
      <c r="C8" s="129">
        <v>1</v>
      </c>
      <c r="D8" s="135">
        <v>3800</v>
      </c>
      <c r="E8" s="138" t="s">
        <v>200</v>
      </c>
      <c r="F8" s="45"/>
      <c r="G8" s="45"/>
      <c r="K8" s="43"/>
      <c r="L8" s="33" t="str">
        <f t="shared" si="0"/>
        <v>ТР</v>
      </c>
    </row>
    <row r="9" spans="1:12">
      <c r="A9" s="127" t="s">
        <v>196</v>
      </c>
      <c r="B9" s="117" t="s">
        <v>181</v>
      </c>
      <c r="C9" s="133">
        <v>14</v>
      </c>
      <c r="D9" s="137">
        <v>16290</v>
      </c>
      <c r="E9" s="138" t="s">
        <v>201</v>
      </c>
      <c r="F9" s="44"/>
      <c r="G9" s="44"/>
      <c r="K9" s="43"/>
      <c r="L9" s="33" t="str">
        <f t="shared" si="0"/>
        <v>ТР</v>
      </c>
    </row>
    <row r="10" spans="1:12">
      <c r="A10" s="128" t="s">
        <v>197</v>
      </c>
      <c r="B10" s="117" t="s">
        <v>181</v>
      </c>
      <c r="C10" s="133">
        <v>1</v>
      </c>
      <c r="D10" s="137">
        <v>5325.41</v>
      </c>
      <c r="E10" s="138" t="s">
        <v>202</v>
      </c>
      <c r="L10" s="33" t="str">
        <f t="shared" si="0"/>
        <v>ТР</v>
      </c>
    </row>
    <row r="11" spans="1:12" ht="94.5">
      <c r="A11" s="120"/>
      <c r="B11" s="117"/>
      <c r="D11" s="118"/>
      <c r="E11" s="121"/>
      <c r="F11" s="111" t="s">
        <v>188</v>
      </c>
      <c r="G11" s="111"/>
      <c r="L11" s="33">
        <f t="shared" si="0"/>
        <v>0</v>
      </c>
    </row>
    <row r="12" spans="1:12">
      <c r="A12" s="30"/>
      <c r="F12" s="122" t="s">
        <v>189</v>
      </c>
      <c r="G12" s="41">
        <v>8100</v>
      </c>
      <c r="L12" s="33">
        <f t="shared" si="0"/>
        <v>0</v>
      </c>
    </row>
    <row r="13" spans="1:12">
      <c r="A13" s="30"/>
      <c r="F13" s="122" t="s">
        <v>190</v>
      </c>
      <c r="G13" s="41">
        <v>18000</v>
      </c>
      <c r="L13" s="33">
        <f t="shared" si="0"/>
        <v>0</v>
      </c>
    </row>
    <row r="14" spans="1:12">
      <c r="A14" s="30"/>
      <c r="F14" s="122" t="s">
        <v>191</v>
      </c>
      <c r="G14" s="41">
        <v>1200</v>
      </c>
      <c r="L14" s="33">
        <f t="shared" si="0"/>
        <v>0</v>
      </c>
    </row>
    <row r="15" spans="1:12">
      <c r="A15" s="30"/>
      <c r="F15" s="122" t="s">
        <v>192</v>
      </c>
      <c r="G15" s="123">
        <v>122700</v>
      </c>
      <c r="L15" s="33">
        <f t="shared" si="0"/>
        <v>0</v>
      </c>
    </row>
    <row r="16" spans="1:12" ht="15.75">
      <c r="A16" s="30"/>
      <c r="F16" s="112"/>
      <c r="G16" s="113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2"/>
      <c r="G18" s="11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134650.4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134650.4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54004.08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54004.08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75085.919999999998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75085.919999999998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34077.480000000003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34077.480000000003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12129.24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12129.24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106853.04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106853.04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175</v>
      </c>
      <c r="B46" s="38">
        <v>144396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144396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C11" sqref="C1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2486.6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235603.15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670747.35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555225.75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v>115521.60000000001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706838.48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706838.48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706838.48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199512.02000000002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2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2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2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2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1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1"/>
      <c r="N26" s="63"/>
    </row>
    <row r="27" spans="1:15" ht="18.75" customHeight="1">
      <c r="A27" s="70" t="s">
        <v>104</v>
      </c>
      <c r="B27" s="75" t="s">
        <v>4</v>
      </c>
      <c r="C27" s="86">
        <v>300489.43</v>
      </c>
      <c r="D27" s="81" t="s">
        <v>60</v>
      </c>
      <c r="E27" s="64"/>
      <c r="F27" s="64"/>
      <c r="G27" s="64"/>
      <c r="H27" s="64"/>
      <c r="I27" s="64"/>
      <c r="J27" s="64"/>
      <c r="M27" s="171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1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1"/>
      <c r="N29" s="63"/>
    </row>
    <row r="30" spans="1:15" ht="18.75" customHeight="1">
      <c r="A30" s="70" t="s">
        <v>107</v>
      </c>
      <c r="B30" s="75" t="s">
        <v>18</v>
      </c>
      <c r="C30" s="86">
        <v>259908.72</v>
      </c>
      <c r="D30" s="81" t="s">
        <v>66</v>
      </c>
      <c r="E30" s="64"/>
      <c r="F30" s="64"/>
      <c r="G30" s="64"/>
      <c r="H30" s="64"/>
      <c r="I30" s="64"/>
      <c r="J30" s="64"/>
      <c r="M30" s="171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1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1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1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1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70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70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70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0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70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70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0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0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55131.360000000001</v>
      </c>
      <c r="F45" s="94" t="s">
        <v>166</v>
      </c>
      <c r="G45" s="66"/>
      <c r="H45" s="66"/>
      <c r="L45" s="63"/>
      <c r="M45" s="170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4160.8599999999997</v>
      </c>
      <c r="D46" s="94" t="s">
        <v>167</v>
      </c>
      <c r="E46" s="68"/>
      <c r="G46" s="67"/>
      <c r="H46" s="67"/>
      <c r="L46" s="63"/>
      <c r="M46" s="170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53617.86</v>
      </c>
      <c r="D47" s="94" t="s">
        <v>165</v>
      </c>
      <c r="E47" s="68"/>
      <c r="G47" s="67"/>
      <c r="H47" s="67"/>
      <c r="L47" s="63"/>
      <c r="M47" s="170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1513.5</v>
      </c>
      <c r="D48" s="80" t="s">
        <v>59</v>
      </c>
      <c r="E48" s="68"/>
      <c r="G48" s="67"/>
      <c r="H48" s="67"/>
      <c r="L48" s="63"/>
      <c r="M48" s="170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55131.360000000001</v>
      </c>
      <c r="D49" s="80" t="s">
        <v>59</v>
      </c>
      <c r="E49" s="68"/>
      <c r="G49" s="67"/>
      <c r="H49" s="67"/>
      <c r="L49" s="63"/>
      <c r="M49" s="170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55131.360000000001</v>
      </c>
      <c r="D50" s="80" t="s">
        <v>59</v>
      </c>
      <c r="E50" s="68"/>
      <c r="G50" s="67"/>
      <c r="H50" s="67"/>
      <c r="L50" s="63"/>
      <c r="M50" s="170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0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0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93064.83</v>
      </c>
      <c r="F53" s="94" t="s">
        <v>166</v>
      </c>
      <c r="G53" s="66"/>
      <c r="H53" s="66"/>
      <c r="L53" s="63"/>
      <c r="M53" s="170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6241.77</v>
      </c>
      <c r="D54" s="94" t="s">
        <v>167</v>
      </c>
      <c r="E54" s="69"/>
      <c r="F54" s="89"/>
      <c r="G54" s="64"/>
      <c r="H54" s="64"/>
      <c r="L54" s="63"/>
      <c r="M54" s="170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88957.21</v>
      </c>
      <c r="D55" s="94" t="s">
        <v>165</v>
      </c>
      <c r="E55" s="69"/>
      <c r="G55" s="64"/>
      <c r="H55" s="64"/>
      <c r="L55" s="63"/>
      <c r="M55" s="170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4107.6199999999953</v>
      </c>
      <c r="D56" s="80" t="s">
        <v>59</v>
      </c>
      <c r="E56" s="69"/>
      <c r="G56" s="64"/>
      <c r="H56" s="64"/>
      <c r="L56" s="63"/>
      <c r="M56" s="170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93064.83</v>
      </c>
      <c r="D57" s="80" t="s">
        <v>59</v>
      </c>
      <c r="E57" s="69"/>
      <c r="G57" s="64"/>
      <c r="H57" s="64"/>
      <c r="L57" s="63"/>
      <c r="M57" s="170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93064.83</v>
      </c>
      <c r="D58" s="80" t="s">
        <v>59</v>
      </c>
      <c r="E58" s="69"/>
      <c r="G58" s="64"/>
      <c r="H58" s="64"/>
      <c r="L58" s="63"/>
      <c r="M58" s="170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0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1" sqref="C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4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15356.58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2020-07-14T04:15:12Z</dcterms:modified>
</cp:coreProperties>
</file>