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A115" i="1" l="1"/>
  <c r="F118" i="1"/>
  <c r="F102" i="1"/>
  <c r="A110" i="1"/>
  <c r="A109" i="1"/>
  <c r="A111" i="1"/>
  <c r="A122" i="1"/>
  <c r="A105" i="1"/>
  <c r="A114" i="1"/>
  <c r="A123" i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138" i="1"/>
  <c r="A134" i="1"/>
  <c r="A135" i="1"/>
  <c r="A139" i="1"/>
  <c r="A106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79" i="1"/>
  <c r="F175" i="1"/>
  <c r="H171" i="1"/>
  <c r="H177" i="1"/>
  <c r="H165" i="1"/>
  <c r="H170" i="1"/>
  <c r="H167" i="1"/>
  <c r="H179" i="1"/>
  <c r="F171" i="1"/>
  <c r="H186" i="1"/>
  <c r="F177" i="1"/>
  <c r="F170" i="1"/>
  <c r="F165" i="1"/>
  <c r="F186" i="1"/>
  <c r="F172" i="1"/>
  <c r="H176" i="1"/>
  <c r="H172" i="1"/>
  <c r="H178" i="1"/>
  <c r="F168" i="1"/>
  <c r="H168" i="1"/>
  <c r="F173" i="1"/>
  <c r="H164" i="1"/>
  <c r="F176" i="1"/>
  <c r="H173" i="1"/>
  <c r="F178" i="1"/>
  <c r="H184" i="1"/>
  <c r="F181" i="1"/>
  <c r="F180" i="1"/>
  <c r="F187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<sst xmlns="http://schemas.openxmlformats.org/spreadsheetml/2006/main" count="570" uniqueCount="215">
  <si>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</si>
  <si>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</si>
  <si>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</si>
  <si>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</si>
  <si>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</si>
  <si>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</si>
  <si>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</si>
  <si>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</si>
  <si>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</si>
  <si>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</si>
  <si>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</si>
  <si>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</si>
  <si>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</si>
  <si>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</si>
  <si>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</si>
  <si>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</si>
  <si>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</si>
  <si>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</si>
  <si>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</si>
  <si>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</si>
  <si>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</si>
  <si>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</si>
  <si>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</si>
  <si>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</si>
  <si>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</si>
  <si>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</si>
  <si>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</si>
  <si>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</si>
  <si>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</si>
  <si>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</si>
  <si>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</si>
  <si>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</si>
  <si>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</si>
  <si>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</si>
  <si>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</si>
  <si>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</si>
  <si>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</si>
  <si>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</si>
  <si>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</si>
  <si>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</si>
  <si>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</si>
  <si>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</si>
  <si>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</si>
  <si>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</si>
  <si>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</si>
  <si>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</si>
  <si>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</si>
  <si>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</si>
  <si>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</si>
  <si>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</si>
  <si>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</si>
  <si>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</si>
  <si>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</si>
  <si>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</si>
  <si>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</si>
  <si>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</si>
  <si>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</si>
  <si>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</si>
  <si>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</si>
  <si>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</si>
  <si>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</si>
  <si>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</si>
  <si>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</si>
  <si>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</si>
  <si>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</si>
  <si>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</si>
  <si>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</si>
  <si>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</si>
  <si>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</si>
  <si>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</si>
  <si>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</si>
  <si>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</si>
  <si>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</si>
  <si>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</si>
  <si>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</si>
  <si>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</si>
  <si>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</si>
  <si>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</si>
  <si>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</si>
  <si>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</si>
  <si>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</si>
  <si>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</si>
  <si>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</si>
  <si>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</si>
  <si>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</si>
  <si>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</si>
  <si>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</si>
  <si>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</si>
  <si>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</si>
  <si>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</si>
  <si>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</si>
  <si>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</si>
  <si>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</si>
  <si>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</si>
  <si>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</si>
  <si>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</si>
  <si>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</si>
  <si>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</si>
  <si>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</si>
  <si>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</si>
  <si>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</si>
  <si>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</si>
  <si>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</si>
  <si>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</si>
  <si>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</si>
  <si>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</si>
  <si>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</si>
  <si>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</si>
  <si>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</si>
  <si>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</si>
  <si>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</si>
  <si>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</si>
  <si>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</si>
  <si>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</si>
  <si>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</si>
  <si>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</si>
  <si>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</si>
  <si>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</si>
  <si>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</si>
  <si>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</si>
  <si>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</si>
  <si>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</si>
  <si>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</si>
  <si>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</si>
  <si>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</si>
  <si>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</si>
  <si>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</si>
  <si>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</si>
  <si>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</si>
  <si>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</si>
  <si>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</si>
  <si>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</si>
  <si>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</si>
  <si>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</si>
  <si>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</si>
  <si>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</si>
  <si>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</si>
  <si>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</si>
  <si>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</si>
  <si>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</si>
  <si>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</si>
  <si>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</si>
  <si>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</si>
  <si>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</si>
  <si>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</si>
  <si>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</si>
  <si>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</si>
  <si>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</si>
  <si>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</si>
  <si>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</si>
  <si>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</si>
  <si>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</si>
  <si>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</si>
  <si>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</si>
  <si>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</si>
  <si>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</si>
  <si>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</si>
  <si>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</si>
  <si>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</si>
  <si>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</si>
  <si>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</si>
  <si>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</si>
  <si>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</si>
  <si>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</si>
  <si>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</si>
  <si>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</si>
  <si>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</si>
  <si>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</si>
  <si>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</si>
  <si>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</si>
  <si>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</si>
  <si>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</si>
  <si>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</si>
  <si>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</si>
  <si>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</si>
  <si>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</si>
  <si>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</si>
  <si>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</si>
  <si>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</t>
  </si>
  <si>
    <t>Отчет об исполнении договора управления многоквартирного дома 
Мамина-Сибиряка, 31 в части текущего ремонта</t>
  </si>
  <si>
    <t>Техническое обслуживание охранной сигнализации ИТП.</t>
  </si>
  <si>
    <t>ежемесячно</t>
  </si>
  <si>
    <t>ежегодно</t>
  </si>
  <si>
    <t>площадь дома</t>
  </si>
  <si>
    <t xml:space="preserve">  -  техническое обслуживание охранной сигнализации</t>
  </si>
  <si>
    <t xml:space="preserve">Услуги и работы по управлению 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</si>
  <si>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</si>
  <si>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</si>
  <si>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</si>
  <si>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</si>
  <si>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</si>
  <si>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процессора платы управления лифта.</t>
  </si>
  <si>
    <t>разово</t>
  </si>
  <si>
    <t>счет №Л585 от 06.12.2018</t>
  </si>
  <si>
    <t>Приобретение и установка таблички по пожарной безопасности.</t>
  </si>
  <si>
    <t>АВР 1/20 от 03.04.2020, Решение, счет №21 от 10.03.2020</t>
  </si>
  <si>
    <t>Изготовление и монтаж решетчатой двери (9 этаж).</t>
  </si>
  <si>
    <t>Изготовление и монтаж козырька и ливневки.</t>
  </si>
  <si>
    <t>АВР 2/20 от 10.04.2020, счет от 12.03.2020</t>
  </si>
  <si>
    <t>АВР 3/20 от 24.04.2020, Решение, счет №25 от 30.03.2020</t>
  </si>
  <si>
    <t>Благоустройство придомовой территории (приобретение чернозема).</t>
  </si>
  <si>
    <t>АВР 4/20 от 02.06.2020</t>
  </si>
  <si>
    <t>Благоустройство придомовой территории (приобретение песка).</t>
  </si>
  <si>
    <t>АВР 5/20 от 02.06.2020</t>
  </si>
  <si>
    <t>Приобретение и монтаж доводчика на тамбурную дверь.</t>
  </si>
  <si>
    <t>АВР 6/20 от 09.11.2020</t>
  </si>
  <si>
    <t>АВР 7/20 от 09.11.2020, Решение, счет №Л000443 от 30.09.2020, смета</t>
  </si>
  <si>
    <t>Приобретение и укладка грязезащитного коврика в тамбур подъезда.</t>
  </si>
  <si>
    <t>АВР 8/20 от 03.12.20, Решение, счет №96 от 10.11.2020</t>
  </si>
  <si>
    <t>Аварийная замена полотенцесушителя с установкой отсечных кранов и байпаса (кв.41).</t>
  </si>
  <si>
    <t>АВР 9/20 от 08.12.2020, Решение, Заявление</t>
  </si>
  <si>
    <t>АВР 10/20 от 27.01.2021</t>
  </si>
  <si>
    <t xml:space="preserve">  -  ремонт подъезда</t>
  </si>
  <si>
    <t xml:space="preserve">  -  ремонт автоматики в ИТП</t>
  </si>
  <si>
    <t>Монтаж системы диспетчеризации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</si>
</sst>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34" fillId="0" borderId="0" xfId="0" applyNumberFormat="1" applyFont="1"/>
    <xf numFmtId="0" fontId="10" fillId="0" borderId="0" xfId="5" applyBorder="1" applyAlignment="1">
      <alignment horizontal="center"/>
    </xf>
    <xf numFmtId="1" fontId="10" fillId="0" borderId="0" xfId="5" applyNumberFormat="1" applyBorder="1" applyAlignment="1">
      <alignment horizontal="center"/>
    </xf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/>
    <xf numFmtId="4" fontId="10" fillId="0" borderId="0" xfId="5" applyNumberFormat="1" applyBorder="1" applyAlignment="1"/>
    <xf numFmtId="4" fontId="24" fillId="0" borderId="0" xfId="5" applyNumberFormat="1" applyFont="1" applyFill="1" applyBorder="1" applyAlignment="1"/>
    <xf numFmtId="0" fontId="9" fillId="0" borderId="0" xfId="5" applyFont="1" applyFill="1" applyBorder="1" applyAlignment="1"/>
    <xf numFmtId="0" fontId="0" fillId="6" borderId="0" xfId="0" applyFill="1"/>
    <xf numFmtId="0" fontId="8" fillId="6" borderId="0" xfId="9" applyFont="1" applyFill="1" applyBorder="1" applyAlignment="1"/>
    <xf numFmtId="0" fontId="8" fillId="6" borderId="0" xfId="9" applyFont="1" applyFill="1" applyBorder="1" applyAlignment="1">
      <alignment horizontal="center"/>
    </xf>
    <xf numFmtId="1" fontId="8" fillId="6" borderId="0" xfId="9" applyNumberFormat="1" applyFill="1" applyBorder="1" applyAlignment="1">
      <alignment horizontal="center"/>
    </xf>
    <xf numFmtId="4" fontId="8" fillId="6" borderId="0" xfId="9" applyNumberFormat="1" applyFill="1" applyBorder="1" applyAlignment="1"/>
    <xf numFmtId="0" fontId="7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4" fontId="10" fillId="0" borderId="0" xfId="5" applyNumberFormat="1" applyFill="1" applyBorder="1" applyAlignment="1"/>
    <xf numFmtId="0" fontId="6" fillId="0" borderId="0" xfId="5" applyFont="1" applyFill="1" applyBorder="1"/>
    <xf numFmtId="0" fontId="6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8" applyFont="1" applyFill="1" applyBorder="1" applyAlignment="1"/>
    <xf numFmtId="0" fontId="5" fillId="0" borderId="0" xfId="8" applyFont="1" applyFill="1" applyBorder="1" applyAlignment="1">
      <alignment horizontal="center"/>
    </xf>
    <xf numFmtId="0" fontId="8" fillId="0" borderId="0" xfId="8" applyFill="1" applyBorder="1" applyAlignment="1">
      <alignment horizontal="center"/>
    </xf>
    <xf numFmtId="4" fontId="24" fillId="0" borderId="0" xfId="8" applyNumberFormat="1" applyFont="1" applyFill="1" applyBorder="1" applyAlignment="1"/>
    <xf numFmtId="0" fontId="4" fillId="0" borderId="0" xfId="9" applyFont="1" applyFill="1" applyBorder="1" applyAlignment="1"/>
    <xf numFmtId="0" fontId="8" fillId="0" borderId="0" xfId="9" applyFont="1" applyFill="1" applyBorder="1" applyAlignment="1">
      <alignment horizontal="center"/>
    </xf>
    <xf numFmtId="1" fontId="8" fillId="0" borderId="0" xfId="9" applyNumberFormat="1" applyFill="1" applyBorder="1" applyAlignment="1">
      <alignment horizontal="center"/>
    </xf>
    <xf numFmtId="4" fontId="8" fillId="0" borderId="0" xfId="9" applyNumberFormat="1" applyFill="1" applyBorder="1" applyAlignment="1"/>
    <xf numFmtId="0" fontId="0" fillId="0" borderId="0" xfId="0" applyFill="1" applyBorder="1"/>
    <xf numFmtId="0" fontId="3" fillId="0" borderId="0" xfId="9" applyFont="1" applyFill="1" applyBorder="1" applyAlignment="1"/>
    <xf numFmtId="0" fontId="2" fillId="0" borderId="0" xfId="9" applyFont="1" applyFill="1" applyBorder="1" applyAlignment="1"/>
    <xf numFmtId="0" fontId="1" fillId="0" borderId="0" xfId="2" applyFont="1" applyFill="1" applyBorder="1" applyAlignment="1"/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49" fontId="17" fillId="3" borderId="0" xfId="0" applyNumberFormat="1" applyFont="1" applyFill="1" applyBorder="1" applyAlignment="1">
      <alignment wrapText="1"/>
    </xf>
    <xf numFmtId="4" fontId="16" fillId="3" borderId="0" xfId="0" applyNumberFormat="1" applyFont="1" applyFill="1"/>
    <xf numFmtId="0" fontId="17" fillId="3" borderId="0" xfId="0" applyFont="1" applyFill="1" applyBorder="1" applyAlignment="1">
      <alignment wrapText="1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9">
    <cellStyle name="Обычный" xfId="0" builtinId="0"/>
    <cellStyle name="Обычный 2" xfId="1"/>
    <cellStyle name="Обычный 2 2" xfId="3"/>
    <cellStyle name="Обычный 2 3" xfId="6"/>
    <cellStyle name="Обычный 2 3 2" xfId="14"/>
    <cellStyle name="Обычный 2 4" xfId="10"/>
    <cellStyle name="Обычный 3" xfId="2"/>
    <cellStyle name="Обычный 3 2" xfId="7"/>
    <cellStyle name="Обычный 3 2 2" xfId="15"/>
    <cellStyle name="Обычный 3 3" xfId="11"/>
    <cellStyle name="Обычный 4" xfId="4"/>
    <cellStyle name="Обычный 4 2" xfId="8"/>
    <cellStyle name="Обычный 4 2 2" xfId="16"/>
    <cellStyle name="Обычный 4 3" xfId="12"/>
    <cellStyle name="Обычный 5" xfId="5"/>
    <cellStyle name="Обычный 5 2" xfId="9"/>
    <cellStyle name="Обычный 5 2 2" xfId="18"/>
    <cellStyle name="Обычный 5 3" xfId="17"/>
    <cellStyle name="Обычный 5 4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6" t="s">
        <v>178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7"/>
      <c r="M8" s="109"/>
      <c r="N8" s="109"/>
      <c r="O8" s="70" t="s">
        <v>84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7"/>
      <c r="M9" s="109"/>
      <c r="N9" s="109"/>
      <c r="O9" s="70" t="s">
        <v>85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125230.32000000007</v>
      </c>
      <c r="K10" s="109"/>
      <c r="L10" s="177"/>
      <c r="M10" s="109"/>
      <c r="N10" s="109"/>
      <c r="O10" s="70" t="s">
        <v>86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898241.90000000026</v>
      </c>
      <c r="K11" s="109"/>
      <c r="L11" s="177"/>
      <c r="M11" s="109"/>
      <c r="N11" s="109"/>
      <c r="O11" s="70" t="s">
        <v>87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534978.66000000027</v>
      </c>
      <c r="K12" s="109"/>
      <c r="L12" s="177"/>
      <c r="M12" s="109"/>
      <c r="N12" s="109"/>
      <c r="O12" s="70" t="s">
        <v>88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179850</v>
      </c>
      <c r="K13" s="109"/>
      <c r="L13" s="177"/>
      <c r="M13" s="109"/>
      <c r="N13" s="109"/>
      <c r="O13" s="70" t="s">
        <v>89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183413.24000000002</v>
      </c>
      <c r="K14" s="109"/>
      <c r="L14" s="177"/>
      <c r="M14" s="109"/>
      <c r="N14" s="109"/>
      <c r="O14" s="70" t="s">
        <v>90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894327.94</v>
      </c>
      <c r="K15" s="109"/>
      <c r="L15" s="177"/>
      <c r="M15" s="109"/>
      <c r="N15" s="109"/>
      <c r="O15" s="70" t="s">
        <v>91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894327.94</v>
      </c>
      <c r="K16" s="109"/>
      <c r="L16" s="177"/>
      <c r="M16" s="109"/>
      <c r="N16" s="109"/>
      <c r="O16" s="70" t="s">
        <v>92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7"/>
      <c r="M17" s="109"/>
      <c r="N17" s="109"/>
      <c r="O17" s="70" t="s">
        <v>93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7"/>
      <c r="M18" s="109"/>
      <c r="N18" s="109"/>
      <c r="O18" s="70" t="s">
        <v>94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7"/>
      <c r="M19" s="109"/>
      <c r="N19" s="109"/>
      <c r="O19" s="70" t="s">
        <v>95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7"/>
      <c r="M20" s="109"/>
      <c r="N20" s="109"/>
      <c r="O20" s="70" t="s">
        <v>96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894327.94</v>
      </c>
      <c r="K21" s="109"/>
      <c r="L21" s="177"/>
      <c r="M21" s="109"/>
      <c r="N21" s="109"/>
      <c r="O21" s="70" t="s">
        <v>97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7"/>
      <c r="M22" s="109"/>
      <c r="N22" s="109"/>
      <c r="O22" s="70" t="s">
        <v>98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7"/>
      <c r="M23" s="109"/>
      <c r="N23" s="109"/>
      <c r="O23" s="70" t="s">
        <v>99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129144.28000000038</v>
      </c>
      <c r="K24" s="109"/>
      <c r="L24" s="177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6">
        <f>VLOOKUP(A28,ПТО!$A$39:$D$53,2,FALSE)</f>
        <v>229128.96000000002</v>
      </c>
      <c r="G28" s="166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1">
        <f>ПТО!A40</f>
        <v>0</v>
      </c>
      <c r="B29" s="161"/>
      <c r="C29" s="161"/>
      <c r="D29" s="161"/>
      <c r="E29" s="161"/>
      <c r="F29" s="166" t="e">
        <f>VLOOKUP(A29,ПТО!$A$39:$D$53,2,FALSE)</f>
        <v>#N/A</v>
      </c>
      <c r="G29" s="166"/>
      <c r="H29" s="42" t="e">
        <f>VLOOKUP(A29,ПТО!$A$39:$D$53,3,FALSE)</f>
        <v>#N/A</v>
      </c>
      <c r="I29" s="162" t="e">
        <f>VLOOKUP(A29,ПТО!$A$39:$D$53,4,FALSE)</f>
        <v>#N/A</v>
      </c>
      <c r="J29" s="162"/>
      <c r="K29" s="109"/>
      <c r="L29" s="178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1"/>
      <c r="C30" s="161"/>
      <c r="D30" s="161"/>
      <c r="E30" s="161"/>
      <c r="F30" s="166">
        <f>VLOOKUP(A30,ПТО!$A$39:$D$53,2,FALSE)</f>
        <v>75537</v>
      </c>
      <c r="G30" s="166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6">
        <f>VLOOKUP(A31,ПТО!$A$39:$D$53,2,FALSE)</f>
        <v>43164</v>
      </c>
      <c r="G31" s="166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09"/>
      <c r="L32" s="17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6">
        <f>VLOOKUP(A33,ПТО!$A$39:$D$53,2,FALSE)</f>
        <v>14388</v>
      </c>
      <c r="G33" s="166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6">
        <f>VLOOKUP(A34,ПТО!$A$39:$D$53,2,FALSE)</f>
        <v>93522</v>
      </c>
      <c r="G34" s="166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1" t="str">
        <f>ПТО!A46</f>
        <v>Работы по содержанию лифта (лифтов)</v>
      </c>
      <c r="B35" s="161"/>
      <c r="C35" s="161"/>
      <c r="D35" s="161"/>
      <c r="E35" s="161"/>
      <c r="F35" s="166">
        <f>VLOOKUP(A35,ПТО!$A$39:$D$53,2,FALSE)</f>
        <v>67623.600000000006</v>
      </c>
      <c r="G35" s="166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09"/>
      <c r="L35" s="178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61" t="str">
        <f>ПТО!A47</f>
        <v xml:space="preserve">Услуги и работы по управлению </v>
      </c>
      <c r="B36" s="161"/>
      <c r="C36" s="161"/>
      <c r="D36" s="161"/>
      <c r="E36" s="161"/>
      <c r="F36" s="166">
        <f>VLOOKUP(A36,ПТО!$A$39:$D$53,2,FALSE)</f>
        <v>179850</v>
      </c>
      <c r="G36" s="166"/>
      <c r="H36" s="42" t="str">
        <f>VLOOKUP(A36,ПТО!$A$39:$D$53,3,FALSE)</f>
        <v>Ежемесячно</v>
      </c>
      <c r="I36" s="162">
        <f>VLOOKUP(A36,ПТО!$A$39:$D$53,4,FALSE)</f>
        <v>12</v>
      </c>
      <c r="J36" s="162"/>
      <c r="K36" s="109"/>
      <c r="L36" s="178"/>
      <c r="M36" s="115"/>
      <c r="N36" s="109"/>
      <c r="O36" s="23" t="str">
        <f t="shared" si="1"/>
        <v xml:space="preserve">Услуги и работы по управлению </v>
      </c>
      <c r="R36" s="1" t="s">
        <v>71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09"/>
      <c r="L37" s="17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09"/>
      <c r="L38" s="17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09"/>
      <c r="L39" s="17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09"/>
      <c r="L40" s="17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09"/>
      <c r="L41" s="17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09"/>
      <c r="L42" s="17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1" t="str">
        <f>ПТО!A2</f>
        <v>Техническое обслуживание охранной сигнализации ИТП.</v>
      </c>
      <c r="B43" s="161"/>
      <c r="C43" s="161"/>
      <c r="D43" s="161"/>
      <c r="E43" s="161"/>
      <c r="F43" s="166">
        <f>VLOOKUP(A43,ПТО!$A$2:$D$31,4,FALSE)</f>
        <v>6000</v>
      </c>
      <c r="G43" s="166"/>
      <c r="H43" s="19" t="str">
        <f>VLOOKUP(A43,ПТО!$A$2:$D$31,2,FALSE)</f>
        <v>ежемесячно</v>
      </c>
      <c r="I43" s="162">
        <f>VLOOKUP(A43,ПТО!$A$2:$D$31,3,FALSE)</f>
        <v>12</v>
      </c>
      <c r="J43" s="162"/>
      <c r="K43" s="109"/>
      <c r="L43" s="178"/>
      <c r="M43" s="115"/>
      <c r="N43" s="109"/>
      <c r="O43" s="23" t="str">
        <f t="shared" si="1"/>
        <v>Техническое обслуживание охранной сигнализации ИТП.</v>
      </c>
      <c r="R43" s="22" t="s">
        <v>72</v>
      </c>
    </row>
    <row r="44" spans="1:18" ht="51" customHeight="1" outlineLevel="1">
      <c r="A44" s="161" t="str">
        <f>ПТО!A3</f>
        <v>Техническое освидетельствование лифта.</v>
      </c>
      <c r="B44" s="161"/>
      <c r="C44" s="161"/>
      <c r="D44" s="161"/>
      <c r="E44" s="161"/>
      <c r="F44" s="166">
        <f>VLOOKUP(A44,ПТО!$A$2:$D$31,4,FALSE)</f>
        <v>8100</v>
      </c>
      <c r="G44" s="166"/>
      <c r="H44" s="25" t="str">
        <f>VLOOKUP(A44,ПТО!$A$2:$D$31,2,FALSE)</f>
        <v>ежегодно</v>
      </c>
      <c r="I44" s="162">
        <f>VLOOKUP(A44,ПТО!$A$2:$D$31,3,FALSE)</f>
        <v>1</v>
      </c>
      <c r="J44" s="162"/>
      <c r="K44" s="109"/>
      <c r="L44" s="178"/>
      <c r="M44" s="115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61" t="str">
        <f>ПТО!A4</f>
        <v>Изготовление и монтаж решетчатой двери (9 этаж).</v>
      </c>
      <c r="B45" s="161"/>
      <c r="C45" s="161"/>
      <c r="D45" s="161"/>
      <c r="E45" s="161"/>
      <c r="F45" s="166">
        <f>VLOOKUP(A45,ПТО!$A$2:$D$31,4,FALSE)</f>
        <v>27350</v>
      </c>
      <c r="G45" s="166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09"/>
      <c r="L45" s="178"/>
      <c r="M45" s="115"/>
      <c r="N45" s="109"/>
      <c r="O45" s="23" t="str">
        <f t="shared" si="1"/>
        <v>Изготовление и монтаж решетчатой двери (9 этаж).</v>
      </c>
      <c r="R45" s="22" t="s">
        <v>72</v>
      </c>
    </row>
    <row r="46" spans="1:18" ht="51" customHeight="1" outlineLevel="1">
      <c r="A46" s="161" t="str">
        <f>ПТО!A5</f>
        <v>Приобретение и установка таблички по пожарной безопасности.</v>
      </c>
      <c r="B46" s="161"/>
      <c r="C46" s="161"/>
      <c r="D46" s="161"/>
      <c r="E46" s="161"/>
      <c r="F46" s="166">
        <f>VLOOKUP(A46,ПТО!$A$2:$D$31,4,FALSE)</f>
        <v>250</v>
      </c>
      <c r="G46" s="166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09"/>
      <c r="L46" s="178"/>
      <c r="M46" s="115"/>
      <c r="N46" s="109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61" t="str">
        <f>ПТО!A6</f>
        <v>Изготовление и монтаж козырька и ливневки.</v>
      </c>
      <c r="B47" s="161"/>
      <c r="C47" s="161"/>
      <c r="D47" s="161"/>
      <c r="E47" s="161"/>
      <c r="F47" s="166">
        <f>VLOOKUP(A47,ПТО!$A$2:$D$31,4,FALSE)</f>
        <v>62060</v>
      </c>
      <c r="G47" s="166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09"/>
      <c r="L47" s="178"/>
      <c r="M47" s="115"/>
      <c r="N47" s="109"/>
      <c r="O47" s="23" t="str">
        <f t="shared" si="1"/>
        <v>Изготовление и монтаж козырька и ливневки.</v>
      </c>
      <c r="R47" s="22" t="s">
        <v>72</v>
      </c>
    </row>
    <row r="48" spans="1:18" ht="51" customHeight="1" outlineLevel="1">
      <c r="A48" s="161" t="str">
        <f>ПТО!A7</f>
        <v>Благоустройство придомовой территории (приобретение чернозема).</v>
      </c>
      <c r="B48" s="161"/>
      <c r="C48" s="161"/>
      <c r="D48" s="161"/>
      <c r="E48" s="161"/>
      <c r="F48" s="166">
        <f>VLOOKUP(A48,ПТО!$A$2:$D$31,4,FALSE)</f>
        <v>4500</v>
      </c>
      <c r="G48" s="166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09"/>
      <c r="L48" s="178"/>
      <c r="M48" s="115"/>
      <c r="N48" s="109"/>
      <c r="O48" s="23" t="str">
        <f t="shared" si="1"/>
        <v>Благоустройство придомовой территории (приобретение чернозема).</v>
      </c>
      <c r="R48" s="22" t="s">
        <v>72</v>
      </c>
    </row>
    <row r="49" spans="1:18" ht="51" customHeight="1" outlineLevel="1">
      <c r="A49" s="161" t="str">
        <f>ПТО!A8</f>
        <v>Благоустройство придомовой территории (приобретение песка).</v>
      </c>
      <c r="B49" s="161"/>
      <c r="C49" s="161"/>
      <c r="D49" s="161"/>
      <c r="E49" s="161"/>
      <c r="F49" s="166">
        <f>VLOOKUP(A49,ПТО!$A$2:$D$31,4,FALSE)</f>
        <v>4500</v>
      </c>
      <c r="G49" s="166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09"/>
      <c r="L49" s="178"/>
      <c r="M49" s="115"/>
      <c r="N49" s="109"/>
      <c r="O49" s="23" t="str">
        <f t="shared" si="1"/>
        <v>Благоустройство придомовой территории (приобретение песка).</v>
      </c>
      <c r="R49" s="22" t="s">
        <v>72</v>
      </c>
    </row>
    <row r="50" spans="1:18" ht="51" customHeight="1" outlineLevel="1">
      <c r="A50" s="161" t="str">
        <f>ПТО!A9</f>
        <v>Приобретение и монтаж доводчика на тамбурную дверь.</v>
      </c>
      <c r="B50" s="161"/>
      <c r="C50" s="161"/>
      <c r="D50" s="161"/>
      <c r="E50" s="161"/>
      <c r="F50" s="166">
        <f>VLOOKUP(A50,ПТО!$A$2:$D$31,4,FALSE)</f>
        <v>1000</v>
      </c>
      <c r="G50" s="166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09"/>
      <c r="L50" s="178"/>
      <c r="M50" s="115"/>
      <c r="N50" s="109"/>
      <c r="O50" s="23" t="str">
        <f t="shared" si="1"/>
        <v>Приобретение и монтаж доводчика на тамбурную дверь.</v>
      </c>
      <c r="R50" s="22" t="s">
        <v>72</v>
      </c>
    </row>
    <row r="51" spans="1:18" ht="51" customHeight="1" outlineLevel="1">
      <c r="A51" s="161" t="str">
        <f>ПТО!A10</f>
        <v>Монтаж системы диспетчеризации лифта.</v>
      </c>
      <c r="B51" s="161"/>
      <c r="C51" s="161"/>
      <c r="D51" s="161"/>
      <c r="E51" s="161"/>
      <c r="F51" s="166">
        <f>VLOOKUP(A51,ПТО!$A$2:$D$31,4,FALSE)</f>
        <v>33170.94</v>
      </c>
      <c r="G51" s="166"/>
      <c r="H51" s="25" t="str">
        <f>VLOOKUP(A51,ПТО!$A$2:$D$31,2,FALSE)</f>
        <v>разово</v>
      </c>
      <c r="I51" s="162">
        <f>VLOOKUP(A51,ПТО!$A$2:$D$31,3,FALSE)</f>
        <v>1</v>
      </c>
      <c r="J51" s="162"/>
      <c r="K51" s="109"/>
      <c r="L51" s="178"/>
      <c r="M51" s="115"/>
      <c r="N51" s="109"/>
      <c r="O51" s="23" t="str">
        <f t="shared" si="1"/>
        <v>Монтаж системы диспетчеризации лифта.</v>
      </c>
      <c r="R51" s="22" t="s">
        <v>72</v>
      </c>
    </row>
    <row r="52" spans="1:18" ht="51" customHeight="1" outlineLevel="1">
      <c r="A52" s="161" t="str">
        <f>ПТО!A11</f>
        <v>Приобретение и укладка грязезащитного коврика в тамбур подъезда.</v>
      </c>
      <c r="B52" s="161"/>
      <c r="C52" s="161"/>
      <c r="D52" s="161"/>
      <c r="E52" s="161"/>
      <c r="F52" s="166">
        <f>VLOOKUP(A52,ПТО!$A$2:$D$31,4,FALSE)</f>
        <v>1480</v>
      </c>
      <c r="G52" s="166"/>
      <c r="H52" s="25" t="str">
        <f>VLOOKUP(A52,ПТО!$A$2:$D$31,2,FALSE)</f>
        <v>разово</v>
      </c>
      <c r="I52" s="162">
        <f>VLOOKUP(A52,ПТО!$A$2:$D$31,3,FALSE)</f>
        <v>1</v>
      </c>
      <c r="J52" s="162"/>
      <c r="K52" s="109"/>
      <c r="L52" s="178"/>
      <c r="M52" s="115"/>
      <c r="N52" s="109"/>
      <c r="O52" s="23" t="str">
        <f t="shared" si="1"/>
        <v>Приобретение и укладка грязезащитного коврика в тамбур подъезда.</v>
      </c>
      <c r="R52" s="22" t="s">
        <v>72</v>
      </c>
    </row>
    <row r="53" spans="1:18" ht="51" customHeight="1" outlineLevel="1">
      <c r="A53" s="161" t="str">
        <f>ПТО!A12</f>
        <v>Аварийная замена полотенцесушителя с установкой отсечных кранов и байпаса (кв.41).</v>
      </c>
      <c r="B53" s="161"/>
      <c r="C53" s="161"/>
      <c r="D53" s="161"/>
      <c r="E53" s="161"/>
      <c r="F53" s="166">
        <f>VLOOKUP(A53,ПТО!$A$2:$D$31,4,FALSE)</f>
        <v>5000</v>
      </c>
      <c r="G53" s="166"/>
      <c r="H53" s="25" t="str">
        <f>VLOOKUP(A53,ПТО!$A$2:$D$31,2,FALSE)</f>
        <v>разово</v>
      </c>
      <c r="I53" s="162">
        <f>VLOOKUP(A53,ПТО!$A$2:$D$31,3,FALSE)</f>
        <v>1</v>
      </c>
      <c r="J53" s="162"/>
      <c r="K53" s="109"/>
      <c r="L53" s="178"/>
      <c r="M53" s="115"/>
      <c r="N53" s="109"/>
      <c r="O53" s="23" t="str">
        <f t="shared" si="1"/>
        <v>Аварийная замена полотенцесушителя с установкой отсечных кранов и байпаса (кв.41).</v>
      </c>
      <c r="R53" s="22" t="s">
        <v>72</v>
      </c>
    </row>
    <row r="54" spans="1:18" ht="51" customHeight="1" outlineLevel="1">
      <c r="A54" s="161" t="str">
        <f>ПТО!A13</f>
        <v>Приобретение процессора платы управления лифта.</v>
      </c>
      <c r="B54" s="161"/>
      <c r="C54" s="161"/>
      <c r="D54" s="161"/>
      <c r="E54" s="161"/>
      <c r="F54" s="166">
        <f>VLOOKUP(A54,ПТО!$A$2:$D$31,4,FALSE)</f>
        <v>4100</v>
      </c>
      <c r="G54" s="166"/>
      <c r="H54" s="25" t="str">
        <f>VLOOKUP(A54,ПТО!$A$2:$D$31,2,FALSE)</f>
        <v>разово</v>
      </c>
      <c r="I54" s="162">
        <f>VLOOKUP(A54,ПТО!$A$2:$D$31,3,FALSE)</f>
        <v>1</v>
      </c>
      <c r="J54" s="162"/>
      <c r="K54" s="109"/>
      <c r="L54" s="178"/>
      <c r="M54" s="115"/>
      <c r="N54" s="109"/>
      <c r="O54" s="23" t="str">
        <f t="shared" si="1"/>
        <v>Приобретение процессора платы управления лифта.</v>
      </c>
      <c r="R54" s="22" t="s">
        <v>72</v>
      </c>
    </row>
    <row r="55" spans="1:18" ht="51" hidden="1" customHeight="1" outlineLevel="1">
      <c r="A55" s="161">
        <f>ПТО!A14</f>
        <v>0</v>
      </c>
      <c r="B55" s="161"/>
      <c r="C55" s="161"/>
      <c r="D55" s="161"/>
      <c r="E55" s="161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09"/>
      <c r="L55" s="178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1">
        <f>ПТО!A15</f>
        <v>0</v>
      </c>
      <c r="B56" s="161"/>
      <c r="C56" s="161"/>
      <c r="D56" s="161"/>
      <c r="E56" s="161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09"/>
      <c r="L56" s="17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09"/>
      <c r="L57" s="17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09"/>
      <c r="L58" s="17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09"/>
      <c r="L59" s="17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09"/>
      <c r="L60" s="17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09"/>
      <c r="L61" s="17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09"/>
      <c r="L62" s="17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09"/>
      <c r="L63" s="17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09"/>
      <c r="L64" s="17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09"/>
      <c r="L65" s="17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09"/>
      <c r="L66" s="17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09"/>
      <c r="L67" s="17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09"/>
      <c r="L68" s="17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09"/>
      <c r="L69" s="17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09"/>
      <c r="L70" s="17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5"/>
      <c r="L71" s="17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09"/>
      <c r="L72" s="17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9" t="s">
        <v>27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09"/>
      <c r="L75" s="181"/>
      <c r="M75" s="109"/>
      <c r="N75" s="109"/>
      <c r="O75" s="70" t="s">
        <v>101</v>
      </c>
    </row>
    <row r="76" spans="1:16384" ht="18.75" customHeight="1" outlineLevel="1">
      <c r="A76" s="179" t="s">
        <v>28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09"/>
      <c r="L76" s="181"/>
      <c r="M76" s="109"/>
      <c r="N76" s="109"/>
      <c r="O76" s="70" t="s">
        <v>102</v>
      </c>
    </row>
    <row r="77" spans="1:16384" ht="21.75" customHeight="1" outlineLevel="1">
      <c r="A77" s="179" t="s">
        <v>29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09"/>
      <c r="L77" s="181"/>
      <c r="M77" s="109"/>
      <c r="N77" s="109"/>
      <c r="O77" s="70" t="s">
        <v>103</v>
      </c>
    </row>
    <row r="78" spans="1:16384" ht="18.75" customHeight="1" outlineLevel="1">
      <c r="A78" s="179" t="s">
        <v>30</v>
      </c>
      <c r="B78" s="179"/>
      <c r="C78" s="179"/>
      <c r="D78" s="179"/>
      <c r="E78" s="179"/>
      <c r="F78" s="179"/>
      <c r="G78" s="179"/>
      <c r="H78" s="179"/>
      <c r="I78" s="179"/>
      <c r="J78" s="97">
        <f>VLOOKUP(O78,АО,3,FALSE)</f>
        <v>0</v>
      </c>
      <c r="K78" s="109"/>
      <c r="L78" s="181"/>
      <c r="M78" s="109"/>
      <c r="N78" s="109"/>
      <c r="O78" s="70" t="s">
        <v>104</v>
      </c>
    </row>
    <row r="79" spans="1:16384">
      <c r="A79" s="114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67"/>
      <c r="M81" s="109"/>
      <c r="N81" s="109"/>
      <c r="O81" s="70" t="s">
        <v>105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67"/>
      <c r="M82" s="109"/>
      <c r="N82" s="109"/>
      <c r="O82" s="70" t="s">
        <v>106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320393.64</v>
      </c>
      <c r="K83" s="109"/>
      <c r="L83" s="167"/>
      <c r="M83" s="109"/>
      <c r="N83" s="109"/>
      <c r="O83" s="70" t="s">
        <v>107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09"/>
      <c r="L84" s="167"/>
      <c r="M84" s="109"/>
      <c r="N84" s="109"/>
      <c r="O84" s="70" t="s">
        <v>108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09"/>
      <c r="L85" s="167"/>
      <c r="M85" s="109"/>
      <c r="N85" s="109"/>
      <c r="O85" s="70" t="s">
        <v>109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318800.58</v>
      </c>
      <c r="K86" s="109"/>
      <c r="L86" s="167"/>
      <c r="M86" s="109"/>
      <c r="N86" s="109"/>
      <c r="O86" s="70" t="s">
        <v>110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9"/>
      <c r="L87" s="167"/>
      <c r="M87" s="109"/>
      <c r="N87" s="109"/>
      <c r="O87" s="70" t="s">
        <v>111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9"/>
      <c r="L88" s="167"/>
      <c r="M88" s="109"/>
      <c r="N88" s="109"/>
      <c r="O88" s="70" t="s">
        <v>112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9"/>
      <c r="L89" s="167"/>
      <c r="M89" s="109"/>
      <c r="N89" s="109"/>
      <c r="O89" s="70" t="s">
        <v>113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09"/>
      <c r="L90" s="167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2" t="s">
        <v>48</v>
      </c>
      <c r="B93" s="182"/>
      <c r="C93" s="182"/>
      <c r="D93" s="183" t="s">
        <v>49</v>
      </c>
      <c r="E93" s="183"/>
      <c r="F93" s="10" t="s">
        <v>50</v>
      </c>
      <c r="G93" s="182" t="s">
        <v>51</v>
      </c>
      <c r="H93" s="182"/>
      <c r="I93" s="182"/>
      <c r="J93" s="182"/>
      <c r="K93" s="109"/>
      <c r="L93" s="109"/>
      <c r="M93" s="109"/>
      <c r="N93" s="109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5">
        <f>VLOOKUP("эл",АО,5,FALSE)</f>
        <v>39800.409999999996</v>
      </c>
      <c r="H94" s="164"/>
      <c r="I94" s="164"/>
      <c r="J94" s="164"/>
      <c r="K94" s="1" t="str">
        <f>VLOOKUP("эл",АО,2,FALSE)</f>
        <v>Электроснабжение</v>
      </c>
      <c r="L94" s="168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34912.640350877191</v>
      </c>
      <c r="L95" s="168"/>
      <c r="O95" s="1" t="s">
        <v>115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39123.919999999998</v>
      </c>
      <c r="L96" s="168"/>
      <c r="O96" s="1" t="s">
        <v>116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676.48999999999796</v>
      </c>
      <c r="L97" s="168"/>
      <c r="O97" s="1" t="s">
        <v>117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39800.409999999996</v>
      </c>
      <c r="L98" s="168"/>
      <c r="O98" s="1" t="s">
        <v>118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39800.409999999996</v>
      </c>
      <c r="L99" s="168"/>
      <c r="O99" s="1" t="s">
        <v>119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68"/>
      <c r="O100" s="1" t="s">
        <v>120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68"/>
      <c r="O101" s="1" t="s">
        <v>121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5">
        <f>VLOOKUP("хвс",АО,5,FALSE)</f>
        <v>97597.12999999999</v>
      </c>
      <c r="H102" s="164"/>
      <c r="I102" s="164"/>
      <c r="J102" s="164"/>
      <c r="L102" s="168"/>
    </row>
    <row r="103" spans="1:15" outlineLevel="2">
      <c r="A103" s="180" t="str">
        <f t="shared" ref="A103:A109" si="4">IF(VLOOKUP("хвс",АО,3,FALSE)&gt;0,VLOOKUP(O103,АО,2,FALSE),0)</f>
        <v>Общий объем потребления, нат. показ.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7213.3872875092384</v>
      </c>
      <c r="L103" s="168"/>
      <c r="O103" s="1" t="s">
        <v>124</v>
      </c>
    </row>
    <row r="104" spans="1:15" ht="18.75" customHeight="1" outlineLevel="2">
      <c r="A104" s="180" t="str">
        <f t="shared" si="4"/>
        <v>Оплачено потребителями, руб.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102092.89000000001</v>
      </c>
      <c r="L104" s="168"/>
      <c r="O104" s="1" t="s">
        <v>125</v>
      </c>
    </row>
    <row r="105" spans="1:15" ht="18.75" customHeight="1" outlineLevel="2">
      <c r="A105" s="180" t="str">
        <f t="shared" si="4"/>
        <v>Задолженность потребителей, руб.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0</v>
      </c>
      <c r="L105" s="168"/>
      <c r="O105" s="1" t="s">
        <v>126</v>
      </c>
    </row>
    <row r="106" spans="1:15" ht="36.75" customHeight="1" outlineLevel="2">
      <c r="A106" s="180" t="str">
        <f t="shared" si="4"/>
        <v>Начислено поставщиком (поставщиками) коммунального ресурса, руб.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97597.12999999999</v>
      </c>
      <c r="L106" s="168"/>
      <c r="O106" s="1" t="s">
        <v>127</v>
      </c>
    </row>
    <row r="107" spans="1:15" ht="18.75" customHeight="1" outlineLevel="2">
      <c r="A107" s="180" t="str">
        <f t="shared" si="4"/>
        <v>Оплачено поставщику (поставщикам) коммунального ресурса, руб.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97597.12999999999</v>
      </c>
      <c r="L107" s="168"/>
      <c r="O107" s="1" t="s">
        <v>128</v>
      </c>
    </row>
    <row r="108" spans="1:15" ht="37.5" customHeight="1" outlineLevel="2">
      <c r="A108" s="180" t="str">
        <f t="shared" si="4"/>
        <v>Задолженность перед поставщиком (поставщиками) коммунального ресурса, руб.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68"/>
      <c r="O108" s="1" t="s">
        <v>129</v>
      </c>
    </row>
    <row r="109" spans="1:15" ht="39.75" customHeight="1" outlineLevel="2">
      <c r="A109" s="180" t="str">
        <f t="shared" si="4"/>
        <v>Размер пени и штрафов, уплаченных поставщику (поставщикам) коммунального ресурса, руб.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68"/>
      <c r="O109" s="1" t="s">
        <v>130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5">
        <f>VLOOKUP("воо",АО,5,FALSE)</f>
        <v>112585.41000000003</v>
      </c>
      <c r="H110" s="164"/>
      <c r="I110" s="164"/>
      <c r="J110" s="164"/>
      <c r="L110" s="168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7296.526895657812</v>
      </c>
      <c r="L111" s="168"/>
      <c r="O111" s="1" t="s">
        <v>132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114261.23</v>
      </c>
      <c r="L112" s="168"/>
      <c r="O112" s="1" t="s">
        <v>133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68"/>
      <c r="O113" s="1" t="s">
        <v>134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112585.41000000003</v>
      </c>
      <c r="L114" s="168"/>
      <c r="O114" s="1" t="s">
        <v>135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112585.41000000003</v>
      </c>
      <c r="L115" s="168"/>
      <c r="O115" s="1" t="s">
        <v>136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68"/>
      <c r="O116" s="1" t="s">
        <v>137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68"/>
      <c r="O117" s="1" t="s">
        <v>138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4" t="str">
        <f>IF(VLOOKUP("тко",АО,3,FALSE)&gt;0,VLOOKUP("тко",АО,3,FALSE),0)</f>
        <v>Предоставляется</v>
      </c>
      <c r="E118" s="164"/>
      <c r="F118" s="13" t="str">
        <f>IF(VLOOKUP("тко",АО,3,FALSE)&gt;0,VLOOKUP("тко",АО,4,FALSE),0)</f>
        <v>куб.м.</v>
      </c>
      <c r="G118" s="165">
        <f>VLOOKUP("тко",АО,5,FALSE)</f>
        <v>145842.18</v>
      </c>
      <c r="H118" s="164"/>
      <c r="I118" s="164"/>
      <c r="J118" s="164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257.25808329364452</v>
      </c>
      <c r="L119" s="47"/>
      <c r="O119" s="1" t="s">
        <v>140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143730.50999999995</v>
      </c>
      <c r="L120" s="47"/>
      <c r="O120" s="1" t="s">
        <v>141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2111.6700000000419</v>
      </c>
      <c r="L121" s="47"/>
      <c r="O121" s="1" t="s">
        <v>142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145842.18</v>
      </c>
      <c r="L122" s="47"/>
      <c r="O122" s="1" t="s">
        <v>143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145842.18</v>
      </c>
      <c r="L123" s="47"/>
      <c r="O123" s="1" t="s">
        <v>144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146</v>
      </c>
    </row>
    <row r="126" spans="1:15" ht="32.25" customHeight="1" outlineLevel="1">
      <c r="A126" s="163" t="str">
        <f>IF(VLOOKUP("гвс",АО,3,FALSE)&gt;0,"Горячее водоснабжение",0)</f>
        <v>Горячее водоснабжение</v>
      </c>
      <c r="B126" s="163"/>
      <c r="C126" s="163"/>
      <c r="D126" s="164" t="str">
        <f>IF(VLOOKUP("гвс",АО,3,FALSE)&gt;0,VLOOKUP("гвс",АО,3,FALSE),0)</f>
        <v>Предоставляется</v>
      </c>
      <c r="E126" s="164"/>
      <c r="F126" s="13" t="str">
        <f>IF(VLOOKUP("гвс",АО,3,FALSE)&gt;0,VLOOKUP("гвс",АО,4,FALSE),0)</f>
        <v>куб.м.</v>
      </c>
      <c r="G126" s="165">
        <f>VLOOKUP("гвс",АО,5,FALSE)</f>
        <v>224746.19999999995</v>
      </c>
      <c r="H126" s="164"/>
      <c r="I126" s="164"/>
      <c r="J126" s="164"/>
      <c r="L126" s="47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2821.5005112683029</v>
      </c>
      <c r="L127" s="47"/>
      <c r="O127" s="1" t="s">
        <v>148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233985.66999999993</v>
      </c>
      <c r="L128" s="47"/>
      <c r="O128" s="1" t="s">
        <v>149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150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224746.19999999995</v>
      </c>
      <c r="L130" s="47"/>
      <c r="O130" s="1" t="s">
        <v>151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224746.19999999995</v>
      </c>
      <c r="L131" s="47"/>
      <c r="O131" s="1" t="s">
        <v>152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153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154</v>
      </c>
    </row>
    <row r="134" spans="1:15" ht="32.25" customHeight="1" outlineLevel="1">
      <c r="A134" s="163" t="str">
        <f>IF(VLOOKUP("отопление",АО,3,FALSE)&gt;0,"Отопление",0)</f>
        <v>Отопление</v>
      </c>
      <c r="B134" s="163"/>
      <c r="C134" s="163"/>
      <c r="D134" s="164" t="str">
        <f>IF(VLOOKUP("отопление",АО,3,FALSE)&gt;0,VLOOKUP("отопление",АО,3,FALSE),0)</f>
        <v>Предоставляется</v>
      </c>
      <c r="E134" s="164"/>
      <c r="F134" s="13" t="str">
        <f>IF(VLOOKUP("отопление",АО,3,FALSE)&gt;0,VLOOKUP("отопление",АО,4,FALSE),0)</f>
        <v>Гкал</v>
      </c>
      <c r="G134" s="165">
        <f>VLOOKUP("отопление",АО,5,FALSE)</f>
        <v>467341.78</v>
      </c>
      <c r="H134" s="164"/>
      <c r="I134" s="164"/>
      <c r="J134" s="164"/>
      <c r="L134" s="47"/>
    </row>
    <row r="135" spans="1:15" ht="32.25" customHeight="1" outlineLevel="2">
      <c r="A135" s="159" t="str">
        <f t="shared" ref="A135:A141" si="12">IF(VLOOKUP("отопление",АО,3,FALSE)&gt;0,VLOOKUP(O135,АО,2,FALSE),0)</f>
        <v>Общий объем потребления, нат. показ.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326.85000000000002</v>
      </c>
      <c r="L135" s="47"/>
      <c r="O135" s="1" t="s">
        <v>156</v>
      </c>
    </row>
    <row r="136" spans="1:15" ht="32.25" customHeight="1" outlineLevel="2">
      <c r="A136" s="159" t="str">
        <f t="shared" si="12"/>
        <v>Оплачено потребителями, руб.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456311.95000000007</v>
      </c>
      <c r="L136" s="47"/>
      <c r="O136" s="1" t="s">
        <v>157</v>
      </c>
    </row>
    <row r="137" spans="1:15" ht="32.25" customHeight="1" outlineLevel="2">
      <c r="A137" s="159" t="str">
        <f t="shared" si="12"/>
        <v>Задолженность потребителей, руб.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11029.829999999958</v>
      </c>
      <c r="L137" s="47"/>
      <c r="O137" s="1" t="s">
        <v>158</v>
      </c>
    </row>
    <row r="138" spans="1:15" ht="32.25" customHeight="1" outlineLevel="2">
      <c r="A138" s="159" t="str">
        <f t="shared" si="12"/>
        <v>Начислено поставщиком (поставщиками) коммунального ресурса, руб.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467341.78</v>
      </c>
      <c r="L138" s="47"/>
      <c r="O138" s="1" t="s">
        <v>159</v>
      </c>
    </row>
    <row r="139" spans="1:15" ht="32.25" customHeight="1" outlineLevel="2">
      <c r="A139" s="159" t="str">
        <f t="shared" si="12"/>
        <v>Оплачено поставщику (поставщикам) коммунального ресурса, руб.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467341.78</v>
      </c>
      <c r="L139" s="47"/>
      <c r="O139" s="1" t="s">
        <v>160</v>
      </c>
    </row>
    <row r="140" spans="1:15" ht="32.25" customHeight="1" outlineLevel="2">
      <c r="A140" s="159" t="str">
        <f t="shared" si="12"/>
        <v>Задолженность перед поставщиком (поставщиками) коммунального ресурса, руб.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161</v>
      </c>
    </row>
    <row r="141" spans="1:15" ht="32.25" customHeight="1" outlineLevel="2">
      <c r="A141" s="159" t="str">
        <f t="shared" si="12"/>
        <v>Размер пени и штрафов, уплаченных поставщику (поставщикам) коммунального ресурса, руб.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172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4</v>
      </c>
      <c r="L145" s="15"/>
      <c r="O145" t="s">
        <v>173</v>
      </c>
    </row>
    <row r="146" spans="1:15" ht="30" customHeight="1" outlineLevel="1">
      <c r="A146" s="159" t="s">
        <v>175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137966</v>
      </c>
      <c r="O146" t="s">
        <v>174</v>
      </c>
    </row>
    <row r="149" spans="1:15" ht="52.5" customHeight="1">
      <c r="A149" s="184" t="s">
        <v>179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6" t="s">
        <v>186</v>
      </c>
      <c r="B154" s="186"/>
      <c r="C154" s="186"/>
      <c r="D154" s="186"/>
      <c r="E154" s="27">
        <f>ПТО!G1</f>
        <v>-298764.48</v>
      </c>
    </row>
    <row r="155" spans="1:15" ht="34.5" customHeight="1">
      <c r="A155" s="185" t="s">
        <v>190</v>
      </c>
      <c r="B155" s="185"/>
      <c r="C155" s="185"/>
      <c r="D155" s="185"/>
      <c r="E155" s="28">
        <f>J13</f>
        <v>179850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1" t="str">
        <f t="shared" ref="A158:A163" si="14">IF(N158&gt;0,N158,0)</f>
        <v>Техническое обслуживание охранной сигнализации ИТП.</v>
      </c>
      <c r="B158" s="161"/>
      <c r="C158" s="161"/>
      <c r="D158" s="161"/>
      <c r="E158" s="161"/>
      <c r="F158" s="166">
        <f t="shared" ref="F158:F163" si="15">IF(ISERROR(VLOOKUP(A158,$A$28:$J$72,6,FALSE)),0,VLOOKUP(A158,$A$28:$J$72,6,FALSE))</f>
        <v>6000</v>
      </c>
      <c r="G158" s="166"/>
      <c r="H158" s="24" t="str">
        <f t="shared" ref="H158:H187" si="16">VLOOKUP(A158,$A$28:$J$72,8,FALSE)</f>
        <v>ежемесячно</v>
      </c>
      <c r="I158" s="162">
        <f t="shared" ref="I158:I161" si="17">VLOOKUP(A158,$A$28:$J$72,9,FALSE)</f>
        <v>12</v>
      </c>
      <c r="J158" s="16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61" t="str">
        <f t="shared" si="14"/>
        <v>Техническое освидетельствование лифта.</v>
      </c>
      <c r="B159" s="161"/>
      <c r="C159" s="161"/>
      <c r="D159" s="161"/>
      <c r="E159" s="161"/>
      <c r="F159" s="166">
        <f t="shared" si="15"/>
        <v>8100</v>
      </c>
      <c r="G159" s="166"/>
      <c r="H159" s="24" t="str">
        <f t="shared" si="16"/>
        <v>ежегодно</v>
      </c>
      <c r="I159" s="162">
        <f t="shared" si="17"/>
        <v>1</v>
      </c>
      <c r="J159" s="162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61" t="str">
        <f t="shared" si="14"/>
        <v>Изготовление и монтаж решетчатой двери (9 этаж).</v>
      </c>
      <c r="B160" s="161"/>
      <c r="C160" s="161"/>
      <c r="D160" s="161"/>
      <c r="E160" s="161"/>
      <c r="F160" s="166">
        <f t="shared" si="15"/>
        <v>27350</v>
      </c>
      <c r="G160" s="166"/>
      <c r="H160" s="24" t="str">
        <f t="shared" si="16"/>
        <v>разово</v>
      </c>
      <c r="I160" s="162">
        <f t="shared" si="17"/>
        <v>1</v>
      </c>
      <c r="J160" s="162"/>
      <c r="M160" s="22" t="s">
        <v>72</v>
      </c>
      <c r="N160" s="1" t="str">
        <v>Изготовление и монтаж решетчатой двери (9 этаж).</v>
      </c>
    </row>
    <row r="161" spans="1:14" ht="28.5" customHeight="1">
      <c r="A161" s="161" t="str">
        <f>IF(N161&gt;0,N161,0)</f>
        <v>Приобретение и установка таблички по пожарной безопасности.</v>
      </c>
      <c r="B161" s="161"/>
      <c r="C161" s="161"/>
      <c r="D161" s="161"/>
      <c r="E161" s="161"/>
      <c r="F161" s="166">
        <f t="shared" si="15"/>
        <v>250</v>
      </c>
      <c r="G161" s="166"/>
      <c r="H161" s="24" t="str">
        <f t="shared" si="16"/>
        <v>разово</v>
      </c>
      <c r="I161" s="162">
        <f t="shared" si="17"/>
        <v>1</v>
      </c>
      <c r="J161" s="162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61" t="str">
        <f t="shared" si="14"/>
        <v>Изготовление и монтаж козырька и ливневки.</v>
      </c>
      <c r="B162" s="161"/>
      <c r="C162" s="161"/>
      <c r="D162" s="161"/>
      <c r="E162" s="161"/>
      <c r="F162" s="166">
        <f t="shared" si="15"/>
        <v>62060</v>
      </c>
      <c r="G162" s="166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72</v>
      </c>
      <c r="N162" s="1" t="str">
        <v>Изготовление и монтаж козырька и ливневки.</v>
      </c>
    </row>
    <row r="163" spans="1:14" ht="28.5" customHeight="1">
      <c r="A163" s="161" t="str">
        <f t="shared" si="14"/>
        <v>Благоустройство придомовой территории (приобретение чернозема).</v>
      </c>
      <c r="B163" s="161"/>
      <c r="C163" s="161"/>
      <c r="D163" s="161"/>
      <c r="E163" s="161"/>
      <c r="F163" s="166">
        <f t="shared" si="15"/>
        <v>4500</v>
      </c>
      <c r="G163" s="166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72</v>
      </c>
      <c r="N163" s="1" t="str">
        <v>Благоустройство придомовой территории (приобретение чернозема).</v>
      </c>
    </row>
    <row r="164" spans="1:14" ht="28.5" customHeight="1">
      <c r="A164" s="161" t="str">
        <f t="shared" ref="A164:A187" si="18">IF(N164&gt;0,N164,0)</f>
        <v>Благоустройство придомовой территории (приобретение песка).</v>
      </c>
      <c r="B164" s="161"/>
      <c r="C164" s="161"/>
      <c r="D164" s="161"/>
      <c r="E164" s="161"/>
      <c r="F164" s="166">
        <f t="shared" ref="F164:F187" si="19">IF(ISERROR(VLOOKUP(A164,$A$28:$J$72,6,FALSE)),0,VLOOKUP(A164,$A$28:$J$72,6,FALSE))</f>
        <v>4500</v>
      </c>
      <c r="G164" s="166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72</v>
      </c>
      <c r="N164" s="1" t="str">
        <v>Благоустройство придомовой территории (приобретение песка).</v>
      </c>
    </row>
    <row r="165" spans="1:14" ht="28.5" customHeight="1">
      <c r="A165" s="161" t="str">
        <f t="shared" si="18"/>
        <v>Приобретение и монтаж доводчика на тамбурную дверь.</v>
      </c>
      <c r="B165" s="161"/>
      <c r="C165" s="161"/>
      <c r="D165" s="161"/>
      <c r="E165" s="161"/>
      <c r="F165" s="166">
        <f t="shared" si="19"/>
        <v>1000</v>
      </c>
      <c r="G165" s="166"/>
      <c r="H165" s="29" t="str">
        <f t="shared" si="16"/>
        <v>разово</v>
      </c>
      <c r="I165" s="162">
        <f t="shared" si="20"/>
        <v>1</v>
      </c>
      <c r="J165" s="162"/>
      <c r="M165" s="22" t="s">
        <v>72</v>
      </c>
      <c r="N165" s="1" t="str">
        <v>Приобретение и монтаж доводчика на тамбурную дверь.</v>
      </c>
    </row>
    <row r="166" spans="1:14" ht="28.5" customHeight="1">
      <c r="A166" s="161" t="str">
        <f t="shared" si="18"/>
        <v>Монтаж системы диспетчеризации лифта.</v>
      </c>
      <c r="B166" s="161"/>
      <c r="C166" s="161"/>
      <c r="D166" s="161"/>
      <c r="E166" s="161"/>
      <c r="F166" s="166">
        <f t="shared" si="19"/>
        <v>33170.94</v>
      </c>
      <c r="G166" s="166"/>
      <c r="H166" s="29" t="str">
        <f t="shared" si="16"/>
        <v>разово</v>
      </c>
      <c r="I166" s="162">
        <f t="shared" si="20"/>
        <v>1</v>
      </c>
      <c r="J166" s="162"/>
      <c r="M166" s="22" t="s">
        <v>72</v>
      </c>
      <c r="N166" s="1" t="str">
        <v>Монтаж системы диспетчеризации лифта.</v>
      </c>
    </row>
    <row r="167" spans="1:14" ht="28.5" customHeight="1">
      <c r="A167" s="161" t="str">
        <f t="shared" si="18"/>
        <v>Приобретение и укладка грязезащитного коврика в тамбур подъезда.</v>
      </c>
      <c r="B167" s="161"/>
      <c r="C167" s="161"/>
      <c r="D167" s="161"/>
      <c r="E167" s="161"/>
      <c r="F167" s="166">
        <f t="shared" si="19"/>
        <v>1480</v>
      </c>
      <c r="G167" s="166"/>
      <c r="H167" s="29" t="str">
        <f t="shared" si="16"/>
        <v>разово</v>
      </c>
      <c r="I167" s="162">
        <f t="shared" si="20"/>
        <v>1</v>
      </c>
      <c r="J167" s="162"/>
      <c r="M167" s="22" t="s">
        <v>72</v>
      </c>
      <c r="N167" s="1" t="str">
        <v>Приобретение и укладка грязезащитного коврика в тамбур подъезда.</v>
      </c>
    </row>
    <row r="168" spans="1:14" ht="28.5" customHeight="1">
      <c r="A168" s="161" t="str">
        <f t="shared" si="18"/>
        <v>Аварийная замена полотенцесушителя с установкой отсечных кранов и байпаса (кв.41).</v>
      </c>
      <c r="B168" s="161"/>
      <c r="C168" s="161"/>
      <c r="D168" s="161"/>
      <c r="E168" s="161"/>
      <c r="F168" s="166">
        <f t="shared" si="19"/>
        <v>5000</v>
      </c>
      <c r="G168" s="166"/>
      <c r="H168" s="29" t="str">
        <f t="shared" si="16"/>
        <v>разово</v>
      </c>
      <c r="I168" s="162">
        <f t="shared" si="20"/>
        <v>1</v>
      </c>
      <c r="J168" s="162"/>
      <c r="M168" s="22" t="s">
        <v>72</v>
      </c>
      <c r="N168" s="1" t="str">
        <v>Аварийная замена полотенцесушителя с установкой отсечных кранов и байпаса (кв.41).</v>
      </c>
    </row>
    <row r="169" spans="1:14" ht="28.5" customHeight="1">
      <c r="A169" s="161" t="str">
        <f t="shared" si="18"/>
        <v>Приобретение процессора платы управления лифта.</v>
      </c>
      <c r="B169" s="161"/>
      <c r="C169" s="161"/>
      <c r="D169" s="161"/>
      <c r="E169" s="161"/>
      <c r="F169" s="166">
        <f t="shared" si="19"/>
        <v>4100</v>
      </c>
      <c r="G169" s="166"/>
      <c r="H169" s="29" t="str">
        <f t="shared" si="16"/>
        <v>разово</v>
      </c>
      <c r="I169" s="162">
        <f t="shared" si="20"/>
        <v>1</v>
      </c>
      <c r="J169" s="162"/>
      <c r="M169" s="22" t="s">
        <v>72</v>
      </c>
      <c r="N169" s="1" t="str">
        <v>Приобретение процессора платы управления лифта.</v>
      </c>
    </row>
    <row r="170" spans="1:14" ht="28.5" hidden="1" customHeight="1">
      <c r="A170" s="161">
        <f t="shared" si="18"/>
        <v>0</v>
      </c>
      <c r="B170" s="161"/>
      <c r="C170" s="161"/>
      <c r="D170" s="161"/>
      <c r="E170" s="161"/>
      <c r="F170" s="166">
        <f t="shared" si="19"/>
        <v>0</v>
      </c>
      <c r="G170" s="166"/>
      <c r="H170" s="29" t="e">
        <f t="shared" si="16"/>
        <v>#N/A</v>
      </c>
      <c r="I170" s="162" t="e">
        <f t="shared" si="20"/>
        <v>#N/A</v>
      </c>
      <c r="J170" s="162"/>
      <c r="M170" s="22" t="s">
        <v>72</v>
      </c>
      <c r="N170" s="1">
        <v>0</v>
      </c>
    </row>
    <row r="171" spans="1:14" ht="28.5" hidden="1" customHeight="1">
      <c r="A171" s="161">
        <f t="shared" si="18"/>
        <v>0</v>
      </c>
      <c r="B171" s="161"/>
      <c r="C171" s="161"/>
      <c r="D171" s="161"/>
      <c r="E171" s="161"/>
      <c r="F171" s="166">
        <f t="shared" si="19"/>
        <v>0</v>
      </c>
      <c r="G171" s="166"/>
      <c r="H171" s="29" t="e">
        <f t="shared" si="16"/>
        <v>#N/A</v>
      </c>
      <c r="I171" s="162" t="e">
        <f t="shared" si="20"/>
        <v>#N/A</v>
      </c>
      <c r="J171" s="162"/>
      <c r="M171" s="22" t="s">
        <v>72</v>
      </c>
      <c r="N171" s="1">
        <v>0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6">
        <f t="shared" si="19"/>
        <v>0</v>
      </c>
      <c r="G172" s="166"/>
      <c r="H172" s="29" t="e">
        <f t="shared" si="16"/>
        <v>#N/A</v>
      </c>
      <c r="I172" s="162" t="e">
        <f t="shared" si="20"/>
        <v>#N/A</v>
      </c>
      <c r="J172" s="162"/>
      <c r="M172" s="22" t="s">
        <v>72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6">
        <f t="shared" si="19"/>
        <v>0</v>
      </c>
      <c r="G173" s="166"/>
      <c r="H173" s="29" t="e">
        <f t="shared" si="16"/>
        <v>#N/A</v>
      </c>
      <c r="I173" s="162" t="e">
        <f t="shared" si="20"/>
        <v>#N/A</v>
      </c>
      <c r="J173" s="162"/>
      <c r="M173" s="22" t="s">
        <v>72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6">
        <f t="shared" si="19"/>
        <v>0</v>
      </c>
      <c r="G174" s="166"/>
      <c r="H174" s="29" t="e">
        <f t="shared" si="16"/>
        <v>#N/A</v>
      </c>
      <c r="I174" s="162" t="e">
        <f t="shared" si="20"/>
        <v>#N/A</v>
      </c>
      <c r="J174" s="162"/>
      <c r="M174" s="22" t="s">
        <v>72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6">
        <f t="shared" si="19"/>
        <v>0</v>
      </c>
      <c r="G175" s="166"/>
      <c r="H175" s="29" t="e">
        <f t="shared" si="16"/>
        <v>#N/A</v>
      </c>
      <c r="I175" s="162" t="e">
        <f t="shared" si="20"/>
        <v>#N/A</v>
      </c>
      <c r="J175" s="162"/>
      <c r="M175" s="22" t="s">
        <v>72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6">
        <f t="shared" si="19"/>
        <v>0</v>
      </c>
      <c r="G176" s="166"/>
      <c r="H176" s="29" t="e">
        <f t="shared" si="16"/>
        <v>#N/A</v>
      </c>
      <c r="I176" s="162" t="e">
        <f t="shared" si="20"/>
        <v>#N/A</v>
      </c>
      <c r="J176" s="162"/>
      <c r="M176" s="22" t="s">
        <v>72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6">
        <f t="shared" si="19"/>
        <v>0</v>
      </c>
      <c r="G177" s="166"/>
      <c r="H177" s="29" t="e">
        <f t="shared" si="16"/>
        <v>#N/A</v>
      </c>
      <c r="I177" s="162" t="e">
        <f t="shared" si="20"/>
        <v>#N/A</v>
      </c>
      <c r="J177" s="162"/>
      <c r="M177" s="22" t="s">
        <v>72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6">
        <f t="shared" si="19"/>
        <v>0</v>
      </c>
      <c r="G178" s="166"/>
      <c r="H178" s="29" t="e">
        <f t="shared" si="16"/>
        <v>#N/A</v>
      </c>
      <c r="I178" s="162" t="e">
        <f t="shared" si="20"/>
        <v>#N/A</v>
      </c>
      <c r="J178" s="162"/>
      <c r="M178" s="22" t="s">
        <v>72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6">
        <f t="shared" si="19"/>
        <v>0</v>
      </c>
      <c r="G179" s="166"/>
      <c r="H179" s="29" t="e">
        <f t="shared" si="16"/>
        <v>#N/A</v>
      </c>
      <c r="I179" s="162" t="e">
        <f t="shared" si="20"/>
        <v>#N/A</v>
      </c>
      <c r="J179" s="162"/>
      <c r="M179" s="22" t="s">
        <v>72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6">
        <f t="shared" si="19"/>
        <v>0</v>
      </c>
      <c r="G180" s="166"/>
      <c r="H180" s="29" t="e">
        <f t="shared" si="16"/>
        <v>#N/A</v>
      </c>
      <c r="I180" s="162" t="e">
        <f t="shared" si="20"/>
        <v>#N/A</v>
      </c>
      <c r="J180" s="162"/>
      <c r="M180" s="22" t="s">
        <v>72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6">
        <f t="shared" si="19"/>
        <v>0</v>
      </c>
      <c r="G181" s="166"/>
      <c r="H181" s="29" t="e">
        <f t="shared" si="16"/>
        <v>#N/A</v>
      </c>
      <c r="I181" s="162" t="e">
        <f t="shared" si="20"/>
        <v>#N/A</v>
      </c>
      <c r="J181" s="162"/>
      <c r="M181" s="22" t="s">
        <v>72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6">
        <f t="shared" si="19"/>
        <v>0</v>
      </c>
      <c r="G182" s="166"/>
      <c r="H182" s="29" t="e">
        <f t="shared" si="16"/>
        <v>#N/A</v>
      </c>
      <c r="I182" s="162" t="e">
        <f t="shared" si="20"/>
        <v>#N/A</v>
      </c>
      <c r="J182" s="162"/>
      <c r="M182" s="22" t="s">
        <v>72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6">
        <f t="shared" si="19"/>
        <v>0</v>
      </c>
      <c r="G183" s="166"/>
      <c r="H183" s="29" t="e">
        <f t="shared" si="16"/>
        <v>#N/A</v>
      </c>
      <c r="I183" s="162" t="e">
        <f t="shared" si="20"/>
        <v>#N/A</v>
      </c>
      <c r="J183" s="162"/>
      <c r="M183" s="22" t="s">
        <v>72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6">
        <f t="shared" si="19"/>
        <v>0</v>
      </c>
      <c r="G184" s="166"/>
      <c r="H184" s="29" t="e">
        <f t="shared" si="16"/>
        <v>#N/A</v>
      </c>
      <c r="I184" s="162" t="e">
        <f t="shared" si="20"/>
        <v>#N/A</v>
      </c>
      <c r="J184" s="162"/>
      <c r="M184" s="22" t="s">
        <v>72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6">
        <f t="shared" si="19"/>
        <v>0</v>
      </c>
      <c r="G185" s="166"/>
      <c r="H185" s="29" t="e">
        <f t="shared" si="16"/>
        <v>#N/A</v>
      </c>
      <c r="I185" s="162" t="e">
        <f t="shared" si="20"/>
        <v>#N/A</v>
      </c>
      <c r="J185" s="162"/>
      <c r="M185" s="22" t="s">
        <v>72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6">
        <f t="shared" si="19"/>
        <v>0</v>
      </c>
      <c r="G186" s="166"/>
      <c r="H186" s="29" t="e">
        <f t="shared" si="16"/>
        <v>#N/A</v>
      </c>
      <c r="I186" s="162" t="e">
        <f t="shared" si="20"/>
        <v>#N/A</v>
      </c>
      <c r="J186" s="162"/>
      <c r="M186" s="22" t="s">
        <v>72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6">
        <f t="shared" si="19"/>
        <v>0</v>
      </c>
      <c r="G187" s="166"/>
      <c r="H187" s="29" t="e">
        <f t="shared" si="16"/>
        <v>#N/A</v>
      </c>
      <c r="I187" s="162" t="e">
        <f t="shared" si="20"/>
        <v>#N/A</v>
      </c>
      <c r="J187" s="162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86" t="s">
        <v>189</v>
      </c>
      <c r="B190" s="186"/>
      <c r="C190" s="186"/>
      <c r="D190" s="186"/>
      <c r="E190" s="27">
        <f>SUM(F158:G187)</f>
        <v>157510.94</v>
      </c>
    </row>
    <row r="191" spans="1:14" ht="51.75" customHeight="1">
      <c r="A191" s="186" t="s">
        <v>188</v>
      </c>
      <c r="B191" s="186"/>
      <c r="C191" s="186"/>
      <c r="D191" s="186"/>
      <c r="E191" s="27">
        <f>E190+E154-E155</f>
        <v>-321103.53999999998</v>
      </c>
    </row>
    <row r="192" spans="1:14">
      <c r="A192" s="104" t="s">
        <v>176</v>
      </c>
    </row>
    <row r="193" spans="1:10" ht="62.25" customHeight="1">
      <c r="A193" s="160" t="s">
        <v>187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49">
        <f>ПТО!G12</f>
        <v>1200</v>
      </c>
      <c r="I194" s="50" t="s">
        <v>75</v>
      </c>
    </row>
    <row r="195" spans="1:10" ht="18.75" customHeight="1">
      <c r="A195" s="158" t="str">
        <f>ПТО!F13</f>
        <v xml:space="preserve">  -  техническое освидетельствование лифта</v>
      </c>
      <c r="B195" s="158"/>
      <c r="C195" s="158"/>
      <c r="D195" s="158"/>
      <c r="E195" s="158"/>
      <c r="F195" s="158"/>
      <c r="G195" s="158"/>
      <c r="H195" s="49">
        <f>ПТО!G13</f>
        <v>8100</v>
      </c>
      <c r="I195" s="50" t="s">
        <v>75</v>
      </c>
    </row>
    <row r="196" spans="1:10" ht="18.75" customHeight="1">
      <c r="A196" s="158" t="str">
        <f>ПТО!F14</f>
        <v xml:space="preserve">  -  техническое обслуживание охранной сигнализации</v>
      </c>
      <c r="B196" s="158"/>
      <c r="C196" s="158"/>
      <c r="D196" s="158"/>
      <c r="E196" s="158"/>
      <c r="F196" s="158"/>
      <c r="G196" s="158"/>
      <c r="H196" s="49">
        <f>ПТО!G14</f>
        <v>6000</v>
      </c>
      <c r="I196" s="50" t="s">
        <v>75</v>
      </c>
    </row>
    <row r="197" spans="1:10" ht="18.75" customHeight="1">
      <c r="A197" s="158" t="str">
        <f>ПТО!F15</f>
        <v xml:space="preserve">  -  обслуживание ТП и кабельных линий</v>
      </c>
      <c r="B197" s="158"/>
      <c r="C197" s="158"/>
      <c r="D197" s="158"/>
      <c r="E197" s="158"/>
      <c r="F197" s="158"/>
      <c r="G197" s="158"/>
      <c r="H197" s="49">
        <f>ПТО!G15</f>
        <v>15000</v>
      </c>
      <c r="I197" s="50" t="s">
        <v>75</v>
      </c>
    </row>
    <row r="198" spans="1:10" ht="18.75" customHeight="1">
      <c r="A198" s="158" t="str">
        <f>ПТО!F16</f>
        <v xml:space="preserve">  -  ремонт подъезда</v>
      </c>
      <c r="B198" s="158"/>
      <c r="C198" s="158"/>
      <c r="D198" s="158"/>
      <c r="E198" s="158"/>
      <c r="F198" s="158"/>
      <c r="G198" s="158"/>
      <c r="H198" s="49">
        <f>ПТО!G16</f>
        <v>300000</v>
      </c>
      <c r="I198" s="52" t="s">
        <v>75</v>
      </c>
    </row>
    <row r="199" spans="1:10" ht="18.75" customHeight="1">
      <c r="A199" s="158" t="str">
        <f>ПТО!F17</f>
        <v xml:space="preserve">  -  ремонт автоматики в ИТП</v>
      </c>
      <c r="B199" s="158"/>
      <c r="C199" s="158"/>
      <c r="D199" s="158"/>
      <c r="E199" s="158"/>
      <c r="F199" s="158"/>
      <c r="G199" s="158"/>
      <c r="H199" s="49">
        <f>ПТО!G17</f>
        <v>20000</v>
      </c>
      <c r="I199" s="50" t="s">
        <v>75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49">
        <f>ПТО!G18</f>
        <v>0</v>
      </c>
      <c r="I200" s="50" t="s">
        <v>75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49">
        <f>ПТО!G19</f>
        <v>0</v>
      </c>
      <c r="I201" s="50" t="s">
        <v>75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49">
        <f>ПТО!G20</f>
        <v>0</v>
      </c>
      <c r="I202" s="50" t="s">
        <v>75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49">
        <f>ПТО!G21</f>
        <v>0</v>
      </c>
      <c r="I203" s="50" t="s">
        <v>75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49">
        <f>ПТО!G22</f>
        <v>0</v>
      </c>
      <c r="I204" s="50" t="s">
        <v>75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49">
        <f>ПТО!G23</f>
        <v>0</v>
      </c>
      <c r="I205" s="50" t="s">
        <v>75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49">
        <f>ПТО!G24</f>
        <v>0</v>
      </c>
      <c r="I206" s="50" t="s">
        <v>75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49">
        <f>ПТО!G25</f>
        <v>0</v>
      </c>
      <c r="I207" s="50" t="s">
        <v>75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49">
        <f>ПТО!G26</f>
        <v>0</v>
      </c>
      <c r="I208" s="50" t="s">
        <v>75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49">
        <f>ПТО!G27</f>
        <v>0</v>
      </c>
      <c r="I209" s="50" t="s">
        <v>75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49">
        <f>ПТО!G28</f>
        <v>0</v>
      </c>
      <c r="I210" s="50" t="s">
        <v>75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49">
        <f>ПТО!G29</f>
        <v>0</v>
      </c>
      <c r="I211" s="50" t="s">
        <v>75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49">
        <f>ПТО!G30</f>
        <v>0</v>
      </c>
      <c r="I212" s="50" t="s">
        <v>75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350300</v>
      </c>
      <c r="I214" s="56" t="s">
        <v>79</v>
      </c>
    </row>
  </sheetData>
  <sheetProtection algorithmName="SHA-512" hashValue="RfEb4KTTLhX16NFH1Huld4z1ISMgtOKh7eh5CDxtEjdo934PXeTKryZpm+ro5KVH61xXBEGXfQFl6Ry3aFMZSw==" saltValue="eNxlCd4XIZK+zPwYzvrQv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4" sqref="C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-298764.48</f>
        <v>-298764.48</v>
      </c>
    </row>
    <row r="2" spans="1:12" ht="18.75" customHeight="1">
      <c r="A2" s="124" t="s">
        <v>180</v>
      </c>
      <c r="B2" s="118" t="s">
        <v>181</v>
      </c>
      <c r="C2" s="119">
        <v>12</v>
      </c>
      <c r="D2" s="122">
        <v>6000</v>
      </c>
      <c r="E2" s="31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73</v>
      </c>
      <c r="B3" s="118" t="s">
        <v>182</v>
      </c>
      <c r="C3" s="120">
        <v>1</v>
      </c>
      <c r="D3" s="123">
        <v>8100</v>
      </c>
      <c r="F3" s="30"/>
      <c r="G3" s="30"/>
      <c r="L3" s="33" t="str">
        <f t="shared" si="0"/>
        <v>ТР</v>
      </c>
    </row>
    <row r="4" spans="1:12" ht="18.75" customHeight="1">
      <c r="A4" s="134" t="s">
        <v>196</v>
      </c>
      <c r="B4" s="130" t="s">
        <v>192</v>
      </c>
      <c r="C4" s="131">
        <v>1</v>
      </c>
      <c r="D4" s="132">
        <v>27350</v>
      </c>
      <c r="E4" s="133" t="s">
        <v>195</v>
      </c>
      <c r="F4" s="30"/>
      <c r="G4" s="30"/>
      <c r="L4" s="33" t="str">
        <f t="shared" si="0"/>
        <v>ТР</v>
      </c>
    </row>
    <row r="5" spans="1:12" ht="18.75" customHeight="1">
      <c r="A5" s="135" t="s">
        <v>194</v>
      </c>
      <c r="B5" s="136" t="s">
        <v>192</v>
      </c>
      <c r="C5" s="137">
        <v>1</v>
      </c>
      <c r="D5" s="138">
        <v>250</v>
      </c>
      <c r="E5" s="139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35" t="s">
        <v>197</v>
      </c>
      <c r="B6" s="136" t="s">
        <v>192</v>
      </c>
      <c r="C6" s="137">
        <v>1</v>
      </c>
      <c r="D6" s="138">
        <v>62060</v>
      </c>
      <c r="E6" s="139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200</v>
      </c>
      <c r="B7" s="141" t="s">
        <v>192</v>
      </c>
      <c r="C7" s="142">
        <v>1</v>
      </c>
      <c r="D7" s="143">
        <v>4500</v>
      </c>
      <c r="E7" s="139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202</v>
      </c>
      <c r="B8" s="141" t="s">
        <v>192</v>
      </c>
      <c r="C8" s="142">
        <v>1</v>
      </c>
      <c r="D8" s="143">
        <v>4500</v>
      </c>
      <c r="E8" s="139" t="s">
        <v>203</v>
      </c>
      <c r="F8" s="45"/>
      <c r="G8" s="45"/>
      <c r="K8" s="43"/>
      <c r="L8" s="33" t="str">
        <f t="shared" si="0"/>
        <v>ТР</v>
      </c>
    </row>
    <row r="9" spans="1:12">
      <c r="A9" s="144" t="s">
        <v>204</v>
      </c>
      <c r="B9" s="145" t="s">
        <v>192</v>
      </c>
      <c r="C9" s="146">
        <v>1</v>
      </c>
      <c r="D9" s="147">
        <v>1000</v>
      </c>
      <c r="E9" s="139" t="s">
        <v>205</v>
      </c>
      <c r="F9" s="44"/>
      <c r="G9" s="44"/>
      <c r="K9" s="43"/>
      <c r="L9" s="33" t="str">
        <f t="shared" si="0"/>
        <v>ТР</v>
      </c>
    </row>
    <row r="10" spans="1:12">
      <c r="A10" s="151" t="s">
        <v>214</v>
      </c>
      <c r="B10" s="136" t="s">
        <v>192</v>
      </c>
      <c r="C10" s="136">
        <v>1</v>
      </c>
      <c r="D10" s="46">
        <v>33170.94</v>
      </c>
      <c r="E10" s="148" t="s">
        <v>206</v>
      </c>
      <c r="L10" s="33" t="str">
        <f t="shared" si="0"/>
        <v>ТР</v>
      </c>
    </row>
    <row r="11" spans="1:12" ht="94.5">
      <c r="A11" s="149" t="s">
        <v>207</v>
      </c>
      <c r="B11" s="145" t="s">
        <v>192</v>
      </c>
      <c r="C11" s="146">
        <v>1</v>
      </c>
      <c r="D11" s="147">
        <v>1480</v>
      </c>
      <c r="E11" s="139" t="s">
        <v>208</v>
      </c>
      <c r="F11" s="111" t="s">
        <v>187</v>
      </c>
      <c r="G11" s="111"/>
      <c r="L11" s="33" t="str">
        <f t="shared" si="0"/>
        <v>ТР</v>
      </c>
    </row>
    <row r="12" spans="1:12" ht="31.5">
      <c r="A12" s="150" t="s">
        <v>209</v>
      </c>
      <c r="B12" s="145" t="s">
        <v>192</v>
      </c>
      <c r="C12" s="146">
        <v>1</v>
      </c>
      <c r="D12" s="147">
        <v>5000</v>
      </c>
      <c r="E12" s="139" t="s">
        <v>210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26" t="s">
        <v>191</v>
      </c>
      <c r="B13" s="127" t="s">
        <v>192</v>
      </c>
      <c r="C13" s="128">
        <v>1</v>
      </c>
      <c r="D13" s="129">
        <v>4100</v>
      </c>
      <c r="E13" s="125" t="s">
        <v>193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30"/>
      <c r="F14" s="152" t="s">
        <v>184</v>
      </c>
      <c r="G14" s="154">
        <v>6000</v>
      </c>
      <c r="L14" s="33">
        <f t="shared" si="0"/>
        <v>0</v>
      </c>
    </row>
    <row r="15" spans="1:12" ht="31.5">
      <c r="A15" s="30"/>
      <c r="F15" s="152" t="s">
        <v>77</v>
      </c>
      <c r="G15" s="153">
        <v>15000</v>
      </c>
      <c r="L15" s="33">
        <f t="shared" si="0"/>
        <v>0</v>
      </c>
    </row>
    <row r="16" spans="1:12" ht="15.75">
      <c r="A16" s="30"/>
      <c r="F16" s="155" t="s">
        <v>212</v>
      </c>
      <c r="G16" s="156">
        <v>300000</v>
      </c>
      <c r="L16" s="33">
        <f t="shared" si="0"/>
        <v>0</v>
      </c>
    </row>
    <row r="17" spans="1:12" ht="15.75">
      <c r="A17" s="30"/>
      <c r="F17" s="157" t="s">
        <v>213</v>
      </c>
      <c r="G17" s="156">
        <v>20000</v>
      </c>
      <c r="L17" s="33">
        <f t="shared" si="0"/>
        <v>0</v>
      </c>
    </row>
    <row r="18" spans="1:12" ht="15.75">
      <c r="A18" s="30"/>
      <c r="F18" s="112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7">
        <v>229128.96000000002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229128.96000000002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117">
        <v>75537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75537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43164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14388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14388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93522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93522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177</v>
      </c>
      <c r="B46" s="117">
        <v>67623.600000000006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67623.600000000006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185</v>
      </c>
      <c r="B47" s="31">
        <v>179850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 xml:space="preserve">Услуги и работы по управлению </v>
      </c>
      <c r="N47" s="41">
        <f t="shared" si="4"/>
        <v>179850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1Ch2RKmJxSzyFwrgNRReIk62gmdhfkuZV7CLvzaolLz3B7Q3qTNYyzYma7m8ITVDQ7Pr0SSVrVN4pV+Dl+It+w==" saltValue="534jz69kQHY3qARq02x0N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C79" sqref="C7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2997.5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125230.32000000007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898241.90000000026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534978.66000000027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F1*5*12</f>
        <v>179850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183413.24000000002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894327.94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894327.94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894327.94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129144.28000000038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107</v>
      </c>
      <c r="B27" s="75" t="s">
        <v>4</v>
      </c>
      <c r="C27" s="86">
        <v>320393.64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110</v>
      </c>
      <c r="B30" s="75" t="s">
        <v>18</v>
      </c>
      <c r="C30" s="86">
        <v>318800.58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39800.409999999996</v>
      </c>
      <c r="F37" s="94" t="s">
        <v>169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34912.640350877191</v>
      </c>
      <c r="D38" s="94" t="s">
        <v>167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39123.919999999998</v>
      </c>
      <c r="D39" s="94" t="s">
        <v>168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676.48999999999796</v>
      </c>
      <c r="D40" s="80" t="s">
        <v>59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39800.409999999996</v>
      </c>
      <c r="D41" s="80" t="s">
        <v>59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39800.409999999996</v>
      </c>
      <c r="D42" s="80" t="s">
        <v>59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97597.12999999999</v>
      </c>
      <c r="F45" s="94" t="s">
        <v>169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7213.3872875092384</v>
      </c>
      <c r="D46" s="94" t="s">
        <v>170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102092.89000000001</v>
      </c>
      <c r="D47" s="94" t="s">
        <v>168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97597.12999999999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97597.12999999999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112585.41000000003</v>
      </c>
      <c r="F53" s="94" t="s">
        <v>169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7296.526895657812</v>
      </c>
      <c r="D54" s="94" t="s">
        <v>170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114261.23</v>
      </c>
      <c r="D55" s="94" t="s">
        <v>168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112585.41000000003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112585.41000000003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145842.18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257.25808329364452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143730.50999999995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2111.6700000000419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145842.18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145842.18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224746.19999999995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2821.5005112683029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233985.66999999993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224746.19999999995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224746.19999999995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 t="str">
        <f>IF(E77&gt;0,"Предоставляется",0)</f>
        <v>Предоставляется</v>
      </c>
      <c r="D77" s="96" t="s">
        <v>83</v>
      </c>
      <c r="E77" s="95">
        <v>467341.78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326.85000000000002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456311.95000000007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11029.829999999958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467341.78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467341.78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137966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2021-03-15T03:00:50Z</dcterms:modified>
</cp:coreProperties>
</file>