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A119" i="1" l="1"/>
  <c r="A121" i="1"/>
  <c r="A118" i="1"/>
  <c r="A141" i="1"/>
  <c r="F134" i="1"/>
  <c r="F118" i="1"/>
  <c r="A122" i="1"/>
  <c r="A110" i="1"/>
  <c r="A111" i="1"/>
  <c r="A125" i="1"/>
  <c r="A137" i="1"/>
  <c r="A123" i="1"/>
  <c r="A94" i="1"/>
  <c r="A96" i="1"/>
  <c r="D94" i="1"/>
  <c r="A99" i="1"/>
  <c r="A100" i="1"/>
  <c r="A106" i="1"/>
  <c r="A138" i="1"/>
  <c r="F94" i="1"/>
  <c r="A101" i="1"/>
  <c r="A102" i="1"/>
  <c r="A107" i="1"/>
  <c r="A134" i="1"/>
  <c r="A135" i="1"/>
  <c r="A139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<sst xmlns="http://schemas.openxmlformats.org/spreadsheetml/2006/main" count="557" uniqueCount="204">
  <si>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</si>
  <si>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</si>
  <si>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</si>
  <si>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</si>
  <si>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</si>
  <si>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</si>
  <si>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</si>
  <si>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</si>
  <si>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</si>
  <si>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</si>
  <si>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</si>
  <si>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</si>
  <si>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</si>
  <si>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</si>
  <si>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</si>
  <si>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</si>
  <si>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</si>
  <si>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</si>
  <si>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</si>
  <si>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</si>
  <si>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</si>
  <si>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</si>
  <si>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</si>
  <si>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</si>
  <si>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</si>
  <si>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</si>
  <si>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</si>
  <si>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</si>
  <si>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</si>
  <si>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</si>
  <si>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</si>
  <si>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</si>
  <si>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</si>
  <si>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</si>
  <si>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</si>
  <si>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</si>
  <si>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</si>
  <si>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</si>
  <si>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</si>
  <si>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</si>
  <si>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</si>
  <si>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</si>
  <si>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</si>
  <si>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</si>
  <si>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</si>
  <si>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</si>
  <si>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</si>
  <si>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</si>
  <si>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</si>
  <si>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</si>
  <si>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</si>
  <si>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</si>
  <si>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</si>
  <si>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</si>
  <si>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</si>
  <si>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</si>
  <si>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</si>
  <si>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</si>
  <si>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</si>
  <si>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</si>
  <si>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</si>
  <si>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</si>
  <si>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</si>
  <si>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</si>
  <si>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</si>
  <si>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</si>
  <si>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</si>
  <si>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</si>
  <si>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</si>
  <si>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</si>
  <si>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</si>
  <si>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</si>
  <si>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</si>
  <si>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</si>
  <si>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</si>
  <si>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</si>
  <si>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</si>
  <si>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</si>
  <si>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</si>
  <si>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</si>
  <si>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</si>
  <si>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</si>
  <si>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</si>
  <si>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</si>
  <si>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</si>
  <si>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</si>
  <si>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</si>
  <si>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</si>
  <si>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</si>
  <si>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</si>
  <si>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</si>
  <si>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</si>
  <si>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</si>
  <si>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</si>
  <si>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</si>
  <si>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</si>
  <si>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</si>
  <si>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</si>
  <si>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</si>
  <si>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</si>
  <si>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</si>
  <si>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</si>
  <si>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</si>
  <si>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</si>
  <si>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</si>
  <si>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</si>
  <si>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</si>
  <si>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</si>
  <si>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</si>
  <si>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</si>
  <si>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</si>
  <si>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</si>
  <si>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</si>
  <si>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</si>
  <si>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</si>
  <si>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</si>
  <si>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</si>
  <si>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</si>
  <si>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</si>
  <si>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</si>
  <si>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</si>
  <si>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</si>
  <si>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</si>
  <si>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</si>
  <si>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</si>
  <si>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</si>
  <si>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</si>
  <si>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</si>
  <si>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</si>
  <si>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</si>
  <si>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</si>
  <si>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</si>
  <si>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</si>
  <si>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</si>
  <si>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</si>
  <si>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</si>
  <si>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</si>
  <si>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</si>
  <si>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</si>
  <si>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</si>
  <si>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</si>
  <si>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</si>
  <si>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</si>
  <si>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</si>
  <si>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</si>
  <si>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</si>
  <si>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</si>
  <si>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</si>
  <si>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</si>
  <si>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</si>
  <si>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</si>
  <si>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</si>
  <si>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</si>
  <si>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</si>
  <si>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</si>
  <si>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</si>
  <si>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</si>
  <si>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</si>
  <si>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</si>
  <si>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</si>
  <si>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</si>
  <si>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</si>
  <si>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</si>
  <si>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</si>
  <si>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</si>
  <si>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</si>
  <si>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</si>
  <si>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</si>
  <si>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</si>
  <si>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</si>
  <si>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</si>
  <si>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</si>
  <si>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</si>
  <si>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</si>
  <si>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</si>
  <si>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</si>
  <si>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</si>
  <si>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</si>
  <si>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6</t>
  </si>
  <si>
    <t>Отчет об исполнении договора управления многоквартирного дома 
Мамина-Сибиряка, 6 в части текущего ремонта</t>
  </si>
  <si>
    <t>ежегодно</t>
  </si>
  <si>
    <t>площадь дома</t>
  </si>
  <si>
    <t>Ремонт прибора учета тепловой энергии.</t>
  </si>
  <si>
    <t>разово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</si>
  <si>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</si>
  <si>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</si>
  <si>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</si>
  <si>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</si>
  <si>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</si>
  <si>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Уборка снега с придомовой территории (парковка).</t>
  </si>
  <si>
    <t>АВР 1/20 от 04.03.2020</t>
  </si>
  <si>
    <t>Приобретение и установка таблички по пожарной безопасности.</t>
  </si>
  <si>
    <t>Приобретение новогодней елки и гирлянды.</t>
  </si>
  <si>
    <t>Монтаж системы диспетчеризации лифта.</t>
  </si>
  <si>
    <t>Изготовление и монтаж ограждения детской площадки.</t>
  </si>
  <si>
    <t>АВР 2/20 от 12.11.2020, Решение, счет №121 от 13.10.2020</t>
  </si>
  <si>
    <t>Замена общедомовых приборов учета электрической энергии и трансформаторов тока.</t>
  </si>
  <si>
    <t>АВР 7/20 от 20.11.2020</t>
  </si>
  <si>
    <t>Приобретение и укладка грязезащитного коврика в тамбур подъезда.</t>
  </si>
  <si>
    <t>АВР 8/20 от 03.12.20, Решение, счет №96 от 10.11.2020</t>
  </si>
  <si>
    <t>АВР 6/20 от 31.12.2020, Решение, счет №152 от 14.09.2020</t>
  </si>
  <si>
    <t>АВР 5/20 от 31.12.2020счет от 12.03.2020</t>
  </si>
  <si>
    <t>АВР 3/20 от 01.01.2020, чек Рич Фемили</t>
  </si>
  <si>
    <t>АВР 4/20 от 13.02.2020, счет №18 от 13.02.2020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</si>
</sst>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3" fillId="0" borderId="0"/>
  </cellStyleXfs>
  <cellXfs count="182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25" fillId="0" borderId="0" xfId="5" applyNumberFormat="1" applyFont="1" applyFill="1" applyBorder="1" applyAlignment="1"/>
    <xf numFmtId="0" fontId="11" fillId="0" borderId="0" xfId="5" applyBorder="1" applyAlignment="1">
      <alignment horizontal="center"/>
    </xf>
    <xf numFmtId="0" fontId="11" fillId="0" borderId="0" xfId="5" applyFill="1" applyBorder="1" applyAlignment="1">
      <alignment horizontal="center"/>
    </xf>
    <xf numFmtId="0" fontId="11" fillId="0" borderId="0" xfId="5" applyFill="1" applyBorder="1" applyAlignment="1"/>
    <xf numFmtId="0" fontId="9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1" fillId="0" borderId="0" xfId="5" applyNumberFormat="1" applyFill="1" applyBorder="1" applyAlignment="1">
      <alignment horizontal="center"/>
    </xf>
    <xf numFmtId="4" fontId="11" fillId="0" borderId="0" xfId="5" applyNumberFormat="1" applyFill="1" applyBorder="1" applyAlignment="1">
      <alignment vertical="center"/>
    </xf>
    <xf numFmtId="0" fontId="9" fillId="0" borderId="0" xfId="5" applyFont="1" applyFill="1" applyBorder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0" fillId="0" borderId="0" xfId="0" applyFill="1"/>
    <xf numFmtId="0" fontId="7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1" fontId="11" fillId="0" borderId="0" xfId="5" applyNumberFormat="1" applyFill="1" applyBorder="1" applyAlignment="1">
      <alignment horizontal="center"/>
    </xf>
    <xf numFmtId="0" fontId="2" fillId="0" borderId="0" xfId="5" applyFont="1" applyFill="1" applyBorder="1"/>
    <xf numFmtId="0" fontId="10" fillId="0" borderId="0" xfId="5" applyFont="1" applyFill="1" applyBorder="1" applyAlignment="1"/>
    <xf numFmtId="0" fontId="1" fillId="0" borderId="0" xfId="5" applyFont="1" applyFill="1" applyBorder="1"/>
    <xf numFmtId="4" fontId="11" fillId="0" borderId="0" xfId="5" applyNumberForma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8" t="s">
        <v>178</v>
      </c>
      <c r="B2" s="168"/>
      <c r="C2" s="168"/>
      <c r="D2" s="168"/>
      <c r="E2" s="168"/>
      <c r="F2" s="168"/>
      <c r="G2" s="168"/>
      <c r="H2" s="168"/>
      <c r="I2" s="168"/>
      <c r="J2" s="16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0"/>
      <c r="L8" s="169"/>
      <c r="M8" s="110"/>
      <c r="N8" s="110"/>
      <c r="O8" s="71" t="s">
        <v>83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0"/>
      <c r="L9" s="169"/>
      <c r="M9" s="110"/>
      <c r="N9" s="110"/>
      <c r="O9" s="71" t="s">
        <v>84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275903.71000000002</v>
      </c>
      <c r="K10" s="110"/>
      <c r="L10" s="169"/>
      <c r="M10" s="110"/>
      <c r="N10" s="110"/>
      <c r="O10" s="71" t="s">
        <v>85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647138.08600000001</v>
      </c>
      <c r="K11" s="110"/>
      <c r="L11" s="169"/>
      <c r="M11" s="110"/>
      <c r="N11" s="110"/>
      <c r="O11" s="71" t="s">
        <v>86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496735.99</v>
      </c>
      <c r="K12" s="110"/>
      <c r="L12" s="169"/>
      <c r="M12" s="110"/>
      <c r="N12" s="110"/>
      <c r="O12" s="71" t="s">
        <v>87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150402.09599999999</v>
      </c>
      <c r="K13" s="110"/>
      <c r="L13" s="169"/>
      <c r="M13" s="110"/>
      <c r="N13" s="110"/>
      <c r="O13" s="71" t="s">
        <v>88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10"/>
      <c r="L14" s="169"/>
      <c r="M14" s="110"/>
      <c r="N14" s="110"/>
      <c r="O14" s="71" t="s">
        <v>89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656759.69999999995</v>
      </c>
      <c r="K15" s="110"/>
      <c r="L15" s="169"/>
      <c r="M15" s="110"/>
      <c r="N15" s="110"/>
      <c r="O15" s="71" t="s">
        <v>90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656759.69999999995</v>
      </c>
      <c r="K16" s="110"/>
      <c r="L16" s="169"/>
      <c r="M16" s="110"/>
      <c r="N16" s="110"/>
      <c r="O16" s="71" t="s">
        <v>91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0"/>
      <c r="L17" s="169"/>
      <c r="M17" s="110"/>
      <c r="N17" s="110"/>
      <c r="O17" s="71" t="s">
        <v>92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0"/>
      <c r="L18" s="169"/>
      <c r="M18" s="110"/>
      <c r="N18" s="110"/>
      <c r="O18" s="71" t="s">
        <v>93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0"/>
      <c r="L19" s="169"/>
      <c r="M19" s="110"/>
      <c r="N19" s="110"/>
      <c r="O19" s="71" t="s">
        <v>94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0"/>
      <c r="L20" s="169"/>
      <c r="M20" s="110"/>
      <c r="N20" s="110"/>
      <c r="O20" s="71" t="s">
        <v>95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656759.69999999995</v>
      </c>
      <c r="K21" s="110"/>
      <c r="L21" s="169"/>
      <c r="M21" s="110"/>
      <c r="N21" s="110"/>
      <c r="O21" s="71" t="s">
        <v>96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0"/>
      <c r="L22" s="169"/>
      <c r="M22" s="110"/>
      <c r="N22" s="110"/>
      <c r="O22" s="71" t="s">
        <v>97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0"/>
      <c r="L23" s="169"/>
      <c r="M23" s="110"/>
      <c r="N23" s="110"/>
      <c r="O23" s="71" t="s">
        <v>98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266282.09600000014</v>
      </c>
      <c r="K24" s="110"/>
      <c r="L24" s="169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10"/>
      <c r="L27" s="17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8">
        <f>VLOOKUP(A28,ПТО!$A$39:$D$53,2,FALSE)</f>
        <v>158334.72</v>
      </c>
      <c r="G28" s="158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10"/>
      <c r="L28" s="17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3"/>
      <c r="C29" s="153"/>
      <c r="D29" s="153"/>
      <c r="E29" s="153"/>
      <c r="F29" s="158">
        <f>VLOOKUP(A29,ПТО!$A$39:$D$53,2,FALSE)</f>
        <v>126604.32</v>
      </c>
      <c r="G29" s="158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10"/>
      <c r="L29" s="170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8">
        <f>VLOOKUP(A30,ПТО!$A$39:$D$53,2,FALSE)</f>
        <v>46643.64</v>
      </c>
      <c r="G30" s="158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10"/>
      <c r="L30" s="170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8">
        <f>VLOOKUP(A31,ПТО!$A$39:$D$53,2,FALSE)</f>
        <v>38076.480000000003</v>
      </c>
      <c r="G31" s="158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10"/>
      <c r="L31" s="170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10"/>
      <c r="L32" s="170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8">
        <f>VLOOKUP(A33,ПТО!$A$39:$D$53,2,FALSE)</f>
        <v>12692.16</v>
      </c>
      <c r="G33" s="158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10"/>
      <c r="L33" s="170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8">
        <f>VLOOKUP(A34,ПТО!$A$39:$D$53,2,FALSE)</f>
        <v>50451.360000000001</v>
      </c>
      <c r="G34" s="158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10"/>
      <c r="L34" s="170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Работы по содержанию лифта (лифтов)</v>
      </c>
      <c r="B35" s="153"/>
      <c r="C35" s="153"/>
      <c r="D35" s="153"/>
      <c r="E35" s="153"/>
      <c r="F35" s="158">
        <f>VLOOKUP(A35,ПТО!$A$39:$D$53,2,FALSE)</f>
        <v>53941.68</v>
      </c>
      <c r="G35" s="158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10"/>
      <c r="L35" s="170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10"/>
      <c r="L36" s="170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10"/>
      <c r="L37" s="170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10"/>
      <c r="L38" s="170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10"/>
      <c r="L39" s="170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10"/>
      <c r="L40" s="170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10"/>
      <c r="L41" s="170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10"/>
      <c r="L42" s="170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освидетельствование лифта.</v>
      </c>
      <c r="B43" s="153"/>
      <c r="C43" s="153"/>
      <c r="D43" s="153"/>
      <c r="E43" s="153"/>
      <c r="F43" s="158">
        <f>VLOOKUP(A43,ПТО!$A$2:$D$31,4,FALSE)</f>
        <v>8100</v>
      </c>
      <c r="G43" s="158"/>
      <c r="H43" s="19" t="str">
        <f>VLOOKUP(A43,ПТО!$A$2:$D$31,2,FALSE)</f>
        <v>ежегодно</v>
      </c>
      <c r="I43" s="154">
        <f>VLOOKUP(A43,ПТО!$A$2:$D$31,3,FALSE)</f>
        <v>1</v>
      </c>
      <c r="J43" s="154"/>
      <c r="K43" s="110"/>
      <c r="L43" s="170"/>
      <c r="M43" s="117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3" t="str">
        <f>ПТО!A3</f>
        <v>Уборка снега с придомовой территории (парковка).</v>
      </c>
      <c r="B44" s="153"/>
      <c r="C44" s="153"/>
      <c r="D44" s="153"/>
      <c r="E44" s="153"/>
      <c r="F44" s="158">
        <f>VLOOKUP(A44,ПТО!$A$2:$D$31,4,FALSE)</f>
        <v>5000</v>
      </c>
      <c r="G44" s="158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10"/>
      <c r="L44" s="170"/>
      <c r="M44" s="117"/>
      <c r="N44" s="110"/>
      <c r="O44" s="23" t="str">
        <f t="shared" si="1"/>
        <v>Уборка снега с придомовой территории (парковка).</v>
      </c>
      <c r="R44" s="22" t="s">
        <v>72</v>
      </c>
    </row>
    <row r="45" spans="1:18" ht="51" customHeight="1" outlineLevel="1">
      <c r="A45" s="153" t="str">
        <f>ПТО!A4</f>
        <v>Изготовление и монтаж ограждения детской площадки.</v>
      </c>
      <c r="B45" s="153"/>
      <c r="C45" s="153"/>
      <c r="D45" s="153"/>
      <c r="E45" s="153"/>
      <c r="F45" s="158">
        <f>VLOOKUP(A45,ПТО!$A$2:$D$31,4,FALSE)</f>
        <v>22027.5</v>
      </c>
      <c r="G45" s="158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10"/>
      <c r="L45" s="170"/>
      <c r="M45" s="117"/>
      <c r="N45" s="110"/>
      <c r="O45" s="23" t="str">
        <f t="shared" si="1"/>
        <v>Изготовление и монтаж ограждения детской площадки.</v>
      </c>
      <c r="R45" s="22" t="s">
        <v>72</v>
      </c>
    </row>
    <row r="46" spans="1:18" ht="51" customHeight="1" outlineLevel="1">
      <c r="A46" s="153" t="str">
        <f>ПТО!A5</f>
        <v>Приобретение новогодней елки и гирлянды.</v>
      </c>
      <c r="B46" s="153"/>
      <c r="C46" s="153"/>
      <c r="D46" s="153"/>
      <c r="E46" s="153"/>
      <c r="F46" s="158">
        <f>VLOOKUP(A46,ПТО!$A$2:$D$31,4,FALSE)</f>
        <v>1700</v>
      </c>
      <c r="G46" s="158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10"/>
      <c r="L46" s="170"/>
      <c r="M46" s="117"/>
      <c r="N46" s="110"/>
      <c r="O46" s="23" t="str">
        <f t="shared" si="1"/>
        <v>Приобретение новогодней елки и гирлянды.</v>
      </c>
      <c r="R46" s="22" t="s">
        <v>72</v>
      </c>
    </row>
    <row r="47" spans="1:18" ht="51" customHeight="1" outlineLevel="1">
      <c r="A47" s="153" t="str">
        <f>ПТО!A6</f>
        <v>Ремонт прибора учета тепловой энергии.</v>
      </c>
      <c r="B47" s="153"/>
      <c r="C47" s="153"/>
      <c r="D47" s="153"/>
      <c r="E47" s="153"/>
      <c r="F47" s="158">
        <f>VLOOKUP(A47,ПТО!$A$2:$D$31,4,FALSE)</f>
        <v>2242</v>
      </c>
      <c r="G47" s="158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10"/>
      <c r="L47" s="170"/>
      <c r="M47" s="117"/>
      <c r="N47" s="110"/>
      <c r="O47" s="23" t="str">
        <f t="shared" si="1"/>
        <v>Ремонт прибора учета тепловой энергии.</v>
      </c>
      <c r="R47" s="22" t="s">
        <v>72</v>
      </c>
    </row>
    <row r="48" spans="1:18" ht="51" customHeight="1" outlineLevel="1">
      <c r="A48" s="153" t="str">
        <f>ПТО!A7</f>
        <v>Приобретение и установка таблички по пожарной безопасности.</v>
      </c>
      <c r="B48" s="153"/>
      <c r="C48" s="153"/>
      <c r="D48" s="153"/>
      <c r="E48" s="153"/>
      <c r="F48" s="158">
        <f>VLOOKUP(A48,ПТО!$A$2:$D$31,4,FALSE)</f>
        <v>250</v>
      </c>
      <c r="G48" s="158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10"/>
      <c r="L48" s="170"/>
      <c r="M48" s="117"/>
      <c r="N48" s="110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53" t="str">
        <f>ПТО!A8</f>
        <v>Монтаж системы диспетчеризации лифта.</v>
      </c>
      <c r="B49" s="153"/>
      <c r="C49" s="153"/>
      <c r="D49" s="153"/>
      <c r="E49" s="153"/>
      <c r="F49" s="158">
        <f>VLOOKUP(A49,ПТО!$A$2:$D$31,4,FALSE)</f>
        <v>39260</v>
      </c>
      <c r="G49" s="158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10"/>
      <c r="L49" s="170"/>
      <c r="M49" s="117"/>
      <c r="N49" s="110"/>
      <c r="O49" s="23" t="str">
        <f t="shared" si="1"/>
        <v>Монтаж системы диспетчеризации лифта.</v>
      </c>
      <c r="R49" s="22" t="s">
        <v>72</v>
      </c>
    </row>
    <row r="50" spans="1:18" ht="51" customHeight="1" outlineLevel="1">
      <c r="A50" s="153" t="str">
        <f>ПТО!A9</f>
        <v>Замена общедомовых приборов учета электрической энергии и трансформаторов тока.</v>
      </c>
      <c r="B50" s="153"/>
      <c r="C50" s="153"/>
      <c r="D50" s="153"/>
      <c r="E50" s="153"/>
      <c r="F50" s="158">
        <f>VLOOKUP(A50,ПТО!$A$2:$D$31,4,FALSE)</f>
        <v>10537.72</v>
      </c>
      <c r="G50" s="158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10"/>
      <c r="L50" s="170"/>
      <c r="M50" s="117"/>
      <c r="N50" s="110"/>
      <c r="O50" s="23" t="str">
        <f t="shared" si="1"/>
        <v>Замена общедомовых приборов учета электрической энергии и трансформаторов тока.</v>
      </c>
      <c r="R50" s="22" t="s">
        <v>72</v>
      </c>
    </row>
    <row r="51" spans="1:18" ht="51" customHeight="1" outlineLevel="1">
      <c r="A51" s="153" t="str">
        <f>ПТО!A10</f>
        <v>Приобретение и укладка грязезащитного коврика в тамбур подъезда.</v>
      </c>
      <c r="B51" s="153"/>
      <c r="C51" s="153"/>
      <c r="D51" s="153"/>
      <c r="E51" s="153"/>
      <c r="F51" s="158">
        <f>VLOOKUP(A51,ПТО!$A$2:$D$31,4,FALSE)</f>
        <v>880</v>
      </c>
      <c r="G51" s="158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10"/>
      <c r="L51" s="170"/>
      <c r="M51" s="117"/>
      <c r="N51" s="110"/>
      <c r="O51" s="23" t="str">
        <f t="shared" si="1"/>
        <v>Приобретение и укладка грязезащитного коврика в тамбур подъезда.</v>
      </c>
      <c r="R51" s="22" t="s">
        <v>72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10"/>
      <c r="L52" s="170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10"/>
      <c r="L53" s="170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10"/>
      <c r="L54" s="170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10"/>
      <c r="L55" s="170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10"/>
      <c r="L56" s="170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10"/>
      <c r="L57" s="170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10"/>
      <c r="L58" s="170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10"/>
      <c r="L59" s="170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10"/>
      <c r="L60" s="170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10"/>
      <c r="L61" s="170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10"/>
      <c r="L62" s="170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10"/>
      <c r="L63" s="170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10"/>
      <c r="L64" s="170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10"/>
      <c r="L65" s="170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10"/>
      <c r="L66" s="170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10"/>
      <c r="L67" s="170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10"/>
      <c r="L68" s="170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10"/>
      <c r="L69" s="170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10"/>
      <c r="L70" s="170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7"/>
      <c r="L71" s="170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10"/>
      <c r="L72" s="170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10"/>
      <c r="L75" s="173"/>
      <c r="M75" s="110"/>
      <c r="N75" s="110"/>
      <c r="O75" s="71" t="s">
        <v>100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10"/>
      <c r="L76" s="173"/>
      <c r="M76" s="110"/>
      <c r="N76" s="110"/>
      <c r="O76" s="71" t="s">
        <v>101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10"/>
      <c r="L77" s="173"/>
      <c r="M77" s="110"/>
      <c r="N77" s="110"/>
      <c r="O77" s="71" t="s">
        <v>102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8">
        <f>VLOOKUP(O78,АО,3,FALSE)</f>
        <v>0</v>
      </c>
      <c r="K78" s="110"/>
      <c r="L78" s="173"/>
      <c r="M78" s="110"/>
      <c r="N78" s="110"/>
      <c r="O78" s="71" t="s">
        <v>103</v>
      </c>
    </row>
    <row r="79" spans="1:16384">
      <c r="A79" s="116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8">
        <f t="shared" ref="J81:J90" si="2">VLOOKUP(O81,АО,3,FALSE)</f>
        <v>0</v>
      </c>
      <c r="K81" s="110"/>
      <c r="L81" s="159"/>
      <c r="M81" s="110"/>
      <c r="N81" s="110"/>
      <c r="O81" s="71" t="s">
        <v>104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8">
        <f t="shared" si="2"/>
        <v>0</v>
      </c>
      <c r="K82" s="110"/>
      <c r="L82" s="159"/>
      <c r="M82" s="110"/>
      <c r="N82" s="110"/>
      <c r="O82" s="71" t="s">
        <v>105</v>
      </c>
    </row>
    <row r="83" spans="1:15" outlineLevel="1">
      <c r="A83" s="165" t="s">
        <v>4</v>
      </c>
      <c r="B83" s="166"/>
      <c r="C83" s="166"/>
      <c r="D83" s="166"/>
      <c r="E83" s="166"/>
      <c r="F83" s="166"/>
      <c r="G83" s="166"/>
      <c r="H83" s="166"/>
      <c r="I83" s="167"/>
      <c r="J83" s="98">
        <f t="shared" si="2"/>
        <v>106923.68</v>
      </c>
      <c r="K83" s="110"/>
      <c r="L83" s="159"/>
      <c r="M83" s="110"/>
      <c r="N83" s="110"/>
      <c r="O83" s="71" t="s">
        <v>106</v>
      </c>
    </row>
    <row r="84" spans="1:15" outlineLevel="1">
      <c r="A84" s="165" t="s">
        <v>16</v>
      </c>
      <c r="B84" s="166"/>
      <c r="C84" s="166"/>
      <c r="D84" s="166"/>
      <c r="E84" s="166"/>
      <c r="F84" s="166"/>
      <c r="G84" s="166"/>
      <c r="H84" s="166"/>
      <c r="I84" s="167"/>
      <c r="J84" s="98">
        <f t="shared" si="2"/>
        <v>0</v>
      </c>
      <c r="K84" s="110"/>
      <c r="L84" s="159"/>
      <c r="M84" s="110"/>
      <c r="N84" s="110"/>
      <c r="O84" s="71" t="s">
        <v>107</v>
      </c>
    </row>
    <row r="85" spans="1:15" outlineLevel="1">
      <c r="A85" s="165" t="s">
        <v>17</v>
      </c>
      <c r="B85" s="166"/>
      <c r="C85" s="166"/>
      <c r="D85" s="166"/>
      <c r="E85" s="166"/>
      <c r="F85" s="166"/>
      <c r="G85" s="166"/>
      <c r="H85" s="166"/>
      <c r="I85" s="167"/>
      <c r="J85" s="98">
        <f t="shared" si="2"/>
        <v>0</v>
      </c>
      <c r="K85" s="110"/>
      <c r="L85" s="159"/>
      <c r="M85" s="110"/>
      <c r="N85" s="110"/>
      <c r="O85" s="71" t="s">
        <v>108</v>
      </c>
    </row>
    <row r="86" spans="1:15" outlineLevel="1">
      <c r="A86" s="165" t="s">
        <v>18</v>
      </c>
      <c r="B86" s="166"/>
      <c r="C86" s="166"/>
      <c r="D86" s="166"/>
      <c r="E86" s="166"/>
      <c r="F86" s="166"/>
      <c r="G86" s="166"/>
      <c r="H86" s="166"/>
      <c r="I86" s="167"/>
      <c r="J86" s="98">
        <f t="shared" si="2"/>
        <v>121246.92</v>
      </c>
      <c r="K86" s="110"/>
      <c r="L86" s="159"/>
      <c r="M86" s="110"/>
      <c r="N86" s="110"/>
      <c r="O86" s="71" t="s">
        <v>109</v>
      </c>
    </row>
    <row r="87" spans="1:15" ht="18.75" customHeight="1" outlineLevel="1">
      <c r="A87" s="165" t="s">
        <v>27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10"/>
      <c r="L87" s="159"/>
      <c r="M87" s="110"/>
      <c r="N87" s="110"/>
      <c r="O87" s="71" t="s">
        <v>110</v>
      </c>
    </row>
    <row r="88" spans="1:15" ht="18.75" customHeight="1" outlineLevel="1">
      <c r="A88" s="165" t="s">
        <v>28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10"/>
      <c r="L88" s="159"/>
      <c r="M88" s="110"/>
      <c r="N88" s="110"/>
      <c r="O88" s="71" t="s">
        <v>111</v>
      </c>
    </row>
    <row r="89" spans="1:15" ht="18.75" customHeight="1" outlineLevel="1">
      <c r="A89" s="165" t="s">
        <v>29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10"/>
      <c r="L89" s="159"/>
      <c r="M89" s="110"/>
      <c r="N89" s="110"/>
      <c r="O89" s="71" t="s">
        <v>112</v>
      </c>
    </row>
    <row r="90" spans="1:15" ht="18.75" customHeight="1" outlineLevel="1">
      <c r="A90" s="165" t="s">
        <v>30</v>
      </c>
      <c r="B90" s="166"/>
      <c r="C90" s="166"/>
      <c r="D90" s="166"/>
      <c r="E90" s="166"/>
      <c r="F90" s="166"/>
      <c r="G90" s="166"/>
      <c r="H90" s="166"/>
      <c r="I90" s="167"/>
      <c r="J90" s="98">
        <f t="shared" si="2"/>
        <v>0</v>
      </c>
      <c r="K90" s="110"/>
      <c r="L90" s="159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4" t="s">
        <v>48</v>
      </c>
      <c r="B93" s="174"/>
      <c r="C93" s="174"/>
      <c r="D93" s="175" t="s">
        <v>49</v>
      </c>
      <c r="E93" s="175"/>
      <c r="F93" s="10" t="s">
        <v>50</v>
      </c>
      <c r="G93" s="174" t="s">
        <v>51</v>
      </c>
      <c r="H93" s="174"/>
      <c r="I93" s="174"/>
      <c r="J93" s="174"/>
      <c r="K93" s="110"/>
      <c r="L93" s="110"/>
      <c r="M93" s="110"/>
      <c r="N93" s="110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7">
        <f>VLOOKUP("эл",АО,5,FALSE)</f>
        <v>181017.72000000003</v>
      </c>
      <c r="H94" s="156"/>
      <c r="I94" s="156"/>
      <c r="J94" s="156"/>
      <c r="K94" s="1" t="str">
        <f>VLOOKUP("эл",АО,2,FALSE)</f>
        <v>Электроснабжение</v>
      </c>
      <c r="L94" s="160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158787.47368421056</v>
      </c>
      <c r="L95" s="160"/>
      <c r="O95" s="1" t="s">
        <v>114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177770.40000000005</v>
      </c>
      <c r="L96" s="160"/>
      <c r="O96" s="1" t="s">
        <v>115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3247.3199999999779</v>
      </c>
      <c r="L97" s="160"/>
      <c r="O97" s="1" t="s">
        <v>116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181017.72000000003</v>
      </c>
      <c r="L98" s="160"/>
      <c r="O98" s="1" t="s">
        <v>117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181017.72000000003</v>
      </c>
      <c r="L99" s="160"/>
      <c r="O99" s="1" t="s">
        <v>118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60"/>
      <c r="O100" s="1" t="s">
        <v>119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60"/>
      <c r="O101" s="1" t="s">
        <v>120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7">
        <f>VLOOKUP("хвс",АО,5,FALSE)</f>
        <v>85382.930000000022</v>
      </c>
      <c r="H102" s="156"/>
      <c r="I102" s="156"/>
      <c r="J102" s="156"/>
      <c r="L102" s="160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6310.6378418329659</v>
      </c>
      <c r="L103" s="160"/>
      <c r="O103" s="1" t="s">
        <v>123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85418.22</v>
      </c>
      <c r="L104" s="160"/>
      <c r="O104" s="1" t="s">
        <v>124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0</v>
      </c>
      <c r="L105" s="160"/>
      <c r="O105" s="1" t="s">
        <v>125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85382.930000000022</v>
      </c>
      <c r="L106" s="160"/>
      <c r="O106" s="1" t="s">
        <v>126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85382.930000000022</v>
      </c>
      <c r="L107" s="160"/>
      <c r="O107" s="1" t="s">
        <v>127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60"/>
      <c r="O108" s="1" t="s">
        <v>128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60"/>
      <c r="O109" s="1" t="s">
        <v>129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7">
        <f>VLOOKUP("воо",АО,5,FALSE)</f>
        <v>98907.400000000023</v>
      </c>
      <c r="H110" s="156"/>
      <c r="I110" s="156"/>
      <c r="J110" s="156"/>
      <c r="L110" s="160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6410.0712896954001</v>
      </c>
      <c r="L111" s="160"/>
      <c r="O111" s="1" t="s">
        <v>131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96712.00999999998</v>
      </c>
      <c r="L112" s="160"/>
      <c r="O112" s="1" t="s">
        <v>132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2195.3900000000431</v>
      </c>
      <c r="L113" s="160"/>
      <c r="O113" s="1" t="s">
        <v>133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98907.400000000023</v>
      </c>
      <c r="L114" s="160"/>
      <c r="O114" s="1" t="s">
        <v>134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98907.400000000023</v>
      </c>
      <c r="L115" s="160"/>
      <c r="O115" s="1" t="s">
        <v>135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0"/>
      <c r="O116" s="1" t="s">
        <v>136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0"/>
      <c r="O117" s="1" t="s">
        <v>137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7">
        <f>VLOOKUP("тко",АО,5,FALSE)</f>
        <v>129090.29000000004</v>
      </c>
      <c r="H118" s="156"/>
      <c r="I118" s="156"/>
      <c r="J118" s="156"/>
      <c r="L118" s="48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227.70861336014542</v>
      </c>
      <c r="L119" s="48"/>
      <c r="O119" s="1" t="s">
        <v>139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120174.47000000003</v>
      </c>
      <c r="L120" s="48"/>
      <c r="O120" s="1" t="s">
        <v>140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8915.820000000007</v>
      </c>
      <c r="L121" s="48"/>
      <c r="O121" s="1" t="s">
        <v>141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129090.29000000004</v>
      </c>
      <c r="L122" s="48"/>
      <c r="O122" s="1" t="s">
        <v>142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129090.29000000004</v>
      </c>
      <c r="L123" s="48"/>
      <c r="O123" s="1" t="s">
        <v>143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55">
        <f>IF(VLOOKUP("гвс",АО,3,FALSE)&gt;0,"Горячее водоснабжение",0)</f>
        <v>0</v>
      </c>
      <c r="B126" s="155"/>
      <c r="C126" s="155"/>
      <c r="D126" s="156">
        <f>IF(VLOOKUP("гвс",АО,3,FALSE)&gt;0,VLOOKUP("гвс",АО,3,FALSE),0)</f>
        <v>0</v>
      </c>
      <c r="E126" s="156"/>
      <c r="F126" s="13">
        <f>IF(VLOOKUP("гвс",АО,3,FALSE)&gt;0,VLOOKUP("гвс",АО,4,FALSE),0)</f>
        <v>0</v>
      </c>
      <c r="G126" s="157">
        <f>VLOOKUP("гвс",АО,5,FALSE)</f>
        <v>0</v>
      </c>
      <c r="H126" s="156"/>
      <c r="I126" s="156"/>
      <c r="J126" s="156"/>
      <c r="L126" s="48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6"/>
      <c r="I134" s="156"/>
      <c r="J134" s="156"/>
      <c r="L134" s="48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171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4</v>
      </c>
      <c r="L145" s="15"/>
      <c r="O145" t="s">
        <v>172</v>
      </c>
    </row>
    <row r="146" spans="1:15" ht="30" customHeight="1" outlineLevel="1">
      <c r="A146" s="151" t="s">
        <v>174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207932.34</v>
      </c>
      <c r="O146" t="s">
        <v>173</v>
      </c>
    </row>
    <row r="149" spans="1:15" ht="52.5" customHeight="1">
      <c r="A149" s="176" t="s">
        <v>179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8" t="s">
        <v>184</v>
      </c>
      <c r="B154" s="178"/>
      <c r="C154" s="178"/>
      <c r="D154" s="178"/>
      <c r="E154" s="27">
        <f>ПТО!G1</f>
        <v>-177273.53</v>
      </c>
    </row>
    <row r="155" spans="1:15" ht="34.5" customHeight="1">
      <c r="A155" s="177" t="s">
        <v>186</v>
      </c>
      <c r="B155" s="177"/>
      <c r="C155" s="177"/>
      <c r="D155" s="177"/>
      <c r="E155" s="28">
        <f>J13</f>
        <v>150402.09599999999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3" t="str">
        <f t="shared" ref="A158:A163" si="14">IF(N158&gt;0,N158,0)</f>
        <v>Техническое освидетельствование лифта.</v>
      </c>
      <c r="B158" s="153"/>
      <c r="C158" s="153"/>
      <c r="D158" s="153"/>
      <c r="E158" s="153"/>
      <c r="F158" s="158">
        <f t="shared" ref="F158:F163" si="15">IF(ISERROR(VLOOKUP(A158,$A$28:$J$72,6,FALSE)),0,VLOOKUP(A158,$A$28:$J$72,6,FALSE))</f>
        <v>8100</v>
      </c>
      <c r="G158" s="158"/>
      <c r="H158" s="24" t="str">
        <f t="shared" ref="H158:H187" si="16">VLOOKUP(A158,$A$28:$J$72,8,FALSE)</f>
        <v>ежегодно</v>
      </c>
      <c r="I158" s="154">
        <f t="shared" ref="I158:I161" si="17">VLOOKUP(A158,$A$28:$J$72,9,FALSE)</f>
        <v>1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3" t="str">
        <f t="shared" si="14"/>
        <v>Уборка снега с придомовой территории (парковка).</v>
      </c>
      <c r="B159" s="153"/>
      <c r="C159" s="153"/>
      <c r="D159" s="153"/>
      <c r="E159" s="153"/>
      <c r="F159" s="158">
        <f t="shared" si="15"/>
        <v>5000</v>
      </c>
      <c r="G159" s="158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Уборка снега с придомовой территории (парковка).</v>
      </c>
    </row>
    <row r="160" spans="1:15" ht="28.5" customHeight="1">
      <c r="A160" s="153" t="str">
        <f t="shared" si="14"/>
        <v>Изготовление и монтаж ограждения детской площадки.</v>
      </c>
      <c r="B160" s="153"/>
      <c r="C160" s="153"/>
      <c r="D160" s="153"/>
      <c r="E160" s="153"/>
      <c r="F160" s="158">
        <f t="shared" si="15"/>
        <v>22027.5</v>
      </c>
      <c r="G160" s="158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Изготовление и монтаж ограждения детской площадки.</v>
      </c>
    </row>
    <row r="161" spans="1:14" ht="28.5" customHeight="1">
      <c r="A161" s="153" t="str">
        <f>IF(N161&gt;0,N161,0)</f>
        <v>Приобретение новогодней елки и гирлянды.</v>
      </c>
      <c r="B161" s="153"/>
      <c r="C161" s="153"/>
      <c r="D161" s="153"/>
      <c r="E161" s="153"/>
      <c r="F161" s="158">
        <f t="shared" si="15"/>
        <v>1700</v>
      </c>
      <c r="G161" s="158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Приобретение новогодней елки и гирлянды.</v>
      </c>
    </row>
    <row r="162" spans="1:14" ht="28.5" customHeight="1">
      <c r="A162" s="153" t="str">
        <f t="shared" si="14"/>
        <v>Ремонт прибора учета тепловой энергии.</v>
      </c>
      <c r="B162" s="153"/>
      <c r="C162" s="153"/>
      <c r="D162" s="153"/>
      <c r="E162" s="153"/>
      <c r="F162" s="158">
        <f t="shared" si="15"/>
        <v>2242</v>
      </c>
      <c r="G162" s="158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Ремонт прибора учета тепловой энергии.</v>
      </c>
    </row>
    <row r="163" spans="1:14" ht="28.5" customHeight="1">
      <c r="A163" s="153" t="str">
        <f t="shared" si="14"/>
        <v>Приобретение и установка таблички по пожарной безопасности.</v>
      </c>
      <c r="B163" s="153"/>
      <c r="C163" s="153"/>
      <c r="D163" s="153"/>
      <c r="E163" s="153"/>
      <c r="F163" s="158">
        <f t="shared" si="15"/>
        <v>250</v>
      </c>
      <c r="G163" s="158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53" t="str">
        <f t="shared" ref="A164:A187" si="18">IF(N164&gt;0,N164,0)</f>
        <v>Монтаж системы диспетчеризации лифта.</v>
      </c>
      <c r="B164" s="153"/>
      <c r="C164" s="153"/>
      <c r="D164" s="153"/>
      <c r="E164" s="153"/>
      <c r="F164" s="158">
        <f t="shared" ref="F164:F187" si="19">IF(ISERROR(VLOOKUP(A164,$A$28:$J$72,6,FALSE)),0,VLOOKUP(A164,$A$28:$J$72,6,FALSE))</f>
        <v>39260</v>
      </c>
      <c r="G164" s="158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Монтаж системы диспетчеризации лифта.</v>
      </c>
    </row>
    <row r="165" spans="1:14" ht="28.5" customHeight="1">
      <c r="A165" s="153" t="str">
        <f t="shared" si="18"/>
        <v>Замена общедомовых приборов учета электрической энергии и трансформаторов тока.</v>
      </c>
      <c r="B165" s="153"/>
      <c r="C165" s="153"/>
      <c r="D165" s="153"/>
      <c r="E165" s="153"/>
      <c r="F165" s="158">
        <f t="shared" si="19"/>
        <v>10537.72</v>
      </c>
      <c r="G165" s="158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Замена общедомовых приборов учета электрической энергии и трансформаторов тока.</v>
      </c>
    </row>
    <row r="166" spans="1:14" ht="28.5" customHeight="1">
      <c r="A166" s="153" t="str">
        <f t="shared" si="18"/>
        <v>Приобретение и укладка грязезащитного коврика в тамбур подъезда.</v>
      </c>
      <c r="B166" s="153"/>
      <c r="C166" s="153"/>
      <c r="D166" s="153"/>
      <c r="E166" s="153"/>
      <c r="F166" s="158">
        <f t="shared" si="19"/>
        <v>880</v>
      </c>
      <c r="G166" s="158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Приобретение и укладка грязезащитного коврика в тамбур подъезда.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8">
        <f t="shared" si="19"/>
        <v>0</v>
      </c>
      <c r="G167" s="158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8">
        <f t="shared" si="19"/>
        <v>0</v>
      </c>
      <c r="G168" s="158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8">
        <f t="shared" si="19"/>
        <v>0</v>
      </c>
      <c r="G169" s="158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8">
        <f t="shared" si="19"/>
        <v>0</v>
      </c>
      <c r="G170" s="158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8">
        <f t="shared" si="19"/>
        <v>0</v>
      </c>
      <c r="G171" s="158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8">
        <f t="shared" si="19"/>
        <v>0</v>
      </c>
      <c r="G172" s="158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8">
        <f t="shared" si="19"/>
        <v>0</v>
      </c>
      <c r="G173" s="158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8">
        <f t="shared" si="19"/>
        <v>0</v>
      </c>
      <c r="G174" s="158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8">
        <f t="shared" si="19"/>
        <v>0</v>
      </c>
      <c r="G175" s="158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8">
        <f t="shared" si="19"/>
        <v>0</v>
      </c>
      <c r="G176" s="158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8">
        <f t="shared" si="19"/>
        <v>0</v>
      </c>
      <c r="G177" s="158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8">
        <f t="shared" si="19"/>
        <v>0</v>
      </c>
      <c r="G178" s="158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8">
        <f t="shared" si="19"/>
        <v>0</v>
      </c>
      <c r="G179" s="158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8">
        <f t="shared" si="19"/>
        <v>0</v>
      </c>
      <c r="G180" s="158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8">
        <f t="shared" si="19"/>
        <v>0</v>
      </c>
      <c r="G181" s="158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8">
        <f t="shared" si="19"/>
        <v>0</v>
      </c>
      <c r="G182" s="158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8">
        <f t="shared" si="19"/>
        <v>0</v>
      </c>
      <c r="G183" s="158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8">
        <f t="shared" si="19"/>
        <v>0</v>
      </c>
      <c r="G184" s="158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8">
        <f t="shared" si="19"/>
        <v>0</v>
      </c>
      <c r="G185" s="158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8">
        <f t="shared" si="19"/>
        <v>0</v>
      </c>
      <c r="G186" s="158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8">
        <f t="shared" si="19"/>
        <v>0</v>
      </c>
      <c r="G187" s="158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78" t="s">
        <v>187</v>
      </c>
      <c r="B190" s="178"/>
      <c r="C190" s="178"/>
      <c r="D190" s="178"/>
      <c r="E190" s="27">
        <f>SUM(F158:G187)</f>
        <v>89997.22</v>
      </c>
    </row>
    <row r="191" spans="1:14" ht="51.75" customHeight="1">
      <c r="A191" s="178" t="s">
        <v>188</v>
      </c>
      <c r="B191" s="178"/>
      <c r="C191" s="178"/>
      <c r="D191" s="178"/>
      <c r="E191" s="27">
        <f>E190+E154-E155</f>
        <v>-237678.40599999999</v>
      </c>
    </row>
    <row r="192" spans="1:14">
      <c r="A192" s="105" t="s">
        <v>175</v>
      </c>
    </row>
    <row r="193" spans="1:10" ht="62.25" customHeight="1">
      <c r="A193" s="152" t="s">
        <v>185</v>
      </c>
      <c r="B193" s="152"/>
      <c r="C193" s="152"/>
      <c r="D193" s="152"/>
      <c r="E193" s="152"/>
      <c r="F193" s="152"/>
      <c r="G193" s="152"/>
      <c r="H193" s="152"/>
      <c r="I193" s="152"/>
      <c r="J193" s="152"/>
    </row>
    <row r="194" spans="1:10">
      <c r="A194" s="150" t="str">
        <f>ПТО!F12</f>
        <v xml:space="preserve">  -  поверка (замена) манометров и термометров</v>
      </c>
      <c r="B194" s="150"/>
      <c r="C194" s="150"/>
      <c r="D194" s="150"/>
      <c r="E194" s="150"/>
      <c r="F194" s="150"/>
      <c r="G194" s="150"/>
      <c r="H194" s="50">
        <f>ПТО!G12</f>
        <v>1200</v>
      </c>
      <c r="I194" s="51" t="s">
        <v>75</v>
      </c>
    </row>
    <row r="195" spans="1:10" ht="18.75" customHeight="1">
      <c r="A195" s="150" t="str">
        <f>ПТО!F13</f>
        <v xml:space="preserve">  -  техническое освидетельствование лифта</v>
      </c>
      <c r="B195" s="150"/>
      <c r="C195" s="150"/>
      <c r="D195" s="150"/>
      <c r="E195" s="150"/>
      <c r="F195" s="150"/>
      <c r="G195" s="150"/>
      <c r="H195" s="50">
        <f>ПТО!G13</f>
        <v>8100</v>
      </c>
      <c r="I195" s="51" t="s">
        <v>75</v>
      </c>
    </row>
    <row r="196" spans="1:10" ht="18.75" hidden="1" customHeight="1">
      <c r="A196" s="150">
        <f>ПТО!F14</f>
        <v>0</v>
      </c>
      <c r="B196" s="150"/>
      <c r="C196" s="150"/>
      <c r="D196" s="150"/>
      <c r="E196" s="150"/>
      <c r="F196" s="150"/>
      <c r="G196" s="150"/>
      <c r="H196" s="50">
        <f>ПТО!G14</f>
        <v>0</v>
      </c>
      <c r="I196" s="51" t="s">
        <v>75</v>
      </c>
    </row>
    <row r="197" spans="1:10" ht="18.75" hidden="1" customHeight="1">
      <c r="A197" s="150">
        <f>ПТО!F15</f>
        <v>0</v>
      </c>
      <c r="B197" s="150"/>
      <c r="C197" s="150"/>
      <c r="D197" s="150"/>
      <c r="E197" s="150"/>
      <c r="F197" s="150"/>
      <c r="G197" s="150"/>
      <c r="H197" s="50">
        <f>ПТО!G15</f>
        <v>0</v>
      </c>
      <c r="I197" s="51" t="s">
        <v>75</v>
      </c>
    </row>
    <row r="198" spans="1:10" ht="18.75" hidden="1" customHeight="1">
      <c r="A198" s="150">
        <f>ПТО!F16</f>
        <v>0</v>
      </c>
      <c r="B198" s="150"/>
      <c r="C198" s="150"/>
      <c r="D198" s="150"/>
      <c r="E198" s="150"/>
      <c r="F198" s="150"/>
      <c r="G198" s="150"/>
      <c r="H198" s="50">
        <f>ПТО!G16</f>
        <v>0</v>
      </c>
      <c r="I198" s="53" t="s">
        <v>75</v>
      </c>
    </row>
    <row r="199" spans="1:10" ht="18.75" hidden="1" customHeight="1">
      <c r="A199" s="150">
        <f>ПТО!F17</f>
        <v>0</v>
      </c>
      <c r="B199" s="150"/>
      <c r="C199" s="150"/>
      <c r="D199" s="150"/>
      <c r="E199" s="150"/>
      <c r="F199" s="150"/>
      <c r="G199" s="150"/>
      <c r="H199" s="50">
        <f>ПТО!G17</f>
        <v>0</v>
      </c>
      <c r="I199" s="51" t="s">
        <v>75</v>
      </c>
    </row>
    <row r="200" spans="1:10" hidden="1">
      <c r="A200" s="150">
        <f>ПТО!F18</f>
        <v>0</v>
      </c>
      <c r="B200" s="150"/>
      <c r="C200" s="150"/>
      <c r="D200" s="150"/>
      <c r="E200" s="150"/>
      <c r="F200" s="150"/>
      <c r="G200" s="150"/>
      <c r="H200" s="50">
        <f>ПТО!G18</f>
        <v>0</v>
      </c>
      <c r="I200" s="51" t="s">
        <v>75</v>
      </c>
    </row>
    <row r="201" spans="1:10" hidden="1">
      <c r="A201" s="150">
        <f>ПТО!F19</f>
        <v>0</v>
      </c>
      <c r="B201" s="150"/>
      <c r="C201" s="150"/>
      <c r="D201" s="150"/>
      <c r="E201" s="150"/>
      <c r="F201" s="150"/>
      <c r="G201" s="150"/>
      <c r="H201" s="50">
        <f>ПТО!G19</f>
        <v>0</v>
      </c>
      <c r="I201" s="51" t="s">
        <v>75</v>
      </c>
    </row>
    <row r="202" spans="1:10" hidden="1">
      <c r="A202" s="150">
        <f>ПТО!F20</f>
        <v>0</v>
      </c>
      <c r="B202" s="150"/>
      <c r="C202" s="150"/>
      <c r="D202" s="150"/>
      <c r="E202" s="150"/>
      <c r="F202" s="150"/>
      <c r="G202" s="150"/>
      <c r="H202" s="50">
        <f>ПТО!G20</f>
        <v>0</v>
      </c>
      <c r="I202" s="51" t="s">
        <v>75</v>
      </c>
    </row>
    <row r="203" spans="1:10" hidden="1">
      <c r="A203" s="150">
        <f>ПТО!F21</f>
        <v>0</v>
      </c>
      <c r="B203" s="150"/>
      <c r="C203" s="150"/>
      <c r="D203" s="150"/>
      <c r="E203" s="150"/>
      <c r="F203" s="150"/>
      <c r="G203" s="150"/>
      <c r="H203" s="50">
        <f>ПТО!G21</f>
        <v>0</v>
      </c>
      <c r="I203" s="51" t="s">
        <v>75</v>
      </c>
    </row>
    <row r="204" spans="1:10" hidden="1">
      <c r="A204" s="150">
        <f>ПТО!F22</f>
        <v>0</v>
      </c>
      <c r="B204" s="150"/>
      <c r="C204" s="150"/>
      <c r="D204" s="150"/>
      <c r="E204" s="150"/>
      <c r="F204" s="150"/>
      <c r="G204" s="150"/>
      <c r="H204" s="50">
        <f>ПТО!G22</f>
        <v>0</v>
      </c>
      <c r="I204" s="51" t="s">
        <v>75</v>
      </c>
    </row>
    <row r="205" spans="1:10" hidden="1">
      <c r="A205" s="150">
        <f>ПТО!F23</f>
        <v>0</v>
      </c>
      <c r="B205" s="150"/>
      <c r="C205" s="150"/>
      <c r="D205" s="150"/>
      <c r="E205" s="150"/>
      <c r="F205" s="150"/>
      <c r="G205" s="150"/>
      <c r="H205" s="50">
        <f>ПТО!G23</f>
        <v>0</v>
      </c>
      <c r="I205" s="51" t="s">
        <v>75</v>
      </c>
    </row>
    <row r="206" spans="1:10" hidden="1">
      <c r="A206" s="150">
        <f>ПТО!F24</f>
        <v>0</v>
      </c>
      <c r="B206" s="150"/>
      <c r="C206" s="150"/>
      <c r="D206" s="150"/>
      <c r="E206" s="150"/>
      <c r="F206" s="150"/>
      <c r="G206" s="150"/>
      <c r="H206" s="50">
        <f>ПТО!G24</f>
        <v>0</v>
      </c>
      <c r="I206" s="51" t="s">
        <v>75</v>
      </c>
    </row>
    <row r="207" spans="1:10" hidden="1">
      <c r="A207" s="150">
        <f>ПТО!F25</f>
        <v>0</v>
      </c>
      <c r="B207" s="150"/>
      <c r="C207" s="150"/>
      <c r="D207" s="150"/>
      <c r="E207" s="150"/>
      <c r="F207" s="150"/>
      <c r="G207" s="150"/>
      <c r="H207" s="50">
        <f>ПТО!G25</f>
        <v>0</v>
      </c>
      <c r="I207" s="51" t="s">
        <v>75</v>
      </c>
    </row>
    <row r="208" spans="1:10" hidden="1">
      <c r="A208" s="150">
        <f>ПТО!F26</f>
        <v>0</v>
      </c>
      <c r="B208" s="150"/>
      <c r="C208" s="150"/>
      <c r="D208" s="150"/>
      <c r="E208" s="150"/>
      <c r="F208" s="150"/>
      <c r="G208" s="150"/>
      <c r="H208" s="50">
        <f>ПТО!G26</f>
        <v>0</v>
      </c>
      <c r="I208" s="51" t="s">
        <v>75</v>
      </c>
    </row>
    <row r="209" spans="1:9" hidden="1">
      <c r="A209" s="150">
        <f>ПТО!F27</f>
        <v>0</v>
      </c>
      <c r="B209" s="150"/>
      <c r="C209" s="150"/>
      <c r="D209" s="150"/>
      <c r="E209" s="150"/>
      <c r="F209" s="150"/>
      <c r="G209" s="150"/>
      <c r="H209" s="50">
        <f>ПТО!G27</f>
        <v>0</v>
      </c>
      <c r="I209" s="51" t="s">
        <v>75</v>
      </c>
    </row>
    <row r="210" spans="1:9" hidden="1">
      <c r="A210" s="150">
        <f>ПТО!F28</f>
        <v>0</v>
      </c>
      <c r="B210" s="150"/>
      <c r="C210" s="150"/>
      <c r="D210" s="150"/>
      <c r="E210" s="150"/>
      <c r="F210" s="150"/>
      <c r="G210" s="150"/>
      <c r="H210" s="50">
        <f>ПТО!G28</f>
        <v>0</v>
      </c>
      <c r="I210" s="51" t="s">
        <v>75</v>
      </c>
    </row>
    <row r="211" spans="1:9" hidden="1">
      <c r="A211" s="150">
        <f>ПТО!F29</f>
        <v>0</v>
      </c>
      <c r="B211" s="150"/>
      <c r="C211" s="150"/>
      <c r="D211" s="150"/>
      <c r="E211" s="150"/>
      <c r="F211" s="150"/>
      <c r="G211" s="150"/>
      <c r="H211" s="50">
        <f>ПТО!G29</f>
        <v>0</v>
      </c>
      <c r="I211" s="51" t="s">
        <v>75</v>
      </c>
    </row>
    <row r="212" spans="1:9" hidden="1">
      <c r="A212" s="150">
        <f>ПТО!F30</f>
        <v>0</v>
      </c>
      <c r="B212" s="150"/>
      <c r="C212" s="150"/>
      <c r="D212" s="150"/>
      <c r="E212" s="150"/>
      <c r="F212" s="150"/>
      <c r="G212" s="150"/>
      <c r="H212" s="50">
        <f>ПТО!G30</f>
        <v>0</v>
      </c>
      <c r="I212" s="51" t="s">
        <v>75</v>
      </c>
    </row>
    <row r="213" spans="1:9" hidden="1">
      <c r="A213" s="150">
        <f>ПТО!F31</f>
        <v>0</v>
      </c>
      <c r="B213" s="150"/>
      <c r="C213" s="150"/>
      <c r="D213" s="150"/>
      <c r="E213" s="150"/>
      <c r="F213" s="150"/>
      <c r="G213" s="150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9300</v>
      </c>
      <c r="I214" s="57" t="s">
        <v>78</v>
      </c>
    </row>
  </sheetData>
  <sheetProtection algorithmName="SHA-512" hashValue="IBhEInEi1myRt7pHZWbBSAShEoP8y4vjo542JJIPOWmeBTkPcb9VX6HHIrzYx/1qUVmuLADrtgSRakywVhmeNw==" saltValue="SEU/ISYOh+TFpk5Bvo5mX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5" sqref="E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184</v>
      </c>
      <c r="G1" s="102">
        <f>-177273.53</f>
        <v>-177273.53</v>
      </c>
    </row>
    <row r="2" spans="1:12" ht="18.75" customHeight="1">
      <c r="A2" s="122" t="s">
        <v>73</v>
      </c>
      <c r="B2" s="120" t="s">
        <v>180</v>
      </c>
      <c r="C2" s="121">
        <v>1</v>
      </c>
      <c r="D2" s="119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189</v>
      </c>
      <c r="B3" s="124" t="s">
        <v>183</v>
      </c>
      <c r="C3" s="125">
        <v>1</v>
      </c>
      <c r="D3" s="126">
        <v>5000</v>
      </c>
      <c r="E3" s="127" t="s">
        <v>190</v>
      </c>
      <c r="F3" s="30"/>
      <c r="G3" s="30"/>
      <c r="L3" s="33" t="str">
        <f t="shared" si="0"/>
        <v>ТР</v>
      </c>
    </row>
    <row r="4" spans="1:12" ht="18.75" customHeight="1">
      <c r="A4" s="128" t="s">
        <v>194</v>
      </c>
      <c r="B4" s="129" t="s">
        <v>183</v>
      </c>
      <c r="C4" s="43">
        <v>1</v>
      </c>
      <c r="D4" s="44">
        <v>22027.5</v>
      </c>
      <c r="E4" s="130" t="s">
        <v>195</v>
      </c>
      <c r="F4" s="30"/>
      <c r="G4" s="30"/>
      <c r="L4" s="33" t="str">
        <f t="shared" si="0"/>
        <v>ТР</v>
      </c>
    </row>
    <row r="5" spans="1:12" ht="18.75" customHeight="1">
      <c r="A5" s="143" t="s">
        <v>192</v>
      </c>
      <c r="B5" s="144" t="s">
        <v>183</v>
      </c>
      <c r="C5" s="145">
        <v>1</v>
      </c>
      <c r="D5" s="119">
        <v>1700</v>
      </c>
      <c r="E5" s="146" t="s">
        <v>202</v>
      </c>
      <c r="F5" s="45"/>
      <c r="G5" s="45"/>
      <c r="K5" s="47"/>
      <c r="L5" s="33" t="str">
        <f t="shared" si="0"/>
        <v>ТР</v>
      </c>
    </row>
    <row r="6" spans="1:12" ht="18.75" customHeight="1">
      <c r="A6" s="147" t="s">
        <v>182</v>
      </c>
      <c r="B6" s="124" t="s">
        <v>183</v>
      </c>
      <c r="C6" s="125">
        <v>1</v>
      </c>
      <c r="D6" s="149">
        <v>2242</v>
      </c>
      <c r="E6" s="148" t="s">
        <v>203</v>
      </c>
      <c r="F6" s="45"/>
      <c r="G6" s="45"/>
      <c r="K6" s="47"/>
      <c r="L6" s="33" t="str">
        <f t="shared" si="0"/>
        <v>ТР</v>
      </c>
    </row>
    <row r="7" spans="1:12" ht="18.75" customHeight="1">
      <c r="A7" s="140" t="s">
        <v>191</v>
      </c>
      <c r="B7" s="133" t="s">
        <v>183</v>
      </c>
      <c r="C7" s="141">
        <v>1</v>
      </c>
      <c r="D7" s="142">
        <v>250</v>
      </c>
      <c r="E7" s="138" t="s">
        <v>201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193</v>
      </c>
      <c r="B8" s="139" t="s">
        <v>183</v>
      </c>
      <c r="C8" s="43">
        <v>1</v>
      </c>
      <c r="D8" s="44">
        <v>39260</v>
      </c>
      <c r="E8" s="45" t="s">
        <v>200</v>
      </c>
      <c r="F8" s="46"/>
      <c r="G8" s="46"/>
      <c r="K8" s="44"/>
      <c r="L8" s="33" t="str">
        <f t="shared" si="0"/>
        <v>ТР</v>
      </c>
    </row>
    <row r="9" spans="1:12">
      <c r="A9" s="131" t="s">
        <v>196</v>
      </c>
      <c r="B9" s="132" t="s">
        <v>183</v>
      </c>
      <c r="C9" s="133">
        <v>1</v>
      </c>
      <c r="D9" s="47">
        <v>10537.72</v>
      </c>
      <c r="E9" s="31" t="s">
        <v>197</v>
      </c>
      <c r="F9" s="45"/>
      <c r="G9" s="45"/>
      <c r="K9" s="44"/>
      <c r="L9" s="33" t="str">
        <f t="shared" si="0"/>
        <v>ТР</v>
      </c>
    </row>
    <row r="10" spans="1:12">
      <c r="A10" s="134" t="s">
        <v>198</v>
      </c>
      <c r="B10" s="135" t="s">
        <v>183</v>
      </c>
      <c r="C10" s="136">
        <v>1</v>
      </c>
      <c r="D10" s="137">
        <v>880</v>
      </c>
      <c r="E10" s="138" t="s">
        <v>199</v>
      </c>
      <c r="L10" s="33" t="str">
        <f t="shared" si="0"/>
        <v>ТР</v>
      </c>
    </row>
    <row r="11" spans="1:12" ht="94.5">
      <c r="A11" s="30"/>
      <c r="F11" s="112" t="s">
        <v>185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15.75">
      <c r="A14" s="30"/>
      <c r="F14" s="113"/>
      <c r="G14" s="114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158334.72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158334.72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126604.32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126604.32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46643.64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46643.64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38076.480000000003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38076.480000000003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12692.16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12692.16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50451.360000000001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50451.360000000001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53941.68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53941.68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H0CPC3x2oybVCFTh/qIS2TdKJZbqiAUHLqUD1jWSOWCmLZ5JJmOxtIby69KIyv093m60QAeKXu0K7YFMnPGMGg==" saltValue="cmEacr6n3Ol/Lo2Vf6gPb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2644.2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275903.71000000002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647138.08600000001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496735.99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F1*4.74*12</f>
        <v>150402.09599999999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656759.69999999995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656759.69999999995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656759.69999999995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266282.09600000014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1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1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1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1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0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0"/>
      <c r="N26" s="64"/>
    </row>
    <row r="27" spans="1:15" ht="18.75" customHeight="1">
      <c r="A27" s="71" t="s">
        <v>106</v>
      </c>
      <c r="B27" s="76" t="s">
        <v>4</v>
      </c>
      <c r="C27" s="87">
        <v>106923.68</v>
      </c>
      <c r="D27" s="82" t="s">
        <v>60</v>
      </c>
      <c r="E27" s="65"/>
      <c r="F27" s="65"/>
      <c r="G27" s="65"/>
      <c r="H27" s="65"/>
      <c r="I27" s="65"/>
      <c r="J27" s="65"/>
      <c r="M27" s="180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0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0"/>
      <c r="N29" s="64"/>
    </row>
    <row r="30" spans="1:15" ht="18.75" customHeight="1">
      <c r="A30" s="71" t="s">
        <v>109</v>
      </c>
      <c r="B30" s="76" t="s">
        <v>18</v>
      </c>
      <c r="C30" s="87">
        <v>121246.92</v>
      </c>
      <c r="D30" s="82" t="s">
        <v>66</v>
      </c>
      <c r="E30" s="65"/>
      <c r="F30" s="65"/>
      <c r="G30" s="65"/>
      <c r="H30" s="65"/>
      <c r="I30" s="65"/>
      <c r="J30" s="65"/>
      <c r="M30" s="180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0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0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0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0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181017.72000000003</v>
      </c>
      <c r="F37" s="95" t="s">
        <v>168</v>
      </c>
      <c r="G37" s="67"/>
      <c r="H37" s="67"/>
      <c r="I37" s="67"/>
      <c r="L37" s="64"/>
      <c r="M37" s="179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158787.47368421056</v>
      </c>
      <c r="D38" s="95" t="s">
        <v>166</v>
      </c>
      <c r="E38" s="69"/>
      <c r="G38" s="68"/>
      <c r="H38" s="68"/>
      <c r="L38" s="64"/>
      <c r="M38" s="179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177770.40000000005</v>
      </c>
      <c r="D39" s="95" t="s">
        <v>167</v>
      </c>
      <c r="E39" s="69"/>
      <c r="G39" s="68"/>
      <c r="H39" s="68"/>
      <c r="L39" s="64"/>
      <c r="M39" s="179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3247.3199999999779</v>
      </c>
      <c r="D40" s="81" t="s">
        <v>59</v>
      </c>
      <c r="E40" s="69"/>
      <c r="G40" s="68"/>
      <c r="H40" s="68"/>
      <c r="L40" s="64"/>
      <c r="M40" s="179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181017.72000000003</v>
      </c>
      <c r="D41" s="81" t="s">
        <v>59</v>
      </c>
      <c r="E41" s="69"/>
      <c r="G41" s="68"/>
      <c r="H41" s="68"/>
      <c r="L41" s="64"/>
      <c r="M41" s="179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181017.72000000003</v>
      </c>
      <c r="D42" s="81" t="s">
        <v>59</v>
      </c>
      <c r="E42" s="69"/>
      <c r="G42" s="68"/>
      <c r="H42" s="68"/>
      <c r="L42" s="64"/>
      <c r="M42" s="179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9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9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85382.930000000022</v>
      </c>
      <c r="F45" s="95" t="s">
        <v>168</v>
      </c>
      <c r="G45" s="67"/>
      <c r="H45" s="67"/>
      <c r="L45" s="64"/>
      <c r="M45" s="179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6310.6378418329659</v>
      </c>
      <c r="D46" s="95" t="s">
        <v>169</v>
      </c>
      <c r="E46" s="69"/>
      <c r="G46" s="68"/>
      <c r="H46" s="68"/>
      <c r="L46" s="64"/>
      <c r="M46" s="179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85418.22</v>
      </c>
      <c r="D47" s="95" t="s">
        <v>167</v>
      </c>
      <c r="E47" s="69"/>
      <c r="G47" s="68"/>
      <c r="H47" s="68"/>
      <c r="L47" s="64"/>
      <c r="M47" s="179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9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85382.930000000022</v>
      </c>
      <c r="D49" s="81" t="s">
        <v>59</v>
      </c>
      <c r="E49" s="69"/>
      <c r="G49" s="68"/>
      <c r="H49" s="68"/>
      <c r="L49" s="64"/>
      <c r="M49" s="179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85382.930000000022</v>
      </c>
      <c r="D50" s="81" t="s">
        <v>59</v>
      </c>
      <c r="E50" s="69"/>
      <c r="G50" s="68"/>
      <c r="H50" s="68"/>
      <c r="L50" s="64"/>
      <c r="M50" s="179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9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9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98907.400000000023</v>
      </c>
      <c r="F53" s="95" t="s">
        <v>168</v>
      </c>
      <c r="G53" s="67"/>
      <c r="H53" s="67"/>
      <c r="L53" s="64"/>
      <c r="M53" s="179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6410.0712896954001</v>
      </c>
      <c r="D54" s="95" t="s">
        <v>169</v>
      </c>
      <c r="E54" s="70"/>
      <c r="F54" s="90"/>
      <c r="G54" s="65"/>
      <c r="H54" s="65"/>
      <c r="L54" s="64"/>
      <c r="M54" s="179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96712.00999999998</v>
      </c>
      <c r="D55" s="95" t="s">
        <v>167</v>
      </c>
      <c r="E55" s="70"/>
      <c r="G55" s="65"/>
      <c r="H55" s="65"/>
      <c r="L55" s="64"/>
      <c r="M55" s="179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2195.3900000000431</v>
      </c>
      <c r="D56" s="81" t="s">
        <v>59</v>
      </c>
      <c r="E56" s="70"/>
      <c r="G56" s="65"/>
      <c r="H56" s="65"/>
      <c r="L56" s="64"/>
      <c r="M56" s="179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98907.400000000023</v>
      </c>
      <c r="D57" s="81" t="s">
        <v>59</v>
      </c>
      <c r="E57" s="70"/>
      <c r="G57" s="65"/>
      <c r="H57" s="65"/>
      <c r="L57" s="64"/>
      <c r="M57" s="179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98907.400000000023</v>
      </c>
      <c r="D58" s="81" t="s">
        <v>59</v>
      </c>
      <c r="E58" s="70"/>
      <c r="G58" s="65"/>
      <c r="H58" s="65"/>
      <c r="L58" s="64"/>
      <c r="M58" s="179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9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9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129090.29000000004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227.70861336014542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120174.47000000003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8915.820000000007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129090.29000000004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129090.29000000004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0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0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0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8" sqref="C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4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207932.34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2021-03-15T02:56:40Z</dcterms:modified>
</cp:coreProperties>
</file>