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G118" i="1"/>
  <c r="F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A123" i="1" l="1"/>
  <c r="A119" i="1"/>
  <c r="A125" i="1"/>
  <c r="A118" i="1"/>
  <c r="A121" i="1"/>
  <c r="F134" i="1"/>
  <c r="A141" i="1"/>
  <c r="A137" i="1"/>
  <c r="A94" i="1"/>
  <c r="A96" i="1"/>
  <c r="D94" i="1"/>
  <c r="A99" i="1"/>
  <c r="A100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F174" i="1" l="1"/>
  <c r="H178" i="1"/>
  <c r="H174" i="1"/>
  <c r="F177" i="1"/>
  <c r="F167" i="1"/>
  <c r="H181" i="1"/>
  <c r="H182" i="1"/>
  <c r="H167" i="1"/>
  <c r="H170" i="1"/>
  <c r="H177" i="1"/>
  <c r="F182" i="1"/>
  <c r="F170" i="1"/>
  <c r="F181" i="1"/>
  <c r="F186" i="1"/>
  <c r="H187" i="1"/>
  <c r="F187" i="1"/>
  <c r="H186" i="1"/>
  <c r="H185" i="1"/>
  <c r="F185" i="1"/>
  <c r="F180" i="1"/>
  <c r="H179" i="1"/>
  <c r="F179" i="1"/>
  <c r="F178" i="1"/>
  <c r="H176" i="1"/>
  <c r="F176" i="1"/>
  <c r="F175" i="1"/>
  <c r="F173" i="1"/>
  <c r="F172" i="1"/>
  <c r="H172" i="1"/>
  <c r="F171" i="1"/>
  <c r="H171" i="1"/>
  <c r="F169" i="1"/>
  <c r="H169" i="1"/>
  <c r="F166" i="1"/>
  <c r="H166" i="1"/>
  <c r="H165" i="1"/>
  <c r="F165" i="1"/>
  <c r="H164" i="1"/>
  <c r="F164" i="1"/>
  <c r="H168" i="1"/>
  <c r="F168" i="1"/>
  <c r="H173" i="1"/>
  <c r="H180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<sst xmlns="http://schemas.openxmlformats.org/spreadsheetml/2006/main" count="567" uniqueCount="211">
  <si>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</si>
  <si>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</si>
  <si>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</si>
  <si>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</si>
  <si>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</si>
  <si>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</si>
  <si>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</si>
  <si>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</si>
  <si>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</si>
  <si>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</si>
  <si>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</si>
  <si>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</si>
  <si>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</si>
  <si>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</si>
  <si>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</si>
  <si>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</si>
  <si>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</si>
  <si>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</si>
  <si>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</si>
  <si>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</si>
  <si>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</si>
  <si>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</si>
  <si>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</si>
  <si>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</si>
  <si>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</si>
  <si>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</si>
  <si>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</si>
  <si>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</si>
  <si>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</si>
  <si>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</si>
  <si>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</si>
  <si>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</si>
  <si>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</si>
  <si>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</si>
  <si>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</si>
  <si>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</si>
  <si>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</si>
  <si>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</si>
  <si>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</si>
  <si>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</si>
  <si>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</si>
  <si>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</si>
  <si>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</si>
  <si>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</si>
  <si>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</si>
  <si>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</si>
  <si>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</si>
  <si>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</si>
  <si>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</si>
  <si>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</si>
  <si>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</si>
  <si>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</si>
  <si>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</si>
  <si>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</si>
  <si>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</si>
  <si>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</si>
  <si>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</si>
  <si>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</si>
  <si>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</si>
  <si>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</si>
  <si>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</si>
  <si>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</si>
  <si>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</si>
  <si>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</si>
  <si>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</si>
  <si>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</si>
  <si>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</si>
  <si>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</si>
  <si>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</si>
  <si>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</si>
  <si>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</si>
  <si>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</si>
  <si>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</si>
  <si>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</si>
  <si>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</si>
  <si>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</si>
  <si>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</si>
  <si>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</si>
  <si>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</si>
  <si>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</si>
  <si>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</si>
  <si>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</si>
  <si>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</si>
  <si>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</si>
  <si>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</si>
  <si>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</si>
  <si>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</si>
  <si>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</si>
  <si>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</si>
  <si>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</si>
  <si>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</si>
  <si>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</si>
  <si>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</si>
  <si>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</si>
  <si>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</si>
  <si>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</si>
  <si>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</si>
  <si>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</si>
  <si>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</si>
  <si>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</si>
  <si>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</si>
  <si>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</si>
  <si>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</si>
  <si>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</si>
  <si>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</si>
  <si>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</si>
  <si>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</si>
  <si>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</si>
  <si>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</si>
  <si>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</si>
  <si>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</si>
  <si>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</si>
  <si>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</si>
  <si>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</si>
  <si>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</si>
  <si>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</si>
  <si>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</si>
  <si>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</si>
  <si>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</si>
  <si>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</si>
  <si>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</si>
  <si>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</si>
  <si>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</si>
  <si>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</si>
  <si>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</si>
  <si>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</si>
  <si>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</si>
  <si>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</si>
  <si>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</si>
  <si>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</si>
  <si>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</si>
  <si>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</si>
  <si>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</si>
  <si>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</si>
  <si>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</si>
  <si>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</si>
  <si>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</si>
  <si>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</si>
  <si>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</si>
  <si>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</si>
  <si>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</si>
  <si>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</si>
  <si>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</si>
  <si>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</si>
  <si>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</si>
  <si>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</si>
  <si>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</si>
  <si>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</si>
  <si>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</si>
  <si>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</si>
  <si>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</si>
  <si>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</si>
  <si>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</si>
  <si>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</si>
  <si>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</si>
  <si>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</si>
  <si>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</si>
  <si>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</si>
  <si>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</si>
  <si>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</si>
  <si>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</si>
  <si>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</si>
  <si>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</si>
  <si>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</si>
  <si>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</si>
  <si>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</si>
  <si>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</si>
  <si>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</si>
  <si>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</si>
  <si>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</si>
  <si>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</si>
  <si>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</si>
  <si>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</si>
  <si>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</si>
  <si>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</si>
  <si>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</si>
  <si>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</si>
  <si>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Первомайский, 33/4</t>
  </si>
  <si>
    <t>ежегодно</t>
  </si>
  <si>
    <t>разово</t>
  </si>
  <si>
    <t>площадь дома</t>
  </si>
  <si>
    <t>Восстановление системы охранно-пожарной сигнализации.</t>
  </si>
  <si>
    <t>Отчет об исполнении договора управления многоквартирного дома 
Первомайский, 33/4 в части текущего ремонта</t>
  </si>
  <si>
    <t>Приобретение и замена ОДПУ ХВС.</t>
  </si>
  <si>
    <t>АВР 1/20 от 14.01.2020, Решение, счет №488 от 18.11.2019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</si>
  <si>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</si>
  <si>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</si>
  <si>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</si>
  <si>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</si>
  <si>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</si>
  <si>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Начало отчетного периода</t>
  </si>
  <si>
    <t>Приобретение и установка таблички по пожарной безопасности.</t>
  </si>
  <si>
    <t>Приобретение новогодней елки и гирлянды.</t>
  </si>
  <si>
    <t>АВР 2/20 от 10.04.2020, чек Рич Фемили</t>
  </si>
  <si>
    <t>АВР 3/20 от 10.04.2020, счет №87 от 09.01.2020</t>
  </si>
  <si>
    <t>АВР 4/20 от 10.04.2020, счет от 12.03.2020</t>
  </si>
  <si>
    <t>Приобретение брусков для изготовления колышков под саженцы деревьев.</t>
  </si>
  <si>
    <t>АВР 5/20 от 19.05.2020</t>
  </si>
  <si>
    <t>Модернизация системы видеонаблюдения.</t>
  </si>
  <si>
    <t>Монтаж дополнительного освещения для приямка шахты лифта.</t>
  </si>
  <si>
    <t>АВР 6/20 от 23.07.2020</t>
  </si>
  <si>
    <t>АВР 8/20 от 17.09.2020, Решение, счет №671 от 18.09.2020</t>
  </si>
  <si>
    <t>Ремонт ограждающих лестничных перил в подъезде.</t>
  </si>
  <si>
    <t>Демонтаж старых и монтаж новых кабель-каналов в подъезд.</t>
  </si>
  <si>
    <t>АВР 9/20 от 23.09.2020, Решение</t>
  </si>
  <si>
    <t>Ремонт подъезда.</t>
  </si>
  <si>
    <t>Испытание ограждений кровли крыши.</t>
  </si>
  <si>
    <t>АВР 10/20 от 05.12.2020, Решение, счет №005 от 29.09.2020</t>
  </si>
  <si>
    <t>АВР 11/20 от 25.112.2020, счет №1965 от 24.08.2020</t>
  </si>
  <si>
    <t xml:space="preserve">  -  ремонт кровли</t>
  </si>
  <si>
    <t>АВР 7/20 от 25.08.2020, Решение, счет №33 от 09.07.2020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</si>
</sst>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3" fillId="0" borderId="0"/>
  </cellStyleXfs>
  <cellXfs count="192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4" fontId="23" fillId="0" borderId="0" xfId="0" applyNumberFormat="1" applyFont="1" applyFill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31" fillId="0" borderId="0" xfId="5" applyNumberFormat="1" applyFont="1" applyFill="1" applyBorder="1" applyAlignment="1"/>
    <xf numFmtId="0" fontId="17" fillId="0" borderId="0" xfId="5" applyFill="1" applyBorder="1" applyAlignment="1">
      <alignment horizontal="center"/>
    </xf>
    <xf numFmtId="4" fontId="17" fillId="0" borderId="0" xfId="5" applyNumberFormat="1" applyFill="1" applyBorder="1" applyAlignment="1"/>
    <xf numFmtId="0" fontId="17" fillId="0" borderId="0" xfId="5" applyFill="1" applyBorder="1" applyAlignment="1"/>
    <xf numFmtId="0" fontId="31" fillId="0" borderId="0" xfId="5" applyFont="1" applyBorder="1"/>
    <xf numFmtId="0" fontId="31" fillId="0" borderId="0" xfId="4" applyFont="1" applyFill="1" applyBorder="1" applyAlignment="1">
      <alignment horizontal="center"/>
    </xf>
    <xf numFmtId="0" fontId="15" fillId="0" borderId="0" xfId="5" applyFont="1" applyFill="1" applyBorder="1"/>
    <xf numFmtId="0" fontId="14" fillId="0" borderId="0" xfId="5" applyFont="1" applyFill="1" applyBorder="1" applyAlignment="1">
      <alignment wrapText="1"/>
    </xf>
    <xf numFmtId="0" fontId="14" fillId="0" borderId="0" xfId="5" applyFont="1" applyFill="1" applyBorder="1" applyAlignment="1">
      <alignment horizontal="center"/>
    </xf>
    <xf numFmtId="1" fontId="17" fillId="0" borderId="0" xfId="5" applyNumberFormat="1" applyFill="1" applyBorder="1" applyAlignment="1">
      <alignment horizontal="center"/>
    </xf>
    <xf numFmtId="0" fontId="13" fillId="0" borderId="0" xfId="5" applyFont="1" applyFill="1" applyBorder="1"/>
    <xf numFmtId="0" fontId="31" fillId="0" borderId="0" xfId="5" applyFont="1" applyFill="1" applyBorder="1" applyAlignment="1"/>
    <xf numFmtId="0" fontId="16" fillId="0" borderId="0" xfId="5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11" fillId="0" borderId="0" xfId="4" applyFont="1" applyFill="1" applyBorder="1" applyAlignment="1"/>
    <xf numFmtId="0" fontId="11" fillId="0" borderId="0" xfId="4" applyFont="1" applyFill="1" applyBorder="1" applyAlignment="1">
      <alignment horizontal="center"/>
    </xf>
    <xf numFmtId="0" fontId="18" fillId="0" borderId="0" xfId="4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8" fillId="0" borderId="0" xfId="4" applyFon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2" fontId="0" fillId="0" borderId="0" xfId="0" applyNumberFormat="1" applyBorder="1"/>
    <xf numFmtId="0" fontId="6" fillId="0" borderId="0" xfId="2" applyFont="1" applyFill="1" applyBorder="1" applyAlignment="1"/>
    <xf numFmtId="0" fontId="5" fillId="0" borderId="0" xfId="4" applyFont="1" applyFill="1" applyBorder="1" applyAlignment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4" fontId="0" fillId="0" borderId="0" xfId="0" applyNumberFormat="1" applyFill="1" applyBorder="1"/>
    <xf numFmtId="0" fontId="3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3" fillId="0" borderId="0" xfId="6" applyFill="1" applyBorder="1" applyAlignment="1">
      <alignment horizontal="center"/>
    </xf>
    <xf numFmtId="4" fontId="31" fillId="0" borderId="0" xfId="6" applyNumberFormat="1" applyFont="1" applyFill="1" applyBorder="1" applyAlignment="1"/>
    <xf numFmtId="0" fontId="1" fillId="0" borderId="0" xfId="4" applyFont="1" applyFill="1" applyBorder="1" applyAlignment="1"/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1" sqref="K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2" t="s">
        <v>177</v>
      </c>
      <c r="B2" s="182"/>
      <c r="C2" s="182"/>
      <c r="D2" s="182"/>
      <c r="E2" s="182"/>
      <c r="F2" s="182"/>
      <c r="G2" s="182"/>
      <c r="H2" s="182"/>
      <c r="I2" s="182"/>
      <c r="J2" s="18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190</v>
      </c>
      <c r="E4" s="117">
        <v>43831</v>
      </c>
      <c r="K4" s="109"/>
      <c r="L4" s="109"/>
      <c r="M4" s="109"/>
      <c r="N4" s="109"/>
    </row>
    <row r="5" spans="1:18">
      <c r="A5" s="1" t="s">
        <v>0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9" t="s">
        <v>1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09"/>
      <c r="L8" s="183"/>
      <c r="M8" s="109"/>
      <c r="N8" s="109"/>
      <c r="O8" s="70" t="s">
        <v>82</v>
      </c>
      <c r="R8" s="16"/>
    </row>
    <row r="9" spans="1:18" ht="18.75" customHeight="1" outlineLevel="1">
      <c r="A9" s="179" t="s">
        <v>2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09"/>
      <c r="L9" s="183"/>
      <c r="M9" s="109"/>
      <c r="N9" s="109"/>
      <c r="O9" s="70" t="s">
        <v>83</v>
      </c>
    </row>
    <row r="10" spans="1:18" ht="18.75" customHeight="1" outlineLevel="1">
      <c r="A10" s="179" t="s">
        <v>3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379394.01</v>
      </c>
      <c r="K10" s="109"/>
      <c r="L10" s="183"/>
      <c r="M10" s="109"/>
      <c r="N10" s="109"/>
      <c r="O10" s="70" t="s">
        <v>84</v>
      </c>
    </row>
    <row r="11" spans="1:18" outlineLevel="1">
      <c r="A11" s="179" t="s">
        <v>4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645228.83199999994</v>
      </c>
      <c r="K11" s="109"/>
      <c r="L11" s="183"/>
      <c r="M11" s="109"/>
      <c r="N11" s="109"/>
      <c r="O11" s="70" t="s">
        <v>85</v>
      </c>
    </row>
    <row r="12" spans="1:18" ht="18.75" customHeight="1" outlineLevel="1">
      <c r="A12" s="179" t="s">
        <v>5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496237.35999999993</v>
      </c>
      <c r="K12" s="109"/>
      <c r="L12" s="183"/>
      <c r="M12" s="109"/>
      <c r="N12" s="109"/>
      <c r="O12" s="70" t="s">
        <v>86</v>
      </c>
    </row>
    <row r="13" spans="1:18" ht="18.75" customHeight="1" outlineLevel="1">
      <c r="A13" s="179" t="s">
        <v>6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148991.47200000001</v>
      </c>
      <c r="K13" s="109"/>
      <c r="L13" s="183"/>
      <c r="M13" s="109"/>
      <c r="N13" s="109"/>
      <c r="O13" s="70" t="s">
        <v>87</v>
      </c>
    </row>
    <row r="14" spans="1:18" ht="18.75" customHeight="1" outlineLevel="1">
      <c r="A14" s="179" t="s">
        <v>7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0</v>
      </c>
      <c r="K14" s="109"/>
      <c r="L14" s="183"/>
      <c r="M14" s="109"/>
      <c r="N14" s="109"/>
      <c r="O14" s="70" t="s">
        <v>88</v>
      </c>
    </row>
    <row r="15" spans="1:18" ht="18.75" customHeight="1" outlineLevel="1">
      <c r="A15" s="179" t="s">
        <v>8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603999.23</v>
      </c>
      <c r="K15" s="109"/>
      <c r="L15" s="183"/>
      <c r="M15" s="109"/>
      <c r="N15" s="109"/>
      <c r="O15" s="70" t="s">
        <v>89</v>
      </c>
    </row>
    <row r="16" spans="1:18" ht="18.75" customHeight="1" outlineLevel="1">
      <c r="A16" s="179" t="s">
        <v>9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603999.23</v>
      </c>
      <c r="K16" s="109"/>
      <c r="L16" s="183"/>
      <c r="M16" s="109"/>
      <c r="N16" s="109"/>
      <c r="O16" s="70" t="s">
        <v>90</v>
      </c>
    </row>
    <row r="17" spans="1:23" ht="18.75" customHeight="1" outlineLevel="1">
      <c r="A17" s="179" t="s">
        <v>10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09"/>
      <c r="L17" s="183"/>
      <c r="M17" s="109"/>
      <c r="N17" s="109"/>
      <c r="O17" s="70" t="s">
        <v>91</v>
      </c>
    </row>
    <row r="18" spans="1:23" ht="18.75" customHeight="1" outlineLevel="1">
      <c r="A18" s="179" t="s">
        <v>11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09"/>
      <c r="L18" s="183"/>
      <c r="M18" s="109"/>
      <c r="N18" s="109"/>
      <c r="O18" s="70" t="s">
        <v>92</v>
      </c>
    </row>
    <row r="19" spans="1:23" ht="18.75" customHeight="1" outlineLevel="1">
      <c r="A19" s="179" t="s">
        <v>12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09"/>
      <c r="L19" s="183"/>
      <c r="M19" s="109"/>
      <c r="N19" s="109"/>
      <c r="O19" s="70" t="s">
        <v>93</v>
      </c>
    </row>
    <row r="20" spans="1:23" ht="18.75" customHeight="1" outlineLevel="1">
      <c r="A20" s="179" t="s">
        <v>13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09"/>
      <c r="L20" s="183"/>
      <c r="M20" s="109"/>
      <c r="N20" s="109"/>
      <c r="O20" s="70" t="s">
        <v>94</v>
      </c>
    </row>
    <row r="21" spans="1:23" ht="18.75" customHeight="1" outlineLevel="1">
      <c r="A21" s="179" t="s">
        <v>14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603999.23</v>
      </c>
      <c r="K21" s="109"/>
      <c r="L21" s="183"/>
      <c r="M21" s="109"/>
      <c r="N21" s="109"/>
      <c r="O21" s="70" t="s">
        <v>95</v>
      </c>
    </row>
    <row r="22" spans="1:23" ht="18.75" customHeight="1" outlineLevel="1">
      <c r="A22" s="179" t="s">
        <v>15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09"/>
      <c r="L22" s="183"/>
      <c r="M22" s="109"/>
      <c r="N22" s="109"/>
      <c r="O22" s="70" t="s">
        <v>96</v>
      </c>
    </row>
    <row r="23" spans="1:23" ht="18.75" customHeight="1" outlineLevel="1">
      <c r="A23" s="179" t="s">
        <v>16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09"/>
      <c r="L23" s="183"/>
      <c r="M23" s="109"/>
      <c r="N23" s="109"/>
      <c r="O23" s="70" t="s">
        <v>97</v>
      </c>
    </row>
    <row r="24" spans="1:23" ht="18.75" customHeight="1" outlineLevel="1">
      <c r="A24" s="179" t="s">
        <v>17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420623.61199999996</v>
      </c>
      <c r="K24" s="109"/>
      <c r="L24" s="183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6" t="s">
        <v>18</v>
      </c>
      <c r="B27" s="166"/>
      <c r="C27" s="166"/>
      <c r="D27" s="166"/>
      <c r="E27" s="166"/>
      <c r="F27" s="166" t="s">
        <v>19</v>
      </c>
      <c r="G27" s="166"/>
      <c r="H27" s="5" t="s">
        <v>56</v>
      </c>
      <c r="I27" s="166" t="s">
        <v>20</v>
      </c>
      <c r="J27" s="166"/>
      <c r="K27" s="109"/>
      <c r="L27" s="18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1">
        <f>VLOOKUP(A28,ПТО!$A$39:$D$53,2,FALSE)</f>
        <v>146808.48000000001</v>
      </c>
      <c r="G28" s="161"/>
      <c r="H28" s="6" t="str">
        <f>VLOOKUP(A28,ПТО!$A$39:$D$53,3,FALSE)</f>
        <v>Ежемесячно</v>
      </c>
      <c r="I28" s="162">
        <f>VLOOKUP(A28,ПТО!$A$39:$D$53,4,FALSE)</f>
        <v>12</v>
      </c>
      <c r="J28" s="162"/>
      <c r="K28" s="109"/>
      <c r="L28" s="18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0" t="str">
        <f>ПТО!A40</f>
        <v>Работы по содержанию лифта (лифтов)</v>
      </c>
      <c r="B29" s="160"/>
      <c r="C29" s="160"/>
      <c r="D29" s="160"/>
      <c r="E29" s="160"/>
      <c r="F29" s="161">
        <f>VLOOKUP(A29,ПТО!$A$39:$D$53,2,FALSE)</f>
        <v>67894.8</v>
      </c>
      <c r="G29" s="161"/>
      <c r="H29" s="42" t="str">
        <f>VLOOKUP(A29,ПТО!$A$39:$D$53,3,FALSE)</f>
        <v>Ежемесячно</v>
      </c>
      <c r="I29" s="162">
        <f>VLOOKUP(A29,ПТО!$A$39:$D$53,4,FALSE)</f>
        <v>12</v>
      </c>
      <c r="J29" s="162"/>
      <c r="K29" s="109"/>
      <c r="L29" s="184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0"/>
      <c r="C30" s="160"/>
      <c r="D30" s="160"/>
      <c r="E30" s="160"/>
      <c r="F30" s="161">
        <f>VLOOKUP(A30,ПТО!$A$39:$D$53,2,FALSE)</f>
        <v>43062.96</v>
      </c>
      <c r="G30" s="161"/>
      <c r="H30" s="42" t="str">
        <f>VLOOKUP(A30,ПТО!$A$39:$D$53,3,FALSE)</f>
        <v>В соответствии с графиком</v>
      </c>
      <c r="I30" s="162">
        <f>VLOOKUP(A30,ПТО!$A$39:$D$53,4,FALSE)</f>
        <v>12</v>
      </c>
      <c r="J30" s="162"/>
      <c r="K30" s="109"/>
      <c r="L30" s="18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1">
        <f>VLOOKUP(A31,ПТО!$A$39:$D$53,2,FALSE)</f>
        <v>37719.360000000001</v>
      </c>
      <c r="G31" s="161"/>
      <c r="H31" s="42" t="str">
        <f>VLOOKUP(A31,ПТО!$A$39:$D$53,3,FALSE)</f>
        <v>Ежемесячно</v>
      </c>
      <c r="I31" s="162">
        <f>VLOOKUP(A31,ПТО!$A$39:$D$53,4,FALSE)</f>
        <v>12</v>
      </c>
      <c r="J31" s="162"/>
      <c r="K31" s="109"/>
      <c r="L31" s="18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1" t="e">
        <f>VLOOKUP(A32,ПТО!$A$39:$D$53,2,FALSE)</f>
        <v>#N/A</v>
      </c>
      <c r="G32" s="161"/>
      <c r="H32" s="42" t="e">
        <f>VLOOKUP(A32,ПТО!$A$39:$D$53,3,FALSE)</f>
        <v>#N/A</v>
      </c>
      <c r="I32" s="162" t="e">
        <f>VLOOKUP(A32,ПТО!$A$39:$D$53,4,FALSE)</f>
        <v>#N/A</v>
      </c>
      <c r="J32" s="162"/>
      <c r="K32" s="109"/>
      <c r="L32" s="18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1">
        <f>VLOOKUP(A33,ПТО!$A$39:$D$53,2,FALSE)</f>
        <v>12258.84</v>
      </c>
      <c r="G33" s="161"/>
      <c r="H33" s="42" t="str">
        <f>VLOOKUP(A33,ПТО!$A$39:$D$53,3,FALSE)</f>
        <v>Круглосуточно</v>
      </c>
      <c r="I33" s="162">
        <f>VLOOKUP(A33,ПТО!$A$39:$D$53,4,FALSE)</f>
        <v>12</v>
      </c>
      <c r="J33" s="162"/>
      <c r="K33" s="109"/>
      <c r="L33" s="18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1">
        <f>VLOOKUP(A34,ПТО!$A$39:$D$53,2,FALSE)</f>
        <v>50292.480000000003</v>
      </c>
      <c r="G34" s="161"/>
      <c r="H34" s="42" t="str">
        <f>VLOOKUP(A34,ПТО!$A$39:$D$53,3,FALSE)</f>
        <v>В соответствии с графиком</v>
      </c>
      <c r="I34" s="162">
        <f>VLOOKUP(A34,ПТО!$A$39:$D$53,4,FALSE)</f>
        <v>12</v>
      </c>
      <c r="J34" s="162"/>
      <c r="K34" s="109"/>
      <c r="L34" s="18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0"/>
      <c r="C35" s="160"/>
      <c r="D35" s="160"/>
      <c r="E35" s="160"/>
      <c r="F35" s="161">
        <f>VLOOKUP(A35,ПТО!$A$39:$D$53,2,FALSE)</f>
        <v>125416.92</v>
      </c>
      <c r="G35" s="161"/>
      <c r="H35" s="42" t="str">
        <f>VLOOKUP(A35,ПТО!$A$39:$D$53,3,FALSE)</f>
        <v>Ежемесячно</v>
      </c>
      <c r="I35" s="162">
        <f>VLOOKUP(A35,ПТО!$A$39:$D$53,4,FALSE)</f>
        <v>12</v>
      </c>
      <c r="J35" s="162"/>
      <c r="K35" s="109"/>
      <c r="L35" s="184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1" t="e">
        <f>VLOOKUP(A36,ПТО!$A$39:$D$53,2,FALSE)</f>
        <v>#N/A</v>
      </c>
      <c r="G36" s="161"/>
      <c r="H36" s="42" t="e">
        <f>VLOOKUP(A36,ПТО!$A$39:$D$53,3,FALSE)</f>
        <v>#N/A</v>
      </c>
      <c r="I36" s="162" t="e">
        <f>VLOOKUP(A36,ПТО!$A$39:$D$53,4,FALSE)</f>
        <v>#N/A</v>
      </c>
      <c r="J36" s="162"/>
      <c r="K36" s="109"/>
      <c r="L36" s="184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1" t="e">
        <f>VLOOKUP(A37,ПТО!$A$39:$D$53,2,FALSE)</f>
        <v>#N/A</v>
      </c>
      <c r="G37" s="161"/>
      <c r="H37" s="42" t="e">
        <f>VLOOKUP(A37,ПТО!$A$39:$D$53,3,FALSE)</f>
        <v>#N/A</v>
      </c>
      <c r="I37" s="162" t="e">
        <f>VLOOKUP(A37,ПТО!$A$39:$D$53,4,FALSE)</f>
        <v>#N/A</v>
      </c>
      <c r="J37" s="162"/>
      <c r="K37" s="109"/>
      <c r="L37" s="184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1" t="e">
        <f>VLOOKUP(A38,ПТО!$A$39:$D$53,2,FALSE)</f>
        <v>#N/A</v>
      </c>
      <c r="G38" s="161"/>
      <c r="H38" s="42" t="e">
        <f>VLOOKUP(A38,ПТО!$A$39:$D$53,3,FALSE)</f>
        <v>#N/A</v>
      </c>
      <c r="I38" s="162" t="e">
        <f>VLOOKUP(A38,ПТО!$A$39:$D$53,4,FALSE)</f>
        <v>#N/A</v>
      </c>
      <c r="J38" s="162"/>
      <c r="K38" s="109"/>
      <c r="L38" s="184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1" t="e">
        <f>VLOOKUP(A39,ПТО!$A$39:$D$53,2,FALSE)</f>
        <v>#N/A</v>
      </c>
      <c r="G39" s="161"/>
      <c r="H39" s="42" t="e">
        <f>VLOOKUP(A39,ПТО!$A$39:$D$53,3,FALSE)</f>
        <v>#N/A</v>
      </c>
      <c r="I39" s="162" t="e">
        <f>VLOOKUP(A39,ПТО!$A$39:$D$53,4,FALSE)</f>
        <v>#N/A</v>
      </c>
      <c r="J39" s="162"/>
      <c r="K39" s="109"/>
      <c r="L39" s="184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1" t="e">
        <f>VLOOKUP(A40,ПТО!$A$39:$D$53,2,FALSE)</f>
        <v>#N/A</v>
      </c>
      <c r="G40" s="161"/>
      <c r="H40" s="42" t="e">
        <f>VLOOKUP(A40,ПТО!$A$39:$D$53,3,FALSE)</f>
        <v>#N/A</v>
      </c>
      <c r="I40" s="162" t="e">
        <f>VLOOKUP(A40,ПТО!$A$39:$D$53,4,FALSE)</f>
        <v>#N/A</v>
      </c>
      <c r="J40" s="162"/>
      <c r="K40" s="109"/>
      <c r="L40" s="184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1" t="e">
        <f>VLOOKUP(A41,ПТО!$A$39:$D$53,2,FALSE)</f>
        <v>#N/A</v>
      </c>
      <c r="G41" s="161"/>
      <c r="H41" s="42" t="e">
        <f>VLOOKUP(A41,ПТО!$A$39:$D$53,3,FALSE)</f>
        <v>#N/A</v>
      </c>
      <c r="I41" s="162" t="e">
        <f>VLOOKUP(A41,ПТО!$A$39:$D$53,4,FALSE)</f>
        <v>#N/A</v>
      </c>
      <c r="J41" s="162"/>
      <c r="K41" s="109"/>
      <c r="L41" s="184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1" t="e">
        <f>VLOOKUP(A42,ПТО!$A$39:$D$53,2,FALSE)</f>
        <v>#N/A</v>
      </c>
      <c r="G42" s="161"/>
      <c r="H42" s="42" t="e">
        <f>VLOOKUP(A42,ПТО!$A$39:$D$53,3,FALSE)</f>
        <v>#N/A</v>
      </c>
      <c r="I42" s="162" t="e">
        <f>VLOOKUP(A42,ПТО!$A$39:$D$53,4,FALSE)</f>
        <v>#N/A</v>
      </c>
      <c r="J42" s="162"/>
      <c r="K42" s="109"/>
      <c r="L42" s="184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0" t="str">
        <f>ПТО!A2</f>
        <v>Техническое освидетельствование лифта.</v>
      </c>
      <c r="B43" s="160"/>
      <c r="C43" s="160"/>
      <c r="D43" s="160"/>
      <c r="E43" s="160"/>
      <c r="F43" s="161">
        <f>VLOOKUP(A43,ПТО!$A$2:$D$31,4,FALSE)</f>
        <v>8100</v>
      </c>
      <c r="G43" s="161"/>
      <c r="H43" s="19" t="str">
        <f>VLOOKUP(A43,ПТО!$A$2:$D$31,2,FALSE)</f>
        <v>ежегодно</v>
      </c>
      <c r="I43" s="162">
        <f>VLOOKUP(A43,ПТО!$A$2:$D$31,3,FALSE)</f>
        <v>1</v>
      </c>
      <c r="J43" s="162"/>
      <c r="K43" s="109"/>
      <c r="L43" s="184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0" t="str">
        <f>ПТО!A3</f>
        <v>Восстановление системы охранно-пожарной сигнализации.</v>
      </c>
      <c r="B44" s="160"/>
      <c r="C44" s="160"/>
      <c r="D44" s="160"/>
      <c r="E44" s="160"/>
      <c r="F44" s="161">
        <f>VLOOKUP(A44,ПТО!$A$2:$D$31,4,FALSE)</f>
        <v>15843</v>
      </c>
      <c r="G44" s="161"/>
      <c r="H44" s="25" t="str">
        <f>VLOOKUP(A44,ПТО!$A$2:$D$31,2,FALSE)</f>
        <v>разово</v>
      </c>
      <c r="I44" s="162">
        <f>VLOOKUP(A44,ПТО!$A$2:$D$31,3,FALSE)</f>
        <v>1</v>
      </c>
      <c r="J44" s="162"/>
      <c r="K44" s="109"/>
      <c r="L44" s="184"/>
      <c r="M44" s="116"/>
      <c r="N44" s="109"/>
      <c r="O44" s="23" t="str">
        <f t="shared" si="1"/>
        <v>Восстановление системы охранно-пожарной сигнализации.</v>
      </c>
      <c r="R44" s="22" t="s">
        <v>71</v>
      </c>
    </row>
    <row r="45" spans="1:18" ht="51" customHeight="1" outlineLevel="1">
      <c r="A45" s="160" t="str">
        <f>ПТО!A4</f>
        <v>Приобретение новогодней елки и гирлянды.</v>
      </c>
      <c r="B45" s="160"/>
      <c r="C45" s="160"/>
      <c r="D45" s="160"/>
      <c r="E45" s="160"/>
      <c r="F45" s="161">
        <f>VLOOKUP(A45,ПТО!$A$2:$D$31,4,FALSE)</f>
        <v>1930</v>
      </c>
      <c r="G45" s="161"/>
      <c r="H45" s="25" t="str">
        <f>VLOOKUP(A45,ПТО!$A$2:$D$31,2,FALSE)</f>
        <v>разово</v>
      </c>
      <c r="I45" s="162">
        <f>VLOOKUP(A45,ПТО!$A$2:$D$31,3,FALSE)</f>
        <v>1</v>
      </c>
      <c r="J45" s="162"/>
      <c r="K45" s="109"/>
      <c r="L45" s="184"/>
      <c r="M45" s="116"/>
      <c r="N45" s="109"/>
      <c r="O45" s="23" t="str">
        <f t="shared" si="1"/>
        <v>Приобретение новогодней елки и гирлянды.</v>
      </c>
      <c r="R45" s="22" t="s">
        <v>71</v>
      </c>
    </row>
    <row r="46" spans="1:18" ht="51" customHeight="1" outlineLevel="1">
      <c r="A46" s="160" t="str">
        <f>ПТО!A5</f>
        <v>Приобретение и замена ОДПУ ХВС.</v>
      </c>
      <c r="B46" s="160"/>
      <c r="C46" s="160"/>
      <c r="D46" s="160"/>
      <c r="E46" s="160"/>
      <c r="F46" s="161">
        <f>VLOOKUP(A46,ПТО!$A$2:$D$31,4,FALSE)</f>
        <v>4504.37</v>
      </c>
      <c r="G46" s="161"/>
      <c r="H46" s="25" t="str">
        <f>VLOOKUP(A46,ПТО!$A$2:$D$31,2,FALSE)</f>
        <v>разово</v>
      </c>
      <c r="I46" s="162">
        <f>VLOOKUP(A46,ПТО!$A$2:$D$31,3,FALSE)</f>
        <v>1</v>
      </c>
      <c r="J46" s="162"/>
      <c r="K46" s="109"/>
      <c r="L46" s="184"/>
      <c r="M46" s="116"/>
      <c r="N46" s="109"/>
      <c r="O46" s="23" t="str">
        <f t="shared" si="1"/>
        <v>Приобретение и замена ОДПУ ХВС.</v>
      </c>
      <c r="R46" s="22" t="s">
        <v>71</v>
      </c>
    </row>
    <row r="47" spans="1:18" ht="51" customHeight="1" outlineLevel="1">
      <c r="A47" s="160" t="str">
        <f>ПТО!A6</f>
        <v>Приобретение и установка таблички по пожарной безопасности.</v>
      </c>
      <c r="B47" s="160"/>
      <c r="C47" s="160"/>
      <c r="D47" s="160"/>
      <c r="E47" s="160"/>
      <c r="F47" s="161">
        <f>VLOOKUP(A47,ПТО!$A$2:$D$31,4,FALSE)</f>
        <v>250</v>
      </c>
      <c r="G47" s="161"/>
      <c r="H47" s="25" t="str">
        <f>VLOOKUP(A47,ПТО!$A$2:$D$31,2,FALSE)</f>
        <v>разово</v>
      </c>
      <c r="I47" s="162">
        <f>VLOOKUP(A47,ПТО!$A$2:$D$31,3,FALSE)</f>
        <v>1</v>
      </c>
      <c r="J47" s="162"/>
      <c r="K47" s="109"/>
      <c r="L47" s="184"/>
      <c r="M47" s="116"/>
      <c r="N47" s="109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60" t="str">
        <f>ПТО!A7</f>
        <v>Приобретение брусков для изготовления колышков под саженцы деревьев.</v>
      </c>
      <c r="B48" s="160"/>
      <c r="C48" s="160"/>
      <c r="D48" s="160"/>
      <c r="E48" s="160"/>
      <c r="F48" s="161">
        <f>VLOOKUP(A48,ПТО!$A$2:$D$31,4,FALSE)</f>
        <v>925</v>
      </c>
      <c r="G48" s="161"/>
      <c r="H48" s="25" t="str">
        <f>VLOOKUP(A48,ПТО!$A$2:$D$31,2,FALSE)</f>
        <v>разово</v>
      </c>
      <c r="I48" s="162">
        <f>VLOOKUP(A48,ПТО!$A$2:$D$31,3,FALSE)</f>
        <v>1</v>
      </c>
      <c r="J48" s="162"/>
      <c r="K48" s="109"/>
      <c r="L48" s="184"/>
      <c r="M48" s="116"/>
      <c r="N48" s="109"/>
      <c r="O48" s="23" t="str">
        <f t="shared" si="1"/>
        <v>Приобретение брусков для изготовления колышков под саженцы деревьев.</v>
      </c>
      <c r="R48" s="22" t="s">
        <v>71</v>
      </c>
    </row>
    <row r="49" spans="1:18" ht="51" customHeight="1" outlineLevel="1">
      <c r="A49" s="160" t="str">
        <f>ПТО!A8</f>
        <v>Монтаж дополнительного освещения для приямка шахты лифта.</v>
      </c>
      <c r="B49" s="160"/>
      <c r="C49" s="160"/>
      <c r="D49" s="160"/>
      <c r="E49" s="160"/>
      <c r="F49" s="161">
        <f>VLOOKUP(A49,ПТО!$A$2:$D$31,4,FALSE)</f>
        <v>2000</v>
      </c>
      <c r="G49" s="161"/>
      <c r="H49" s="25" t="str">
        <f>VLOOKUP(A49,ПТО!$A$2:$D$31,2,FALSE)</f>
        <v>разово</v>
      </c>
      <c r="I49" s="162">
        <f>VLOOKUP(A49,ПТО!$A$2:$D$31,3,FALSE)</f>
        <v>1</v>
      </c>
      <c r="J49" s="162"/>
      <c r="K49" s="109"/>
      <c r="L49" s="184"/>
      <c r="M49" s="116"/>
      <c r="N49" s="109"/>
      <c r="O49" s="23" t="str">
        <f t="shared" si="1"/>
        <v>Монтаж дополнительного освещения для приямка шахты лифта.</v>
      </c>
      <c r="R49" s="22" t="s">
        <v>71</v>
      </c>
    </row>
    <row r="50" spans="1:18" ht="51" customHeight="1" outlineLevel="1">
      <c r="A50" s="160" t="str">
        <f>ПТО!A9</f>
        <v>Модернизация системы видеонаблюдения.</v>
      </c>
      <c r="B50" s="160"/>
      <c r="C50" s="160"/>
      <c r="D50" s="160"/>
      <c r="E50" s="160"/>
      <c r="F50" s="161">
        <f>VLOOKUP(A50,ПТО!$A$2:$D$31,4,FALSE)</f>
        <v>103110</v>
      </c>
      <c r="G50" s="161"/>
      <c r="H50" s="25" t="str">
        <f>VLOOKUP(A50,ПТО!$A$2:$D$31,2,FALSE)</f>
        <v>разово</v>
      </c>
      <c r="I50" s="162">
        <f>VLOOKUP(A50,ПТО!$A$2:$D$31,3,FALSE)</f>
        <v>1</v>
      </c>
      <c r="J50" s="162"/>
      <c r="K50" s="109"/>
      <c r="L50" s="184"/>
      <c r="M50" s="116"/>
      <c r="N50" s="109"/>
      <c r="O50" s="23" t="str">
        <f t="shared" si="1"/>
        <v>Модернизация системы видеонаблюдения.</v>
      </c>
      <c r="R50" s="22" t="s">
        <v>71</v>
      </c>
    </row>
    <row r="51" spans="1:18" ht="51" customHeight="1" outlineLevel="1">
      <c r="A51" s="160" t="str">
        <f>ПТО!A10</f>
        <v>Демонтаж старых и монтаж новых кабель-каналов в подъезд.</v>
      </c>
      <c r="B51" s="160"/>
      <c r="C51" s="160"/>
      <c r="D51" s="160"/>
      <c r="E51" s="160"/>
      <c r="F51" s="161">
        <f>VLOOKUP(A51,ПТО!$A$2:$D$31,4,FALSE)</f>
        <v>91966.96</v>
      </c>
      <c r="G51" s="161"/>
      <c r="H51" s="25" t="str">
        <f>VLOOKUP(A51,ПТО!$A$2:$D$31,2,FALSE)</f>
        <v>разово</v>
      </c>
      <c r="I51" s="162">
        <f>VLOOKUP(A51,ПТО!$A$2:$D$31,3,FALSE)</f>
        <v>1</v>
      </c>
      <c r="J51" s="162"/>
      <c r="K51" s="109"/>
      <c r="L51" s="184"/>
      <c r="M51" s="116"/>
      <c r="N51" s="109"/>
      <c r="O51" s="23" t="str">
        <f t="shared" si="1"/>
        <v>Демонтаж старых и монтаж новых кабель-каналов в подъезд.</v>
      </c>
      <c r="R51" s="22" t="s">
        <v>71</v>
      </c>
    </row>
    <row r="52" spans="1:18" ht="51" customHeight="1" outlineLevel="1">
      <c r="A52" s="160" t="str">
        <f>ПТО!A11</f>
        <v>Ремонт ограждающих лестничных перил в подъезде.</v>
      </c>
      <c r="B52" s="160"/>
      <c r="C52" s="160"/>
      <c r="D52" s="160"/>
      <c r="E52" s="160"/>
      <c r="F52" s="161">
        <f>VLOOKUP(A52,ПТО!$A$2:$D$31,4,FALSE)</f>
        <v>22000</v>
      </c>
      <c r="G52" s="161"/>
      <c r="H52" s="25" t="str">
        <f>VLOOKUP(A52,ПТО!$A$2:$D$31,2,FALSE)</f>
        <v>разово</v>
      </c>
      <c r="I52" s="162">
        <f>VLOOKUP(A52,ПТО!$A$2:$D$31,3,FALSE)</f>
        <v>1</v>
      </c>
      <c r="J52" s="162"/>
      <c r="K52" s="109"/>
      <c r="L52" s="184"/>
      <c r="M52" s="116"/>
      <c r="N52" s="109"/>
      <c r="O52" s="23" t="str">
        <f t="shared" si="1"/>
        <v>Ремонт ограждающих лестничных перил в подъезде.</v>
      </c>
      <c r="R52" s="22" t="s">
        <v>71</v>
      </c>
    </row>
    <row r="53" spans="1:18" ht="51" customHeight="1" outlineLevel="1">
      <c r="A53" s="160" t="str">
        <f>ПТО!A12</f>
        <v>Ремонт подъезда.</v>
      </c>
      <c r="B53" s="160"/>
      <c r="C53" s="160"/>
      <c r="D53" s="160"/>
      <c r="E53" s="160"/>
      <c r="F53" s="161">
        <f>VLOOKUP(A53,ПТО!$A$2:$D$31,4,FALSE)</f>
        <v>297486</v>
      </c>
      <c r="G53" s="161"/>
      <c r="H53" s="25" t="str">
        <f>VLOOKUP(A53,ПТО!$A$2:$D$31,2,FALSE)</f>
        <v>разово</v>
      </c>
      <c r="I53" s="162">
        <f>VLOOKUP(A53,ПТО!$A$2:$D$31,3,FALSE)</f>
        <v>1</v>
      </c>
      <c r="J53" s="162"/>
      <c r="K53" s="109"/>
      <c r="L53" s="184"/>
      <c r="M53" s="116"/>
      <c r="N53" s="109"/>
      <c r="O53" s="23" t="str">
        <f t="shared" si="1"/>
        <v>Ремонт подъезда.</v>
      </c>
      <c r="R53" s="22" t="s">
        <v>71</v>
      </c>
    </row>
    <row r="54" spans="1:18" ht="51" customHeight="1" outlineLevel="1">
      <c r="A54" s="160" t="str">
        <f>ПТО!A13</f>
        <v>Испытание ограждений кровли крыши.</v>
      </c>
      <c r="B54" s="160"/>
      <c r="C54" s="160"/>
      <c r="D54" s="160"/>
      <c r="E54" s="160"/>
      <c r="F54" s="161">
        <f>VLOOKUP(A54,ПТО!$A$2:$D$31,4,FALSE)</f>
        <v>8750</v>
      </c>
      <c r="G54" s="161"/>
      <c r="H54" s="25" t="str">
        <f>VLOOKUP(A54,ПТО!$A$2:$D$31,2,FALSE)</f>
        <v>разово</v>
      </c>
      <c r="I54" s="162">
        <f>VLOOKUP(A54,ПТО!$A$2:$D$31,3,FALSE)</f>
        <v>1</v>
      </c>
      <c r="J54" s="162"/>
      <c r="K54" s="109"/>
      <c r="L54" s="184"/>
      <c r="M54" s="116"/>
      <c r="N54" s="109"/>
      <c r="O54" s="23" t="str">
        <f t="shared" si="1"/>
        <v>Испытание ограждений кровли крыши.</v>
      </c>
      <c r="R54" s="22" t="s">
        <v>71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1" t="e">
        <f>VLOOKUP(A55,ПТО!$A$2:$D$31,4,FALSE)</f>
        <v>#N/A</v>
      </c>
      <c r="G55" s="161"/>
      <c r="H55" s="25" t="e">
        <f>VLOOKUP(A55,ПТО!$A$2:$D$31,2,FALSE)</f>
        <v>#N/A</v>
      </c>
      <c r="I55" s="162" t="e">
        <f>VLOOKUP(A55,ПТО!$A$2:$D$31,3,FALSE)</f>
        <v>#N/A</v>
      </c>
      <c r="J55" s="162"/>
      <c r="K55" s="109"/>
      <c r="L55" s="184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1" t="e">
        <f>VLOOKUP(A56,ПТО!$A$2:$D$31,4,FALSE)</f>
        <v>#N/A</v>
      </c>
      <c r="G56" s="161"/>
      <c r="H56" s="25" t="e">
        <f>VLOOKUP(A56,ПТО!$A$2:$D$31,2,FALSE)</f>
        <v>#N/A</v>
      </c>
      <c r="I56" s="162" t="e">
        <f>VLOOKUP(A56,ПТО!$A$2:$D$31,3,FALSE)</f>
        <v>#N/A</v>
      </c>
      <c r="J56" s="162"/>
      <c r="K56" s="109"/>
      <c r="L56" s="184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1" t="e">
        <f>VLOOKUP(A57,ПТО!$A$2:$D$31,4,FALSE)</f>
        <v>#N/A</v>
      </c>
      <c r="G57" s="161"/>
      <c r="H57" s="25" t="e">
        <f>VLOOKUP(A57,ПТО!$A$2:$D$31,2,FALSE)</f>
        <v>#N/A</v>
      </c>
      <c r="I57" s="162" t="e">
        <f>VLOOKUP(A57,ПТО!$A$2:$D$31,3,FALSE)</f>
        <v>#N/A</v>
      </c>
      <c r="J57" s="162"/>
      <c r="K57" s="109"/>
      <c r="L57" s="184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62" t="e">
        <f>VLOOKUP(A58,ПТО!$A$2:$D$31,3,FALSE)</f>
        <v>#N/A</v>
      </c>
      <c r="J58" s="162"/>
      <c r="K58" s="109"/>
      <c r="L58" s="184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62" t="e">
        <f>VLOOKUP(A59,ПТО!$A$2:$D$31,3,FALSE)</f>
        <v>#N/A</v>
      </c>
      <c r="J59" s="162"/>
      <c r="K59" s="109"/>
      <c r="L59" s="184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62" t="e">
        <f>VLOOKUP(A60,ПТО!$A$2:$D$31,3,FALSE)</f>
        <v>#N/A</v>
      </c>
      <c r="J60" s="162"/>
      <c r="K60" s="109"/>
      <c r="L60" s="184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62" t="e">
        <f>VLOOKUP(A61,ПТО!$A$2:$D$31,3,FALSE)</f>
        <v>#N/A</v>
      </c>
      <c r="J61" s="162"/>
      <c r="K61" s="109"/>
      <c r="L61" s="184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62" t="e">
        <f>VLOOKUP(A62,ПТО!$A$2:$D$31,3,FALSE)</f>
        <v>#N/A</v>
      </c>
      <c r="J62" s="162"/>
      <c r="K62" s="109"/>
      <c r="L62" s="184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62" t="e">
        <f>VLOOKUP(A63,ПТО!$A$2:$D$31,3,FALSE)</f>
        <v>#N/A</v>
      </c>
      <c r="J63" s="162"/>
      <c r="K63" s="109"/>
      <c r="L63" s="184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62" t="e">
        <f>VLOOKUP(A64,ПТО!$A$2:$D$31,3,FALSE)</f>
        <v>#N/A</v>
      </c>
      <c r="J64" s="162"/>
      <c r="K64" s="109"/>
      <c r="L64" s="184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62" t="e">
        <f>VLOOKUP(A65,ПТО!$A$2:$D$31,3,FALSE)</f>
        <v>#N/A</v>
      </c>
      <c r="J65" s="162"/>
      <c r="K65" s="109"/>
      <c r="L65" s="184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62" t="e">
        <f>VLOOKUP(A66,ПТО!$A$2:$D$31,3,FALSE)</f>
        <v>#N/A</v>
      </c>
      <c r="J66" s="162"/>
      <c r="K66" s="109"/>
      <c r="L66" s="184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62" t="e">
        <f>VLOOKUP(A67,ПТО!$A$2:$D$31,3,FALSE)</f>
        <v>#N/A</v>
      </c>
      <c r="J67" s="162"/>
      <c r="K67" s="109"/>
      <c r="L67" s="184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62" t="e">
        <f>VLOOKUP(A68,ПТО!$A$2:$D$31,3,FALSE)</f>
        <v>#N/A</v>
      </c>
      <c r="J68" s="162"/>
      <c r="K68" s="109"/>
      <c r="L68" s="184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62" t="e">
        <f>VLOOKUP(A69,ПТО!$A$2:$D$31,3,FALSE)</f>
        <v>#N/A</v>
      </c>
      <c r="J69" s="162"/>
      <c r="K69" s="109"/>
      <c r="L69" s="184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62" t="e">
        <f>VLOOKUP(A70,ПТО!$A$2:$D$31,3,FALSE)</f>
        <v>#N/A</v>
      </c>
      <c r="J70" s="162"/>
      <c r="K70" s="109"/>
      <c r="L70" s="184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62" t="e">
        <f>VLOOKUP(A71,ПТО!$A$2:$D$31,3,FALSE)</f>
        <v>#N/A</v>
      </c>
      <c r="J71" s="162"/>
      <c r="K71" s="116"/>
      <c r="L71" s="184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62" t="e">
        <f>VLOOKUP(A72,ПТО!$A$2:$D$31,3,FALSE)</f>
        <v>#N/A</v>
      </c>
      <c r="J72" s="162"/>
      <c r="K72" s="109"/>
      <c r="L72" s="184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8" t="s">
        <v>26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09"/>
      <c r="L75" s="167"/>
      <c r="M75" s="109"/>
      <c r="N75" s="109"/>
      <c r="O75" s="70" t="s">
        <v>99</v>
      </c>
    </row>
    <row r="76" spans="1:16384" ht="18.75" customHeight="1" outlineLevel="1">
      <c r="A76" s="178" t="s">
        <v>27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09"/>
      <c r="L76" s="167"/>
      <c r="M76" s="109"/>
      <c r="N76" s="109"/>
      <c r="O76" s="70" t="s">
        <v>100</v>
      </c>
    </row>
    <row r="77" spans="1:16384" ht="21.75" customHeight="1" outlineLevel="1">
      <c r="A77" s="178" t="s">
        <v>28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09"/>
      <c r="L77" s="167"/>
      <c r="M77" s="109"/>
      <c r="N77" s="109"/>
      <c r="O77" s="70" t="s">
        <v>101</v>
      </c>
    </row>
    <row r="78" spans="1:16384" ht="18.75" customHeight="1" outlineLevel="1">
      <c r="A78" s="178" t="s">
        <v>29</v>
      </c>
      <c r="B78" s="178"/>
      <c r="C78" s="178"/>
      <c r="D78" s="178"/>
      <c r="E78" s="178"/>
      <c r="F78" s="178"/>
      <c r="G78" s="178"/>
      <c r="H78" s="178"/>
      <c r="I78" s="178"/>
      <c r="J78" s="97">
        <f>VLOOKUP(O78,АО,3,FALSE)</f>
        <v>0</v>
      </c>
      <c r="K78" s="109"/>
      <c r="L78" s="167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8" t="s">
        <v>1</v>
      </c>
      <c r="B81" s="168"/>
      <c r="C81" s="168"/>
      <c r="D81" s="168"/>
      <c r="E81" s="168"/>
      <c r="F81" s="168"/>
      <c r="G81" s="168"/>
      <c r="H81" s="168"/>
      <c r="I81" s="168"/>
      <c r="J81" s="97">
        <f t="shared" ref="J81:J90" si="2">VLOOKUP(O81,АО,3,FALSE)</f>
        <v>0</v>
      </c>
      <c r="K81" s="109"/>
      <c r="L81" s="185"/>
      <c r="M81" s="109"/>
      <c r="N81" s="109"/>
      <c r="O81" s="70" t="s">
        <v>103</v>
      </c>
    </row>
    <row r="82" spans="1:15" outlineLevel="1">
      <c r="A82" s="168" t="s">
        <v>2</v>
      </c>
      <c r="B82" s="168"/>
      <c r="C82" s="168"/>
      <c r="D82" s="168"/>
      <c r="E82" s="168"/>
      <c r="F82" s="168"/>
      <c r="G82" s="168"/>
      <c r="H82" s="168"/>
      <c r="I82" s="168"/>
      <c r="J82" s="97">
        <f t="shared" si="2"/>
        <v>0</v>
      </c>
      <c r="K82" s="109"/>
      <c r="L82" s="185"/>
      <c r="M82" s="109"/>
      <c r="N82" s="109"/>
      <c r="O82" s="70" t="s">
        <v>104</v>
      </c>
    </row>
    <row r="83" spans="1:15" outlineLevel="1">
      <c r="A83" s="175" t="s">
        <v>3</v>
      </c>
      <c r="B83" s="176"/>
      <c r="C83" s="176"/>
      <c r="D83" s="176"/>
      <c r="E83" s="176"/>
      <c r="F83" s="176"/>
      <c r="G83" s="176"/>
      <c r="H83" s="176"/>
      <c r="I83" s="177"/>
      <c r="J83" s="97">
        <f t="shared" si="2"/>
        <v>125102</v>
      </c>
      <c r="K83" s="109"/>
      <c r="L83" s="185"/>
      <c r="M83" s="109"/>
      <c r="N83" s="109"/>
      <c r="O83" s="70" t="s">
        <v>105</v>
      </c>
    </row>
    <row r="84" spans="1:15" outlineLevel="1">
      <c r="A84" s="175" t="s">
        <v>15</v>
      </c>
      <c r="B84" s="176"/>
      <c r="C84" s="176"/>
      <c r="D84" s="176"/>
      <c r="E84" s="176"/>
      <c r="F84" s="176"/>
      <c r="G84" s="176"/>
      <c r="H84" s="176"/>
      <c r="I84" s="177"/>
      <c r="J84" s="97">
        <f t="shared" si="2"/>
        <v>0</v>
      </c>
      <c r="K84" s="109"/>
      <c r="L84" s="185"/>
      <c r="M84" s="109"/>
      <c r="N84" s="109"/>
      <c r="O84" s="70" t="s">
        <v>106</v>
      </c>
    </row>
    <row r="85" spans="1:15" outlineLevel="1">
      <c r="A85" s="175" t="s">
        <v>16</v>
      </c>
      <c r="B85" s="176"/>
      <c r="C85" s="176"/>
      <c r="D85" s="176"/>
      <c r="E85" s="176"/>
      <c r="F85" s="176"/>
      <c r="G85" s="176"/>
      <c r="H85" s="176"/>
      <c r="I85" s="177"/>
      <c r="J85" s="97">
        <f t="shared" si="2"/>
        <v>0</v>
      </c>
      <c r="K85" s="109"/>
      <c r="L85" s="185"/>
      <c r="M85" s="109"/>
      <c r="N85" s="109"/>
      <c r="O85" s="70" t="s">
        <v>107</v>
      </c>
    </row>
    <row r="86" spans="1:15" outlineLevel="1">
      <c r="A86" s="175" t="s">
        <v>17</v>
      </c>
      <c r="B86" s="176"/>
      <c r="C86" s="176"/>
      <c r="D86" s="176"/>
      <c r="E86" s="176"/>
      <c r="F86" s="176"/>
      <c r="G86" s="176"/>
      <c r="H86" s="176"/>
      <c r="I86" s="177"/>
      <c r="J86" s="97">
        <f t="shared" si="2"/>
        <v>135914.22</v>
      </c>
      <c r="K86" s="109"/>
      <c r="L86" s="185"/>
      <c r="M86" s="109"/>
      <c r="N86" s="109"/>
      <c r="O86" s="70" t="s">
        <v>108</v>
      </c>
    </row>
    <row r="87" spans="1:15" ht="18.75" customHeight="1" outlineLevel="1">
      <c r="A87" s="175" t="s">
        <v>26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9"/>
      <c r="L87" s="185"/>
      <c r="M87" s="109"/>
      <c r="N87" s="109"/>
      <c r="O87" s="70" t="s">
        <v>109</v>
      </c>
    </row>
    <row r="88" spans="1:15" ht="18.75" customHeight="1" outlineLevel="1">
      <c r="A88" s="175" t="s">
        <v>27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9"/>
      <c r="L88" s="185"/>
      <c r="M88" s="109"/>
      <c r="N88" s="109"/>
      <c r="O88" s="70" t="s">
        <v>110</v>
      </c>
    </row>
    <row r="89" spans="1:15" ht="18.75" customHeight="1" outlineLevel="1">
      <c r="A89" s="175" t="s">
        <v>28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9"/>
      <c r="L89" s="185"/>
      <c r="M89" s="109"/>
      <c r="N89" s="109"/>
      <c r="O89" s="70" t="s">
        <v>111</v>
      </c>
    </row>
    <row r="90" spans="1:15" ht="18.75" customHeight="1" outlineLevel="1">
      <c r="A90" s="175" t="s">
        <v>29</v>
      </c>
      <c r="B90" s="176"/>
      <c r="C90" s="176"/>
      <c r="D90" s="176"/>
      <c r="E90" s="176"/>
      <c r="F90" s="176"/>
      <c r="G90" s="176"/>
      <c r="H90" s="176"/>
      <c r="I90" s="177"/>
      <c r="J90" s="97">
        <f t="shared" si="2"/>
        <v>0</v>
      </c>
      <c r="K90" s="109"/>
      <c r="L90" s="18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9" t="s">
        <v>47</v>
      </c>
      <c r="B93" s="169"/>
      <c r="C93" s="169"/>
      <c r="D93" s="172" t="s">
        <v>48</v>
      </c>
      <c r="E93" s="172"/>
      <c r="F93" s="10" t="s">
        <v>49</v>
      </c>
      <c r="G93" s="169" t="s">
        <v>50</v>
      </c>
      <c r="H93" s="169"/>
      <c r="I93" s="169"/>
      <c r="J93" s="169"/>
      <c r="K93" s="109"/>
      <c r="L93" s="109"/>
      <c r="M93" s="109"/>
      <c r="N93" s="109"/>
    </row>
    <row r="94" spans="1:15" outlineLevel="1">
      <c r="A94" s="173" t="str">
        <f>IF(VLOOKUP("эл",АО,3,FALSE)&gt;0,"Электроснабжение",0)</f>
        <v>Электроснабжение</v>
      </c>
      <c r="B94" s="173"/>
      <c r="C94" s="173"/>
      <c r="D94" s="171" t="str">
        <f>IF(VLOOKUP("эл",АО,3,FALSE)&gt;0,VLOOKUP("эл",АО,3,FALSE),0)</f>
        <v>Предоставляется</v>
      </c>
      <c r="E94" s="171"/>
      <c r="F94" s="13" t="str">
        <f>IF(VLOOKUP("эл",АО,3,FALSE)&gt;0,VLOOKUP("эл",АО,4,FALSE),0)</f>
        <v>кВт*ч</v>
      </c>
      <c r="G94" s="170">
        <f>VLOOKUP("эл",АО,5,FALSE)</f>
        <v>155008.05000000002</v>
      </c>
      <c r="H94" s="171"/>
      <c r="I94" s="171"/>
      <c r="J94" s="171"/>
      <c r="K94" s="1" t="str">
        <f>VLOOKUP("эл",АО,2,FALSE)</f>
        <v>Электроснабжение</v>
      </c>
      <c r="L94" s="186"/>
    </row>
    <row r="95" spans="1:15" outlineLevel="2">
      <c r="A95" s="174" t="str">
        <f>IF(VLOOKUP("эл",АО,3,FALSE)&gt;0,VLOOKUP("эл1",АО,2,FALSE),0)</f>
        <v>Общий объем потребления, нат. показ.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135971.97368421056</v>
      </c>
      <c r="L95" s="186"/>
      <c r="O95" s="1" t="s">
        <v>113</v>
      </c>
    </row>
    <row r="96" spans="1:15" outlineLevel="2">
      <c r="A96" s="174" t="str">
        <f>IF(VLOOKUP("эл",АО,3,FALSE)&gt;0,VLOOKUP("эл2",АО,2,FALSE),0)</f>
        <v>Оплачено потребителями, руб.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151074.29999999999</v>
      </c>
      <c r="L96" s="186"/>
      <c r="O96" s="1" t="s">
        <v>114</v>
      </c>
    </row>
    <row r="97" spans="1:15" outlineLevel="2">
      <c r="A97" s="174" t="str">
        <f>IF(VLOOKUP("эл",АО,3,FALSE)&gt;0,VLOOKUP("эл3",АО,2,FALSE),0)</f>
        <v>Задолженность потребителей, руб.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3933.7500000000291</v>
      </c>
      <c r="L97" s="186"/>
      <c r="O97" s="1" t="s">
        <v>115</v>
      </c>
    </row>
    <row r="98" spans="1:15" ht="37.5" customHeight="1" outlineLevel="2">
      <c r="A98" s="174" t="str">
        <f>IF(VLOOKUP("эл",АО,3,FALSE)&gt;0,VLOOKUP("эл4",АО,2,FALSE),0)</f>
        <v>Начислено поставщиком (поставщиками) коммунального ресурса, руб.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155008.05000000002</v>
      </c>
      <c r="L98" s="186"/>
      <c r="O98" s="1" t="s">
        <v>116</v>
      </c>
    </row>
    <row r="99" spans="1:15" outlineLevel="2">
      <c r="A99" s="174" t="str">
        <f>IF(VLOOKUP("эл",АО,3,FALSE)&gt;0,VLOOKUP("эл5",АО,2,FALSE),0)</f>
        <v>Оплачено поставщику (поставщикам) коммунального ресурса, руб.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155008.05000000002</v>
      </c>
      <c r="L99" s="186"/>
      <c r="O99" s="1" t="s">
        <v>117</v>
      </c>
    </row>
    <row r="100" spans="1:15" ht="39" customHeight="1" outlineLevel="2">
      <c r="A100" s="17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86"/>
      <c r="O100" s="1" t="s">
        <v>118</v>
      </c>
    </row>
    <row r="101" spans="1:15" ht="34.5" customHeight="1" outlineLevel="2">
      <c r="A101" s="17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86"/>
      <c r="O101" s="1" t="s">
        <v>119</v>
      </c>
    </row>
    <row r="102" spans="1:15" ht="28.5" customHeight="1" outlineLevel="1">
      <c r="A102" s="173" t="str">
        <f>IF(VLOOKUP("хвс",АО,3,FALSE)&gt;0,"Холодное водоснабжение",0)</f>
        <v>Холодное водоснабжение</v>
      </c>
      <c r="B102" s="173"/>
      <c r="C102" s="173"/>
      <c r="D102" s="171" t="str">
        <f>IF(VLOOKUP("хвс",АО,3,FALSE)&gt;0,VLOOKUP("хвс",АО,3,FALSE),0)</f>
        <v>Предоставляется</v>
      </c>
      <c r="E102" s="171"/>
      <c r="F102" s="13" t="str">
        <f>IF(VLOOKUP("хвс",АО,3,FALSE)&gt;0,VLOOKUP("хвс",АО,4,FALSE),0)</f>
        <v>куб.м.</v>
      </c>
      <c r="G102" s="170">
        <f>VLOOKUP("хвс",АО,5,FALSE)</f>
        <v>96362.53</v>
      </c>
      <c r="H102" s="171"/>
      <c r="I102" s="171"/>
      <c r="J102" s="171"/>
      <c r="L102" s="186"/>
    </row>
    <row r="103" spans="1:15" outlineLevel="2">
      <c r="A103" s="174" t="str">
        <f t="shared" ref="A103:A109" si="4">IF(VLOOKUP("хвс",АО,3,FALSE)&gt;0,VLOOKUP(O103,АО,2,FALSE),0)</f>
        <v>Общий объем потребления, нат. показ.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7122.1382113821137</v>
      </c>
      <c r="L103" s="186"/>
      <c r="O103" s="1" t="s">
        <v>122</v>
      </c>
    </row>
    <row r="104" spans="1:15" ht="18.75" customHeight="1" outlineLevel="2">
      <c r="A104" s="174" t="str">
        <f t="shared" si="4"/>
        <v>Оплачено потребителями, руб.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97529.95</v>
      </c>
      <c r="L104" s="186"/>
      <c r="O104" s="1" t="s">
        <v>123</v>
      </c>
    </row>
    <row r="105" spans="1:15" ht="18.75" customHeight="1" outlineLevel="2">
      <c r="A105" s="174" t="str">
        <f t="shared" si="4"/>
        <v>Задолженность потребителей, руб.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0</v>
      </c>
      <c r="L105" s="186"/>
      <c r="O105" s="1" t="s">
        <v>124</v>
      </c>
    </row>
    <row r="106" spans="1:15" ht="36.75" customHeight="1" outlineLevel="2">
      <c r="A106" s="174" t="str">
        <f t="shared" si="4"/>
        <v>Начислено поставщиком (поставщиками) коммунального ресурса, руб.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96362.53</v>
      </c>
      <c r="L106" s="186"/>
      <c r="O106" s="1" t="s">
        <v>125</v>
      </c>
    </row>
    <row r="107" spans="1:15" ht="18.75" customHeight="1" outlineLevel="2">
      <c r="A107" s="174" t="str">
        <f t="shared" si="4"/>
        <v>Оплачено поставщику (поставщикам) коммунального ресурса, руб.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96362.53</v>
      </c>
      <c r="L107" s="186"/>
      <c r="O107" s="1" t="s">
        <v>126</v>
      </c>
    </row>
    <row r="108" spans="1:15" ht="37.5" customHeight="1" outlineLevel="2">
      <c r="A108" s="174" t="str">
        <f t="shared" si="4"/>
        <v>Задолженность перед поставщиком (поставщиками) коммунального ресурса, руб.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86"/>
      <c r="O108" s="1" t="s">
        <v>127</v>
      </c>
    </row>
    <row r="109" spans="1:15" ht="39.75" customHeight="1" outlineLevel="2">
      <c r="A109" s="174" t="str">
        <f t="shared" si="4"/>
        <v>Размер пени и штрафов, уплаченных поставщику (поставщикам) коммунального ресурса, руб.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86"/>
      <c r="O109" s="1" t="s">
        <v>128</v>
      </c>
    </row>
    <row r="110" spans="1:15" ht="27" customHeight="1" outlineLevel="1">
      <c r="A110" s="173" t="str">
        <f>IF(VLOOKUP("воо",АО,3,FALSE)&gt;0,"Водоотведение",0)</f>
        <v>Водоотведение</v>
      </c>
      <c r="B110" s="173"/>
      <c r="C110" s="173"/>
      <c r="D110" s="171" t="str">
        <f>IF(VLOOKUP("воо",АО,3,FALSE)&gt;0,VLOOKUP("воо",АО,3,FALSE),0)</f>
        <v>Предоставляется</v>
      </c>
      <c r="E110" s="171"/>
      <c r="F110" s="13" t="str">
        <f>IF(VLOOKUP("воо",АО,3,FALSE)&gt;0,VLOOKUP("воо",АО,4,FALSE),0)</f>
        <v>куб.м.</v>
      </c>
      <c r="G110" s="170">
        <f>VLOOKUP("воо",АО,5,FALSE)</f>
        <v>111723.19</v>
      </c>
      <c r="H110" s="171"/>
      <c r="I110" s="171"/>
      <c r="J110" s="171"/>
      <c r="L110" s="186"/>
    </row>
    <row r="111" spans="1:15" outlineLevel="2">
      <c r="A111" s="168" t="str">
        <f t="shared" ref="A111:A117" si="6">IF(VLOOKUP("воо",АО,3,FALSE)&gt;0,VLOOKUP(O111,АО,2,FALSE),0)</f>
        <v>Общий объем потребления, нат. показ.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7240.6474400518473</v>
      </c>
      <c r="L111" s="186"/>
      <c r="O111" s="1" t="s">
        <v>130</v>
      </c>
    </row>
    <row r="112" spans="1:15" ht="18.75" customHeight="1" outlineLevel="2">
      <c r="A112" s="168" t="str">
        <f t="shared" si="6"/>
        <v>Оплачено потребителями, руб.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108692.58</v>
      </c>
      <c r="L112" s="186"/>
      <c r="O112" s="1" t="s">
        <v>131</v>
      </c>
    </row>
    <row r="113" spans="1:15" ht="19.5" customHeight="1" outlineLevel="2">
      <c r="A113" s="168" t="str">
        <f t="shared" si="6"/>
        <v>Задолженность потребителей, руб.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3030.6100000000006</v>
      </c>
      <c r="L113" s="186"/>
      <c r="O113" s="1" t="s">
        <v>132</v>
      </c>
    </row>
    <row r="114" spans="1:15" ht="33" customHeight="1" outlineLevel="2">
      <c r="A114" s="168" t="str">
        <f t="shared" si="6"/>
        <v>Начислено поставщиком (поставщиками) коммунального ресурса, руб.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111723.19</v>
      </c>
      <c r="L114" s="186"/>
      <c r="O114" s="1" t="s">
        <v>133</v>
      </c>
    </row>
    <row r="115" spans="1:15" ht="18.75" customHeight="1" outlineLevel="2">
      <c r="A115" s="168" t="str">
        <f t="shared" si="6"/>
        <v>Оплачено поставщику (поставщикам) коммунального ресурса, руб.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111723.19</v>
      </c>
      <c r="L115" s="186"/>
      <c r="O115" s="1" t="s">
        <v>134</v>
      </c>
    </row>
    <row r="116" spans="1:15" ht="33.75" customHeight="1" outlineLevel="2">
      <c r="A116" s="168" t="str">
        <f t="shared" si="6"/>
        <v>Задолженность перед поставщиком (поставщиками) коммунального ресурса, руб.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86"/>
      <c r="O116" s="1" t="s">
        <v>135</v>
      </c>
    </row>
    <row r="117" spans="1:15" ht="32.25" customHeight="1" outlineLevel="2">
      <c r="A117" s="168" t="str">
        <f t="shared" si="6"/>
        <v>Размер пени и штрафов, уплаченных поставщику (поставщикам) коммунального ресурса, руб.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86"/>
      <c r="O117" s="1" t="s">
        <v>136</v>
      </c>
    </row>
    <row r="118" spans="1:15" ht="32.25" customHeight="1" outlineLevel="1">
      <c r="A118" s="173" t="str">
        <f>IF(VLOOKUP("тко",АО,3,FALSE)&gt;0,"Обращение с ТКО",0)</f>
        <v>Обращение с ТКО</v>
      </c>
      <c r="B118" s="173"/>
      <c r="C118" s="173"/>
      <c r="D118" s="171" t="str">
        <f>IF(VLOOKUP("тко",АО,3,FALSE)&gt;0,VLOOKUP("тко",АО,3,FALSE),0)</f>
        <v>Предоставляется</v>
      </c>
      <c r="E118" s="171"/>
      <c r="F118" s="13" t="str">
        <f>IF(VLOOKUP("тко",АО,3,FALSE)&gt;0,VLOOKUP("тко",АО,4,FALSE),0)</f>
        <v>куб.м.</v>
      </c>
      <c r="G118" s="170">
        <f>VLOOKUP("тко",АО,5,FALSE)</f>
        <v>114649.32000000002</v>
      </c>
      <c r="H118" s="171"/>
      <c r="I118" s="171"/>
      <c r="J118" s="171"/>
      <c r="L118" s="47"/>
    </row>
    <row r="119" spans="1:15" ht="32.25" customHeight="1" outlineLevel="2">
      <c r="A119" s="168" t="str">
        <f t="shared" ref="A119:A125" si="8">IF(VLOOKUP("тко",АО,3,FALSE)&gt;0,VLOOKUP(O119,АО,2,FALSE),0)</f>
        <v>Общий объем потребления, нат. показ.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202.23548711435683</v>
      </c>
      <c r="L119" s="47"/>
      <c r="O119" s="1" t="s">
        <v>138</v>
      </c>
    </row>
    <row r="120" spans="1:15" ht="32.25" customHeight="1" outlineLevel="2">
      <c r="A120" s="168" t="str">
        <f t="shared" si="8"/>
        <v>Оплачено потребителями, руб.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109634.03999999998</v>
      </c>
      <c r="L120" s="47"/>
      <c r="O120" s="1" t="s">
        <v>139</v>
      </c>
    </row>
    <row r="121" spans="1:15" ht="32.25" customHeight="1" outlineLevel="2">
      <c r="A121" s="168" t="str">
        <f t="shared" si="8"/>
        <v>Задолженность потребителей, руб.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5015.2800000000425</v>
      </c>
      <c r="L121" s="47"/>
      <c r="O121" s="1" t="s">
        <v>140</v>
      </c>
    </row>
    <row r="122" spans="1:15" ht="32.25" customHeight="1" outlineLevel="2">
      <c r="A122" s="168" t="str">
        <f t="shared" si="8"/>
        <v>Начислено поставщиком (поставщиками) коммунального ресурса, руб.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114649.32000000002</v>
      </c>
      <c r="L122" s="47"/>
      <c r="O122" s="1" t="s">
        <v>141</v>
      </c>
    </row>
    <row r="123" spans="1:15" ht="32.25" customHeight="1" outlineLevel="2">
      <c r="A123" s="168" t="str">
        <f t="shared" si="8"/>
        <v>Оплачено поставщику (поставщикам) коммунального ресурса, руб.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114649.32000000002</v>
      </c>
      <c r="L123" s="47"/>
      <c r="O123" s="1" t="s">
        <v>142</v>
      </c>
    </row>
    <row r="124" spans="1:15" ht="32.25" customHeight="1" outlineLevel="2">
      <c r="A124" s="168" t="str">
        <f t="shared" si="8"/>
        <v>Задолженность перед поставщиком (поставщиками) коммунального ресурса, руб.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8" t="str">
        <f t="shared" si="8"/>
        <v>Размер пени и штрафов, уплаченных поставщику (поставщикам) коммунального ресурса, руб.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3">
        <f>IF(VLOOKUP("гвс",АО,3,FALSE)&gt;0,"Горячее водоснабжение",0)</f>
        <v>0</v>
      </c>
      <c r="B126" s="173"/>
      <c r="C126" s="173"/>
      <c r="D126" s="171">
        <f>IF(VLOOKUP("гвс",АО,3,FALSE)&gt;0,VLOOKUP("гвс",АО,3,FALSE),0)</f>
        <v>0</v>
      </c>
      <c r="E126" s="171"/>
      <c r="F126" s="13">
        <f>IF(VLOOKUP("гвс",АО,3,FALSE)&gt;0,VLOOKUP("гвс",АО,4,FALSE),0)</f>
        <v>0</v>
      </c>
      <c r="G126" s="170">
        <f>VLOOKUP("гвс",АО,5,FALSE)</f>
        <v>0</v>
      </c>
      <c r="H126" s="171"/>
      <c r="I126" s="171"/>
      <c r="J126" s="171"/>
      <c r="L126" s="47"/>
    </row>
    <row r="127" spans="1:15" ht="32.25" hidden="1" customHeight="1" outlineLevel="2">
      <c r="A127" s="168">
        <f t="shared" ref="A127:A133" si="10">IF(VLOOKUP("гвс",АО,3,FALSE)&gt;0,VLOOKUP(O127,АО,2,FALSE),0)</f>
        <v>0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8">
        <f t="shared" si="10"/>
        <v>0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8">
        <f t="shared" si="10"/>
        <v>0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8">
        <f t="shared" si="10"/>
        <v>0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8">
        <f t="shared" si="10"/>
        <v>0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8">
        <f t="shared" si="10"/>
        <v>0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8">
        <f t="shared" si="10"/>
        <v>0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3">
        <f>IF(VLOOKUP("отопление",АО,3,FALSE)&gt;0,"Отопление",0)</f>
        <v>0</v>
      </c>
      <c r="B134" s="173"/>
      <c r="C134" s="173"/>
      <c r="D134" s="171">
        <f>IF(VLOOKUP("отопление",АО,3,FALSE)&gt;0,VLOOKUP("отопление",АО,3,FALSE),0)</f>
        <v>0</v>
      </c>
      <c r="E134" s="171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71"/>
      <c r="I134" s="171"/>
      <c r="J134" s="171"/>
      <c r="L134" s="47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8" t="s">
        <v>44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170</v>
      </c>
    </row>
    <row r="145" spans="1:15" ht="18.75" customHeight="1" outlineLevel="1">
      <c r="A145" s="168" t="s">
        <v>45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68" t="s">
        <v>173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206754.95</v>
      </c>
      <c r="O146" t="s">
        <v>172</v>
      </c>
    </row>
    <row r="149" spans="1:15" ht="52.5" customHeight="1">
      <c r="A149" s="164" t="s">
        <v>182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190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63" t="s">
        <v>185</v>
      </c>
      <c r="B154" s="163"/>
      <c r="C154" s="163"/>
      <c r="D154" s="163"/>
      <c r="E154" s="27">
        <f>ПТО!G1</f>
        <v>-317605.87</v>
      </c>
    </row>
    <row r="155" spans="1:15" ht="34.5" customHeight="1">
      <c r="A155" s="165" t="s">
        <v>189</v>
      </c>
      <c r="B155" s="165"/>
      <c r="C155" s="165"/>
      <c r="D155" s="165"/>
      <c r="E155" s="28">
        <f>J13</f>
        <v>148991.47200000001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18</v>
      </c>
      <c r="B157" s="166"/>
      <c r="C157" s="166"/>
      <c r="D157" s="166"/>
      <c r="E157" s="166"/>
      <c r="F157" s="166" t="s">
        <v>19</v>
      </c>
      <c r="G157" s="166"/>
      <c r="H157" s="20" t="s">
        <v>56</v>
      </c>
      <c r="I157" s="166" t="s">
        <v>20</v>
      </c>
      <c r="J157" s="166"/>
    </row>
    <row r="158" spans="1:15" ht="29.25" customHeight="1">
      <c r="A158" s="160" t="str">
        <f t="shared" ref="A158:A163" si="14">IF(N158&gt;0,N158,0)</f>
        <v>Техническое освидетельствование лифта.</v>
      </c>
      <c r="B158" s="160"/>
      <c r="C158" s="160"/>
      <c r="D158" s="160"/>
      <c r="E158" s="160"/>
      <c r="F158" s="161">
        <f t="shared" ref="F158:F163" si="15">IF(ISERROR(VLOOKUP(A158,$A$28:$J$72,6,FALSE)),0,VLOOKUP(A158,$A$28:$J$72,6,FALSE))</f>
        <v>8100</v>
      </c>
      <c r="G158" s="161"/>
      <c r="H158" s="24" t="str">
        <f t="shared" ref="H158:H187" si="16">VLOOKUP(A158,$A$28:$J$72,8,FALSE)</f>
        <v>ежегодно</v>
      </c>
      <c r="I158" s="162">
        <f t="shared" ref="I158:I161" si="17">VLOOKUP(A158,$A$28:$J$72,9,FALSE)</f>
        <v>1</v>
      </c>
      <c r="J158" s="16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0" t="str">
        <f t="shared" si="14"/>
        <v>Восстановление системы охранно-пожарной сигнализации.</v>
      </c>
      <c r="B159" s="160"/>
      <c r="C159" s="160"/>
      <c r="D159" s="160"/>
      <c r="E159" s="160"/>
      <c r="F159" s="161">
        <f t="shared" si="15"/>
        <v>15843</v>
      </c>
      <c r="G159" s="161"/>
      <c r="H159" s="24" t="str">
        <f t="shared" si="16"/>
        <v>разово</v>
      </c>
      <c r="I159" s="162">
        <f t="shared" si="17"/>
        <v>1</v>
      </c>
      <c r="J159" s="162"/>
      <c r="M159" s="22" t="s">
        <v>71</v>
      </c>
      <c r="N159" s="1" t="str">
        <v>Восстановление системы охранно-пожарной сигнализации.</v>
      </c>
    </row>
    <row r="160" spans="1:15" ht="28.5" customHeight="1">
      <c r="A160" s="160" t="str">
        <f t="shared" si="14"/>
        <v>Приобретение новогодней елки и гирлянды.</v>
      </c>
      <c r="B160" s="160"/>
      <c r="C160" s="160"/>
      <c r="D160" s="160"/>
      <c r="E160" s="160"/>
      <c r="F160" s="161">
        <f t="shared" si="15"/>
        <v>1930</v>
      </c>
      <c r="G160" s="161"/>
      <c r="H160" s="24" t="str">
        <f t="shared" si="16"/>
        <v>разово</v>
      </c>
      <c r="I160" s="162">
        <f t="shared" si="17"/>
        <v>1</v>
      </c>
      <c r="J160" s="162"/>
      <c r="M160" s="22" t="s">
        <v>71</v>
      </c>
      <c r="N160" s="1" t="str">
        <v>Приобретение новогодней елки и гирлянды.</v>
      </c>
    </row>
    <row r="161" spans="1:14" ht="28.5" customHeight="1">
      <c r="A161" s="160" t="str">
        <f>IF(N161&gt;0,N161,0)</f>
        <v>Приобретение и замена ОДПУ ХВС.</v>
      </c>
      <c r="B161" s="160"/>
      <c r="C161" s="160"/>
      <c r="D161" s="160"/>
      <c r="E161" s="160"/>
      <c r="F161" s="161">
        <f t="shared" si="15"/>
        <v>4504.37</v>
      </c>
      <c r="G161" s="161"/>
      <c r="H161" s="24" t="str">
        <f t="shared" si="16"/>
        <v>разово</v>
      </c>
      <c r="I161" s="162">
        <f t="shared" si="17"/>
        <v>1</v>
      </c>
      <c r="J161" s="162"/>
      <c r="M161" s="22" t="s">
        <v>71</v>
      </c>
      <c r="N161" s="1" t="str">
        <v>Приобретение и замена ОДПУ ХВС.</v>
      </c>
    </row>
    <row r="162" spans="1:14" ht="28.5" customHeight="1">
      <c r="A162" s="160" t="str">
        <f t="shared" si="14"/>
        <v>Приобретение и установка таблички по пожарной безопасности.</v>
      </c>
      <c r="B162" s="160"/>
      <c r="C162" s="160"/>
      <c r="D162" s="160"/>
      <c r="E162" s="160"/>
      <c r="F162" s="161">
        <f t="shared" si="15"/>
        <v>250</v>
      </c>
      <c r="G162" s="161"/>
      <c r="H162" s="24" t="str">
        <f t="shared" si="16"/>
        <v>разово</v>
      </c>
      <c r="I162" s="162">
        <f>VLOOKUP(A162,$A$28:$J$72,9,FALSE)</f>
        <v>1</v>
      </c>
      <c r="J162" s="162"/>
      <c r="M162" s="22" t="s">
        <v>71</v>
      </c>
      <c r="N162" s="1" t="str">
        <v>Приобретение и установка таблички по пожарной безопасности.</v>
      </c>
    </row>
    <row r="163" spans="1:14" ht="28.5" customHeight="1">
      <c r="A163" s="160" t="str">
        <f t="shared" si="14"/>
        <v>Приобретение брусков для изготовления колышков под саженцы деревьев.</v>
      </c>
      <c r="B163" s="160"/>
      <c r="C163" s="160"/>
      <c r="D163" s="160"/>
      <c r="E163" s="160"/>
      <c r="F163" s="161">
        <f t="shared" si="15"/>
        <v>925</v>
      </c>
      <c r="G163" s="161"/>
      <c r="H163" s="24" t="str">
        <f t="shared" si="16"/>
        <v>разово</v>
      </c>
      <c r="I163" s="162">
        <f>VLOOKUP(A163,$A$28:$J$72,9,FALSE)</f>
        <v>1</v>
      </c>
      <c r="J163" s="162"/>
      <c r="M163" s="22" t="s">
        <v>71</v>
      </c>
      <c r="N163" s="1" t="str">
        <v>Приобретение брусков для изготовления колышков под саженцы деревьев.</v>
      </c>
    </row>
    <row r="164" spans="1:14" ht="28.5" customHeight="1">
      <c r="A164" s="160" t="str">
        <f t="shared" ref="A164:A187" si="18">IF(N164&gt;0,N164,0)</f>
        <v>Монтаж дополнительного освещения для приямка шахты лифта.</v>
      </c>
      <c r="B164" s="160"/>
      <c r="C164" s="160"/>
      <c r="D164" s="160"/>
      <c r="E164" s="160"/>
      <c r="F164" s="161">
        <f t="shared" ref="F164:F187" si="19">IF(ISERROR(VLOOKUP(A164,$A$28:$J$72,6,FALSE)),0,VLOOKUP(A164,$A$28:$J$72,6,FALSE))</f>
        <v>2000</v>
      </c>
      <c r="G164" s="161"/>
      <c r="H164" s="29" t="str">
        <f t="shared" si="16"/>
        <v>разово</v>
      </c>
      <c r="I164" s="162">
        <f t="shared" ref="I164:I187" si="20">VLOOKUP(A164,$A$28:$J$72,9,FALSE)</f>
        <v>1</v>
      </c>
      <c r="J164" s="162"/>
      <c r="M164" s="22" t="s">
        <v>71</v>
      </c>
      <c r="N164" s="1" t="str">
        <v>Монтаж дополнительного освещения для приямка шахты лифта.</v>
      </c>
    </row>
    <row r="165" spans="1:14" ht="28.5" customHeight="1">
      <c r="A165" s="160" t="str">
        <f t="shared" si="18"/>
        <v>Модернизация системы видеонаблюдения.</v>
      </c>
      <c r="B165" s="160"/>
      <c r="C165" s="160"/>
      <c r="D165" s="160"/>
      <c r="E165" s="160"/>
      <c r="F165" s="161">
        <f t="shared" si="19"/>
        <v>103110</v>
      </c>
      <c r="G165" s="161"/>
      <c r="H165" s="29" t="str">
        <f t="shared" si="16"/>
        <v>разово</v>
      </c>
      <c r="I165" s="162">
        <f t="shared" si="20"/>
        <v>1</v>
      </c>
      <c r="J165" s="162"/>
      <c r="M165" s="22" t="s">
        <v>71</v>
      </c>
      <c r="N165" s="1" t="str">
        <v>Модернизация системы видеонаблюдения.</v>
      </c>
    </row>
    <row r="166" spans="1:14" ht="28.5" customHeight="1">
      <c r="A166" s="160" t="str">
        <f t="shared" si="18"/>
        <v>Демонтаж старых и монтаж новых кабель-каналов в подъезд.</v>
      </c>
      <c r="B166" s="160"/>
      <c r="C166" s="160"/>
      <c r="D166" s="160"/>
      <c r="E166" s="160"/>
      <c r="F166" s="161">
        <f t="shared" si="19"/>
        <v>91966.96</v>
      </c>
      <c r="G166" s="161"/>
      <c r="H166" s="29" t="str">
        <f t="shared" si="16"/>
        <v>разово</v>
      </c>
      <c r="I166" s="162">
        <f t="shared" si="20"/>
        <v>1</v>
      </c>
      <c r="J166" s="162"/>
      <c r="M166" s="22" t="s">
        <v>71</v>
      </c>
      <c r="N166" s="1" t="str">
        <v>Демонтаж старых и монтаж новых кабель-каналов в подъезд.</v>
      </c>
    </row>
    <row r="167" spans="1:14" ht="28.5" customHeight="1">
      <c r="A167" s="160" t="str">
        <f t="shared" si="18"/>
        <v>Ремонт ограждающих лестничных перил в подъезде.</v>
      </c>
      <c r="B167" s="160"/>
      <c r="C167" s="160"/>
      <c r="D167" s="160"/>
      <c r="E167" s="160"/>
      <c r="F167" s="161">
        <f t="shared" si="19"/>
        <v>22000</v>
      </c>
      <c r="G167" s="161"/>
      <c r="H167" s="29" t="str">
        <f t="shared" si="16"/>
        <v>разово</v>
      </c>
      <c r="I167" s="162">
        <f t="shared" si="20"/>
        <v>1</v>
      </c>
      <c r="J167" s="162"/>
      <c r="M167" s="22" t="s">
        <v>71</v>
      </c>
      <c r="N167" s="1" t="str">
        <v>Ремонт ограждающих лестничных перил в подъезде.</v>
      </c>
    </row>
    <row r="168" spans="1:14" ht="28.5" customHeight="1">
      <c r="A168" s="160" t="str">
        <f t="shared" si="18"/>
        <v>Ремонт подъезда.</v>
      </c>
      <c r="B168" s="160"/>
      <c r="C168" s="160"/>
      <c r="D168" s="160"/>
      <c r="E168" s="160"/>
      <c r="F168" s="161">
        <f t="shared" si="19"/>
        <v>297486</v>
      </c>
      <c r="G168" s="161"/>
      <c r="H168" s="29" t="str">
        <f t="shared" si="16"/>
        <v>разово</v>
      </c>
      <c r="I168" s="162">
        <f t="shared" si="20"/>
        <v>1</v>
      </c>
      <c r="J168" s="162"/>
      <c r="M168" s="22" t="s">
        <v>71</v>
      </c>
      <c r="N168" s="1" t="str">
        <v>Ремонт подъезда.</v>
      </c>
    </row>
    <row r="169" spans="1:14" ht="28.5" customHeight="1">
      <c r="A169" s="160" t="str">
        <f t="shared" si="18"/>
        <v>Испытание ограждений кровли крыши.</v>
      </c>
      <c r="B169" s="160"/>
      <c r="C169" s="160"/>
      <c r="D169" s="160"/>
      <c r="E169" s="160"/>
      <c r="F169" s="161">
        <f t="shared" si="19"/>
        <v>8750</v>
      </c>
      <c r="G169" s="161"/>
      <c r="H169" s="29" t="str">
        <f t="shared" si="16"/>
        <v>разово</v>
      </c>
      <c r="I169" s="162">
        <f t="shared" si="20"/>
        <v>1</v>
      </c>
      <c r="J169" s="162"/>
      <c r="M169" s="22" t="s">
        <v>71</v>
      </c>
      <c r="N169" s="1" t="str">
        <v>Испытание ограждений кровли крыши.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1">
        <f t="shared" si="19"/>
        <v>0</v>
      </c>
      <c r="G170" s="161"/>
      <c r="H170" s="29" t="e">
        <f t="shared" si="16"/>
        <v>#N/A</v>
      </c>
      <c r="I170" s="162" t="e">
        <f t="shared" si="20"/>
        <v>#N/A</v>
      </c>
      <c r="J170" s="162"/>
      <c r="M170" s="22" t="s">
        <v>71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1">
        <f t="shared" si="19"/>
        <v>0</v>
      </c>
      <c r="G171" s="161"/>
      <c r="H171" s="29" t="e">
        <f t="shared" si="16"/>
        <v>#N/A</v>
      </c>
      <c r="I171" s="162" t="e">
        <f t="shared" si="20"/>
        <v>#N/A</v>
      </c>
      <c r="J171" s="162"/>
      <c r="M171" s="22" t="s">
        <v>71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1">
        <f t="shared" si="19"/>
        <v>0</v>
      </c>
      <c r="G172" s="161"/>
      <c r="H172" s="29" t="e">
        <f t="shared" si="16"/>
        <v>#N/A</v>
      </c>
      <c r="I172" s="162" t="e">
        <f t="shared" si="20"/>
        <v>#N/A</v>
      </c>
      <c r="J172" s="162"/>
      <c r="M172" s="22" t="s">
        <v>71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1">
        <f t="shared" si="19"/>
        <v>0</v>
      </c>
      <c r="G173" s="161"/>
      <c r="H173" s="29" t="e">
        <f t="shared" si="16"/>
        <v>#N/A</v>
      </c>
      <c r="I173" s="162" t="e">
        <f t="shared" si="20"/>
        <v>#N/A</v>
      </c>
      <c r="J173" s="162"/>
      <c r="M173" s="22" t="s">
        <v>71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1">
        <f t="shared" si="19"/>
        <v>0</v>
      </c>
      <c r="G174" s="161"/>
      <c r="H174" s="29" t="e">
        <f t="shared" si="16"/>
        <v>#N/A</v>
      </c>
      <c r="I174" s="162" t="e">
        <f t="shared" si="20"/>
        <v>#N/A</v>
      </c>
      <c r="J174" s="162"/>
      <c r="M174" s="22" t="s">
        <v>71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1">
        <f t="shared" si="19"/>
        <v>0</v>
      </c>
      <c r="G175" s="161"/>
      <c r="H175" s="29" t="e">
        <f t="shared" si="16"/>
        <v>#N/A</v>
      </c>
      <c r="I175" s="162" t="e">
        <f t="shared" si="20"/>
        <v>#N/A</v>
      </c>
      <c r="J175" s="162"/>
      <c r="M175" s="22" t="s">
        <v>71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1">
        <f t="shared" si="19"/>
        <v>0</v>
      </c>
      <c r="G176" s="161"/>
      <c r="H176" s="29" t="e">
        <f t="shared" si="16"/>
        <v>#N/A</v>
      </c>
      <c r="I176" s="162" t="e">
        <f t="shared" si="20"/>
        <v>#N/A</v>
      </c>
      <c r="J176" s="162"/>
      <c r="M176" s="22" t="s">
        <v>71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1">
        <f t="shared" si="19"/>
        <v>0</v>
      </c>
      <c r="G177" s="161"/>
      <c r="H177" s="29" t="e">
        <f t="shared" si="16"/>
        <v>#N/A</v>
      </c>
      <c r="I177" s="162" t="e">
        <f t="shared" si="20"/>
        <v>#N/A</v>
      </c>
      <c r="J177" s="162"/>
      <c r="M177" s="22" t="s">
        <v>71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1">
        <f t="shared" si="19"/>
        <v>0</v>
      </c>
      <c r="G178" s="161"/>
      <c r="H178" s="29" t="e">
        <f t="shared" si="16"/>
        <v>#N/A</v>
      </c>
      <c r="I178" s="162" t="e">
        <f t="shared" si="20"/>
        <v>#N/A</v>
      </c>
      <c r="J178" s="162"/>
      <c r="M178" s="22" t="s">
        <v>71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1">
        <f t="shared" si="19"/>
        <v>0</v>
      </c>
      <c r="G179" s="161"/>
      <c r="H179" s="29" t="e">
        <f t="shared" si="16"/>
        <v>#N/A</v>
      </c>
      <c r="I179" s="162" t="e">
        <f t="shared" si="20"/>
        <v>#N/A</v>
      </c>
      <c r="J179" s="162"/>
      <c r="M179" s="22" t="s">
        <v>71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1">
        <f t="shared" si="19"/>
        <v>0</v>
      </c>
      <c r="G180" s="161"/>
      <c r="H180" s="29" t="e">
        <f t="shared" si="16"/>
        <v>#N/A</v>
      </c>
      <c r="I180" s="162" t="e">
        <f t="shared" si="20"/>
        <v>#N/A</v>
      </c>
      <c r="J180" s="162"/>
      <c r="M180" s="22" t="s">
        <v>71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1">
        <f t="shared" si="19"/>
        <v>0</v>
      </c>
      <c r="G181" s="161"/>
      <c r="H181" s="29" t="e">
        <f t="shared" si="16"/>
        <v>#N/A</v>
      </c>
      <c r="I181" s="162" t="e">
        <f t="shared" si="20"/>
        <v>#N/A</v>
      </c>
      <c r="J181" s="162"/>
      <c r="M181" s="22" t="s">
        <v>71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1">
        <f t="shared" si="19"/>
        <v>0</v>
      </c>
      <c r="G182" s="161"/>
      <c r="H182" s="29" t="e">
        <f t="shared" si="16"/>
        <v>#N/A</v>
      </c>
      <c r="I182" s="162" t="e">
        <f t="shared" si="20"/>
        <v>#N/A</v>
      </c>
      <c r="J182" s="162"/>
      <c r="M182" s="22" t="s">
        <v>71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1">
        <f t="shared" si="19"/>
        <v>0</v>
      </c>
      <c r="G183" s="161"/>
      <c r="H183" s="29" t="e">
        <f t="shared" si="16"/>
        <v>#N/A</v>
      </c>
      <c r="I183" s="162" t="e">
        <f t="shared" si="20"/>
        <v>#N/A</v>
      </c>
      <c r="J183" s="162"/>
      <c r="M183" s="22" t="s">
        <v>71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1">
        <f t="shared" si="19"/>
        <v>0</v>
      </c>
      <c r="G184" s="161"/>
      <c r="H184" s="29" t="e">
        <f t="shared" si="16"/>
        <v>#N/A</v>
      </c>
      <c r="I184" s="162" t="e">
        <f t="shared" si="20"/>
        <v>#N/A</v>
      </c>
      <c r="J184" s="162"/>
      <c r="M184" s="22" t="s">
        <v>71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1">
        <f t="shared" si="19"/>
        <v>0</v>
      </c>
      <c r="G185" s="161"/>
      <c r="H185" s="29" t="e">
        <f t="shared" si="16"/>
        <v>#N/A</v>
      </c>
      <c r="I185" s="162" t="e">
        <f t="shared" si="20"/>
        <v>#N/A</v>
      </c>
      <c r="J185" s="162"/>
      <c r="M185" s="22" t="s">
        <v>71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1">
        <f t="shared" si="19"/>
        <v>0</v>
      </c>
      <c r="G186" s="161"/>
      <c r="H186" s="29" t="e">
        <f t="shared" si="16"/>
        <v>#N/A</v>
      </c>
      <c r="I186" s="162" t="e">
        <f t="shared" si="20"/>
        <v>#N/A</v>
      </c>
      <c r="J186" s="162"/>
      <c r="M186" s="22" t="s">
        <v>71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1">
        <f t="shared" si="19"/>
        <v>0</v>
      </c>
      <c r="G187" s="161"/>
      <c r="H187" s="29" t="e">
        <f t="shared" si="16"/>
        <v>#N/A</v>
      </c>
      <c r="I187" s="162" t="e">
        <f t="shared" si="20"/>
        <v>#N/A</v>
      </c>
      <c r="J187" s="162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63" t="s">
        <v>188</v>
      </c>
      <c r="B190" s="163"/>
      <c r="C190" s="163"/>
      <c r="D190" s="163"/>
      <c r="E190" s="27">
        <f>SUM(F158:G187)</f>
        <v>556865.33000000007</v>
      </c>
    </row>
    <row r="191" spans="1:14" ht="51.75" customHeight="1">
      <c r="A191" s="163" t="s">
        <v>187</v>
      </c>
      <c r="B191" s="163"/>
      <c r="C191" s="163"/>
      <c r="D191" s="163"/>
      <c r="E191" s="27">
        <f>E190+E154-E155</f>
        <v>90267.98800000007</v>
      </c>
    </row>
    <row r="192" spans="1:14">
      <c r="A192" s="104" t="s">
        <v>174</v>
      </c>
    </row>
    <row r="193" spans="1:10" ht="62.25" customHeight="1">
      <c r="A193" s="188" t="s">
        <v>186</v>
      </c>
      <c r="B193" s="188"/>
      <c r="C193" s="188"/>
      <c r="D193" s="188"/>
      <c r="E193" s="188"/>
      <c r="F193" s="188"/>
      <c r="G193" s="188"/>
      <c r="H193" s="188"/>
      <c r="I193" s="188"/>
      <c r="J193" s="188"/>
    </row>
    <row r="194" spans="1:10">
      <c r="A194" s="187" t="str">
        <f>ПТО!F12</f>
        <v xml:space="preserve">  -  поверка (замена) манометров и термометров</v>
      </c>
      <c r="B194" s="187"/>
      <c r="C194" s="187"/>
      <c r="D194" s="187"/>
      <c r="E194" s="187"/>
      <c r="F194" s="187"/>
      <c r="G194" s="187"/>
      <c r="H194" s="49">
        <f>ПТО!G12</f>
        <v>1200</v>
      </c>
      <c r="I194" s="50" t="s">
        <v>74</v>
      </c>
    </row>
    <row r="195" spans="1:10" ht="18.75" customHeight="1">
      <c r="A195" s="187" t="str">
        <f>ПТО!F13</f>
        <v xml:space="preserve">  -  техническое освидетельствование лифта</v>
      </c>
      <c r="B195" s="187"/>
      <c r="C195" s="187"/>
      <c r="D195" s="187"/>
      <c r="E195" s="187"/>
      <c r="F195" s="187"/>
      <c r="G195" s="187"/>
      <c r="H195" s="49">
        <f>ПТО!G13</f>
        <v>8100</v>
      </c>
      <c r="I195" s="50" t="s">
        <v>74</v>
      </c>
    </row>
    <row r="196" spans="1:10" ht="18.75" customHeight="1">
      <c r="A196" s="187" t="str">
        <f>ПТО!F14</f>
        <v xml:space="preserve">  -  ремонт кровли</v>
      </c>
      <c r="B196" s="187"/>
      <c r="C196" s="187"/>
      <c r="D196" s="187"/>
      <c r="E196" s="187"/>
      <c r="F196" s="187"/>
      <c r="G196" s="187"/>
      <c r="H196" s="49">
        <f>ПТО!G14</f>
        <v>15000</v>
      </c>
      <c r="I196" s="50" t="s">
        <v>74</v>
      </c>
    </row>
    <row r="197" spans="1:10" ht="18.75" hidden="1" customHeight="1">
      <c r="A197" s="187">
        <f>ПТО!F15</f>
        <v>0</v>
      </c>
      <c r="B197" s="187"/>
      <c r="C197" s="187"/>
      <c r="D197" s="187"/>
      <c r="E197" s="187"/>
      <c r="F197" s="187"/>
      <c r="G197" s="187"/>
      <c r="H197" s="49">
        <f>ПТО!G15</f>
        <v>0</v>
      </c>
      <c r="I197" s="50" t="s">
        <v>74</v>
      </c>
    </row>
    <row r="198" spans="1:10" ht="18.75" hidden="1" customHeight="1">
      <c r="A198" s="187">
        <f>ПТО!F16</f>
        <v>0</v>
      </c>
      <c r="B198" s="187"/>
      <c r="C198" s="187"/>
      <c r="D198" s="187"/>
      <c r="E198" s="187"/>
      <c r="F198" s="187"/>
      <c r="G198" s="187"/>
      <c r="H198" s="49">
        <f>ПТО!G16</f>
        <v>0</v>
      </c>
      <c r="I198" s="52" t="s">
        <v>74</v>
      </c>
    </row>
    <row r="199" spans="1:10" ht="18.75" hidden="1" customHeight="1">
      <c r="A199" s="187">
        <f>ПТО!F17</f>
        <v>0</v>
      </c>
      <c r="B199" s="187"/>
      <c r="C199" s="187"/>
      <c r="D199" s="187"/>
      <c r="E199" s="187"/>
      <c r="F199" s="187"/>
      <c r="G199" s="187"/>
      <c r="H199" s="49">
        <f>ПТО!G17</f>
        <v>0</v>
      </c>
      <c r="I199" s="50" t="s">
        <v>74</v>
      </c>
    </row>
    <row r="200" spans="1:10" hidden="1">
      <c r="A200" s="187">
        <f>ПТО!F18</f>
        <v>0</v>
      </c>
      <c r="B200" s="187"/>
      <c r="C200" s="187"/>
      <c r="D200" s="187"/>
      <c r="E200" s="187"/>
      <c r="F200" s="187"/>
      <c r="G200" s="187"/>
      <c r="H200" s="49">
        <f>ПТО!G18</f>
        <v>0</v>
      </c>
      <c r="I200" s="50" t="s">
        <v>74</v>
      </c>
    </row>
    <row r="201" spans="1:10" hidden="1">
      <c r="A201" s="187">
        <f>ПТО!F19</f>
        <v>0</v>
      </c>
      <c r="B201" s="187"/>
      <c r="C201" s="187"/>
      <c r="D201" s="187"/>
      <c r="E201" s="187"/>
      <c r="F201" s="187"/>
      <c r="G201" s="187"/>
      <c r="H201" s="49">
        <f>ПТО!G19</f>
        <v>0</v>
      </c>
      <c r="I201" s="50" t="s">
        <v>74</v>
      </c>
    </row>
    <row r="202" spans="1:10" hidden="1">
      <c r="A202" s="187">
        <f>ПТО!F20</f>
        <v>0</v>
      </c>
      <c r="B202" s="187"/>
      <c r="C202" s="187"/>
      <c r="D202" s="187"/>
      <c r="E202" s="187"/>
      <c r="F202" s="187"/>
      <c r="G202" s="187"/>
      <c r="H202" s="49">
        <f>ПТО!G20</f>
        <v>0</v>
      </c>
      <c r="I202" s="50" t="s">
        <v>74</v>
      </c>
    </row>
    <row r="203" spans="1:10" hidden="1">
      <c r="A203" s="187">
        <f>ПТО!F21</f>
        <v>0</v>
      </c>
      <c r="B203" s="187"/>
      <c r="C203" s="187"/>
      <c r="D203" s="187"/>
      <c r="E203" s="187"/>
      <c r="F203" s="187"/>
      <c r="G203" s="187"/>
      <c r="H203" s="49">
        <f>ПТО!G21</f>
        <v>0</v>
      </c>
      <c r="I203" s="50" t="s">
        <v>74</v>
      </c>
    </row>
    <row r="204" spans="1:10" hidden="1">
      <c r="A204" s="187">
        <f>ПТО!F22</f>
        <v>0</v>
      </c>
      <c r="B204" s="187"/>
      <c r="C204" s="187"/>
      <c r="D204" s="187"/>
      <c r="E204" s="187"/>
      <c r="F204" s="187"/>
      <c r="G204" s="187"/>
      <c r="H204" s="49">
        <f>ПТО!G22</f>
        <v>0</v>
      </c>
      <c r="I204" s="50" t="s">
        <v>74</v>
      </c>
    </row>
    <row r="205" spans="1:10" hidden="1">
      <c r="A205" s="187">
        <f>ПТО!F23</f>
        <v>0</v>
      </c>
      <c r="B205" s="187"/>
      <c r="C205" s="187"/>
      <c r="D205" s="187"/>
      <c r="E205" s="187"/>
      <c r="F205" s="187"/>
      <c r="G205" s="187"/>
      <c r="H205" s="49">
        <f>ПТО!G23</f>
        <v>0</v>
      </c>
      <c r="I205" s="50" t="s">
        <v>74</v>
      </c>
    </row>
    <row r="206" spans="1:10" hidden="1">
      <c r="A206" s="187">
        <f>ПТО!F24</f>
        <v>0</v>
      </c>
      <c r="B206" s="187"/>
      <c r="C206" s="187"/>
      <c r="D206" s="187"/>
      <c r="E206" s="187"/>
      <c r="F206" s="187"/>
      <c r="G206" s="187"/>
      <c r="H206" s="49">
        <f>ПТО!G24</f>
        <v>0</v>
      </c>
      <c r="I206" s="50" t="s">
        <v>74</v>
      </c>
    </row>
    <row r="207" spans="1:10" hidden="1">
      <c r="A207" s="187">
        <f>ПТО!F25</f>
        <v>0</v>
      </c>
      <c r="B207" s="187"/>
      <c r="C207" s="187"/>
      <c r="D207" s="187"/>
      <c r="E207" s="187"/>
      <c r="F207" s="187"/>
      <c r="G207" s="187"/>
      <c r="H207" s="49">
        <f>ПТО!G25</f>
        <v>0</v>
      </c>
      <c r="I207" s="50" t="s">
        <v>74</v>
      </c>
    </row>
    <row r="208" spans="1:10" hidden="1">
      <c r="A208" s="187">
        <f>ПТО!F26</f>
        <v>0</v>
      </c>
      <c r="B208" s="187"/>
      <c r="C208" s="187"/>
      <c r="D208" s="187"/>
      <c r="E208" s="187"/>
      <c r="F208" s="187"/>
      <c r="G208" s="187"/>
      <c r="H208" s="49">
        <f>ПТО!G26</f>
        <v>0</v>
      </c>
      <c r="I208" s="50" t="s">
        <v>74</v>
      </c>
    </row>
    <row r="209" spans="1:9" hidden="1">
      <c r="A209" s="187">
        <f>ПТО!F27</f>
        <v>0</v>
      </c>
      <c r="B209" s="187"/>
      <c r="C209" s="187"/>
      <c r="D209" s="187"/>
      <c r="E209" s="187"/>
      <c r="F209" s="187"/>
      <c r="G209" s="187"/>
      <c r="H209" s="49">
        <f>ПТО!G27</f>
        <v>0</v>
      </c>
      <c r="I209" s="50" t="s">
        <v>74</v>
      </c>
    </row>
    <row r="210" spans="1:9" hidden="1">
      <c r="A210" s="187">
        <f>ПТО!F28</f>
        <v>0</v>
      </c>
      <c r="B210" s="187"/>
      <c r="C210" s="187"/>
      <c r="D210" s="187"/>
      <c r="E210" s="187"/>
      <c r="F210" s="187"/>
      <c r="G210" s="187"/>
      <c r="H210" s="49">
        <f>ПТО!G28</f>
        <v>0</v>
      </c>
      <c r="I210" s="50" t="s">
        <v>74</v>
      </c>
    </row>
    <row r="211" spans="1:9" hidden="1">
      <c r="A211" s="187">
        <f>ПТО!F29</f>
        <v>0</v>
      </c>
      <c r="B211" s="187"/>
      <c r="C211" s="187"/>
      <c r="D211" s="187"/>
      <c r="E211" s="187"/>
      <c r="F211" s="187"/>
      <c r="G211" s="187"/>
      <c r="H211" s="49">
        <f>ПТО!G29</f>
        <v>0</v>
      </c>
      <c r="I211" s="50" t="s">
        <v>74</v>
      </c>
    </row>
    <row r="212" spans="1:9" hidden="1">
      <c r="A212" s="187">
        <f>ПТО!F30</f>
        <v>0</v>
      </c>
      <c r="B212" s="187"/>
      <c r="C212" s="187"/>
      <c r="D212" s="187"/>
      <c r="E212" s="187"/>
      <c r="F212" s="187"/>
      <c r="G212" s="187"/>
      <c r="H212" s="49">
        <f>ПТО!G30</f>
        <v>0</v>
      </c>
      <c r="I212" s="50" t="s">
        <v>74</v>
      </c>
    </row>
    <row r="213" spans="1:9" hidden="1">
      <c r="A213" s="187">
        <f>ПТО!F31</f>
        <v>0</v>
      </c>
      <c r="B213" s="187"/>
      <c r="C213" s="187"/>
      <c r="D213" s="187"/>
      <c r="E213" s="187"/>
      <c r="F213" s="187"/>
      <c r="G213" s="187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24300</v>
      </c>
      <c r="I214" s="56" t="s">
        <v>77</v>
      </c>
    </row>
  </sheetData>
  <sheetProtection algorithmName="SHA-512" hashValue="i5vK4OZJoPW2YQBS7NTGf77yIm8+QLS7L9FZiSMBqpXOgN49VqQr6M77nlsuS9JuWOhBwb5a7Tr1pM6fh7fgmA==" saltValue="Dx1uxaZCJzV9faNLBxUsC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15" sqref="G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185</v>
      </c>
      <c r="G1" s="101">
        <f>-317605.87</f>
        <v>-317605.87</v>
      </c>
    </row>
    <row r="2" spans="1:12" ht="18.75" customHeight="1">
      <c r="A2" s="121" t="s">
        <v>72</v>
      </c>
      <c r="B2" s="119" t="s">
        <v>178</v>
      </c>
      <c r="C2" s="119">
        <v>1</v>
      </c>
      <c r="D2" s="118">
        <v>8100</v>
      </c>
      <c r="E2" s="122"/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181</v>
      </c>
      <c r="B3" s="119" t="s">
        <v>179</v>
      </c>
      <c r="C3" s="119">
        <v>1</v>
      </c>
      <c r="D3" s="120">
        <v>15843</v>
      </c>
      <c r="E3" s="124" t="s">
        <v>184</v>
      </c>
      <c r="F3" s="30"/>
      <c r="G3" s="30"/>
      <c r="L3" s="33" t="str">
        <f t="shared" si="0"/>
        <v>ТР</v>
      </c>
    </row>
    <row r="4" spans="1:12" ht="18.75" customHeight="1">
      <c r="A4" s="125" t="s">
        <v>192</v>
      </c>
      <c r="B4" s="126" t="s">
        <v>179</v>
      </c>
      <c r="C4" s="127">
        <v>1</v>
      </c>
      <c r="D4" s="118">
        <v>1930</v>
      </c>
      <c r="E4" s="128" t="s">
        <v>193</v>
      </c>
      <c r="F4" s="30"/>
      <c r="G4" s="30"/>
      <c r="L4" s="33" t="str">
        <f t="shared" si="0"/>
        <v>ТР</v>
      </c>
    </row>
    <row r="5" spans="1:12" ht="18.75" customHeight="1">
      <c r="A5" s="129" t="s">
        <v>183</v>
      </c>
      <c r="B5" s="130" t="s">
        <v>179</v>
      </c>
      <c r="C5" s="119">
        <v>1</v>
      </c>
      <c r="D5" s="120">
        <v>4504.37</v>
      </c>
      <c r="E5" s="128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31" t="s">
        <v>191</v>
      </c>
      <c r="B6" s="132" t="s">
        <v>179</v>
      </c>
      <c r="C6" s="133">
        <v>1</v>
      </c>
      <c r="D6" s="134">
        <v>250</v>
      </c>
      <c r="E6" s="135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36" t="s">
        <v>196</v>
      </c>
      <c r="B7" s="137" t="s">
        <v>179</v>
      </c>
      <c r="C7" s="123">
        <v>1</v>
      </c>
      <c r="D7" s="46">
        <v>925</v>
      </c>
      <c r="E7" s="136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38" t="s">
        <v>199</v>
      </c>
      <c r="B8" s="139" t="s">
        <v>179</v>
      </c>
      <c r="C8" s="119">
        <v>1</v>
      </c>
      <c r="D8" s="120">
        <v>2000</v>
      </c>
      <c r="E8" s="140" t="s">
        <v>200</v>
      </c>
      <c r="F8" s="45"/>
      <c r="G8" s="45"/>
      <c r="K8" s="43"/>
      <c r="L8" s="33" t="str">
        <f t="shared" si="0"/>
        <v>ТР</v>
      </c>
    </row>
    <row r="9" spans="1:12">
      <c r="A9" s="141" t="s">
        <v>198</v>
      </c>
      <c r="B9" s="142" t="s">
        <v>179</v>
      </c>
      <c r="C9" s="143">
        <v>1</v>
      </c>
      <c r="D9" s="43">
        <v>103110</v>
      </c>
      <c r="E9" s="159" t="s">
        <v>210</v>
      </c>
      <c r="F9" s="44"/>
      <c r="G9" s="44"/>
      <c r="K9" s="43"/>
      <c r="L9" s="33" t="str">
        <f t="shared" si="0"/>
        <v>ТР</v>
      </c>
    </row>
    <row r="10" spans="1:12">
      <c r="A10" s="149" t="s">
        <v>203</v>
      </c>
      <c r="B10" s="144" t="s">
        <v>179</v>
      </c>
      <c r="C10" s="143">
        <v>1</v>
      </c>
      <c r="D10" s="46">
        <v>91966.96</v>
      </c>
      <c r="E10" s="145" t="s">
        <v>201</v>
      </c>
      <c r="L10" s="33" t="str">
        <f t="shared" si="0"/>
        <v>ТР</v>
      </c>
    </row>
    <row r="11" spans="1:12" ht="94.5">
      <c r="A11" s="146" t="s">
        <v>202</v>
      </c>
      <c r="B11" s="147" t="s">
        <v>179</v>
      </c>
      <c r="C11" s="143">
        <v>1</v>
      </c>
      <c r="D11" s="148">
        <v>22000</v>
      </c>
      <c r="E11" s="150" t="s">
        <v>204</v>
      </c>
      <c r="F11" s="111" t="s">
        <v>186</v>
      </c>
      <c r="G11" s="111"/>
      <c r="L11" s="33" t="str">
        <f t="shared" si="0"/>
        <v>ТР</v>
      </c>
    </row>
    <row r="12" spans="1:12" ht="31.5">
      <c r="A12" s="151" t="s">
        <v>205</v>
      </c>
      <c r="B12" s="152" t="s">
        <v>179</v>
      </c>
      <c r="C12" s="143">
        <v>1</v>
      </c>
      <c r="D12" s="154">
        <v>297486</v>
      </c>
      <c r="E12" s="153" t="s">
        <v>207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5" t="s">
        <v>206</v>
      </c>
      <c r="B13" s="156" t="s">
        <v>179</v>
      </c>
      <c r="C13" s="157">
        <v>1</v>
      </c>
      <c r="D13" s="158">
        <v>8750</v>
      </c>
      <c r="E13" s="135" t="s">
        <v>208</v>
      </c>
      <c r="F13" s="112" t="s">
        <v>75</v>
      </c>
      <c r="G13" s="113">
        <v>8100</v>
      </c>
      <c r="L13" s="33" t="str">
        <f t="shared" si="0"/>
        <v>ТР</v>
      </c>
    </row>
    <row r="14" spans="1:12" ht="15.75">
      <c r="A14" s="30"/>
      <c r="F14" s="112" t="s">
        <v>209</v>
      </c>
      <c r="G14" s="113">
        <v>15000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146808.48000000001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146808.48000000001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67894.8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67894.8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43062.96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43062.96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37719.360000000001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37719.360000000001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12258.84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12258.84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50292.480000000003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50292.480000000003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125416.92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125416.92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IeZdcBhyCNCjjkpUQWEKlMDxEV6K3N0dHFytcD9nzepqxS3BvgAcp/CglikmGIpcM40tN4kclzAe1qQGUh04og==" saltValue="pvueqCqEAdzyvDkCpTEzX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2619.4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379394.01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645228.83199999994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496237.35999999993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148991.47200000001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603999.23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603999.23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603999.23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420623.61199999996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1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1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1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1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0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0"/>
      <c r="N26" s="63"/>
    </row>
    <row r="27" spans="1:15" ht="18.75" customHeight="1">
      <c r="A27" s="70" t="s">
        <v>105</v>
      </c>
      <c r="B27" s="75" t="s">
        <v>3</v>
      </c>
      <c r="C27" s="86">
        <v>125102</v>
      </c>
      <c r="D27" s="81" t="s">
        <v>59</v>
      </c>
      <c r="E27" s="64"/>
      <c r="F27" s="64"/>
      <c r="G27" s="64"/>
      <c r="H27" s="64"/>
      <c r="I27" s="64"/>
      <c r="J27" s="64"/>
      <c r="M27" s="190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0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0"/>
      <c r="N29" s="63"/>
    </row>
    <row r="30" spans="1:15" ht="18.75" customHeight="1">
      <c r="A30" s="70" t="s">
        <v>108</v>
      </c>
      <c r="B30" s="75" t="s">
        <v>17</v>
      </c>
      <c r="C30" s="86">
        <v>135914.22</v>
      </c>
      <c r="D30" s="81" t="s">
        <v>65</v>
      </c>
      <c r="E30" s="64"/>
      <c r="F30" s="64"/>
      <c r="G30" s="64"/>
      <c r="H30" s="64"/>
      <c r="I30" s="64"/>
      <c r="J30" s="64"/>
      <c r="M30" s="190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0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0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0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0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155008.05000000002</v>
      </c>
      <c r="F37" s="94" t="s">
        <v>167</v>
      </c>
      <c r="G37" s="66"/>
      <c r="H37" s="66"/>
      <c r="I37" s="66"/>
      <c r="L37" s="63"/>
      <c r="M37" s="189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135971.97368421056</v>
      </c>
      <c r="D38" s="94" t="s">
        <v>165</v>
      </c>
      <c r="E38" s="68"/>
      <c r="G38" s="67"/>
      <c r="H38" s="67"/>
      <c r="L38" s="63"/>
      <c r="M38" s="189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151074.29999999999</v>
      </c>
      <c r="D39" s="94" t="s">
        <v>166</v>
      </c>
      <c r="E39" s="68"/>
      <c r="G39" s="67"/>
      <c r="H39" s="67"/>
      <c r="L39" s="63"/>
      <c r="M39" s="189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3933.7500000000291</v>
      </c>
      <c r="D40" s="80" t="s">
        <v>58</v>
      </c>
      <c r="E40" s="68"/>
      <c r="G40" s="67"/>
      <c r="H40" s="67"/>
      <c r="L40" s="63"/>
      <c r="M40" s="189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155008.05000000002</v>
      </c>
      <c r="D41" s="80" t="s">
        <v>58</v>
      </c>
      <c r="E41" s="68"/>
      <c r="G41" s="67"/>
      <c r="H41" s="67"/>
      <c r="L41" s="63"/>
      <c r="M41" s="189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155008.05000000002</v>
      </c>
      <c r="D42" s="80" t="s">
        <v>58</v>
      </c>
      <c r="E42" s="68"/>
      <c r="G42" s="67"/>
      <c r="H42" s="67"/>
      <c r="L42" s="63"/>
      <c r="M42" s="189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9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9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96362.53</v>
      </c>
      <c r="F45" s="94" t="s">
        <v>167</v>
      </c>
      <c r="G45" s="66"/>
      <c r="H45" s="66"/>
      <c r="L45" s="63"/>
      <c r="M45" s="189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7122.1382113821137</v>
      </c>
      <c r="D46" s="94" t="s">
        <v>168</v>
      </c>
      <c r="E46" s="68"/>
      <c r="G46" s="67"/>
      <c r="H46" s="67"/>
      <c r="L46" s="63"/>
      <c r="M46" s="189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97529.95</v>
      </c>
      <c r="D47" s="94" t="s">
        <v>166</v>
      </c>
      <c r="E47" s="68"/>
      <c r="G47" s="67"/>
      <c r="H47" s="67"/>
      <c r="L47" s="63"/>
      <c r="M47" s="189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9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96362.53</v>
      </c>
      <c r="D49" s="80" t="s">
        <v>58</v>
      </c>
      <c r="E49" s="68"/>
      <c r="G49" s="67"/>
      <c r="H49" s="67"/>
      <c r="L49" s="63"/>
      <c r="M49" s="189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96362.53</v>
      </c>
      <c r="D50" s="80" t="s">
        <v>58</v>
      </c>
      <c r="E50" s="68"/>
      <c r="G50" s="67"/>
      <c r="H50" s="67"/>
      <c r="L50" s="63"/>
      <c r="M50" s="189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9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9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111723.19</v>
      </c>
      <c r="F53" s="94" t="s">
        <v>167</v>
      </c>
      <c r="G53" s="66"/>
      <c r="H53" s="66"/>
      <c r="L53" s="63"/>
      <c r="M53" s="189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7240.6474400518473</v>
      </c>
      <c r="D54" s="94" t="s">
        <v>168</v>
      </c>
      <c r="E54" s="69"/>
      <c r="F54" s="89"/>
      <c r="G54" s="64"/>
      <c r="H54" s="64"/>
      <c r="L54" s="63"/>
      <c r="M54" s="189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108692.58</v>
      </c>
      <c r="D55" s="94" t="s">
        <v>166</v>
      </c>
      <c r="E55" s="69"/>
      <c r="G55" s="64"/>
      <c r="H55" s="64"/>
      <c r="L55" s="63"/>
      <c r="M55" s="189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3030.6100000000006</v>
      </c>
      <c r="D56" s="80" t="s">
        <v>58</v>
      </c>
      <c r="E56" s="69"/>
      <c r="G56" s="64"/>
      <c r="H56" s="64"/>
      <c r="L56" s="63"/>
      <c r="M56" s="189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111723.19</v>
      </c>
      <c r="D57" s="80" t="s">
        <v>58</v>
      </c>
      <c r="E57" s="69"/>
      <c r="G57" s="64"/>
      <c r="H57" s="64"/>
      <c r="L57" s="63"/>
      <c r="M57" s="189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111723.19</v>
      </c>
      <c r="D58" s="80" t="s">
        <v>58</v>
      </c>
      <c r="E58" s="69"/>
      <c r="G58" s="64"/>
      <c r="H58" s="64"/>
      <c r="L58" s="63"/>
      <c r="M58" s="189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9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9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114649.32000000002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202.23548711435683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109634.03999999998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5015.2800000000425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114649.32000000002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114649.32000000002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4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206754.95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2021-03-15T03:03:42Z</dcterms:modified>
</cp:coreProperties>
</file>