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A141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2" i="1"/>
  <c r="G110" i="1"/>
  <c r="J109" i="1"/>
  <c r="J104" i="1"/>
  <c r="J103" i="1"/>
  <c r="G102" i="1"/>
  <c r="F102" i="1"/>
  <c r="J101" i="1"/>
  <c r="J96" i="1"/>
  <c r="J95" i="1"/>
  <c r="A101" i="1"/>
  <c r="A97" i="1"/>
  <c r="G94" i="1"/>
  <c r="F94" i="1"/>
  <c r="K94" i="1"/>
  <c r="A116" i="1" l="1"/>
  <c r="D110" i="1"/>
  <c r="A113" i="1"/>
  <c r="A105" i="1"/>
  <c r="A114" i="1"/>
  <c r="F110" i="1"/>
  <c r="A117" i="1"/>
  <c r="A109" i="1"/>
  <c r="A110" i="1"/>
  <c r="A111" i="1"/>
  <c r="A99" i="1"/>
  <c r="D118" i="1"/>
  <c r="A120" i="1"/>
  <c r="A124" i="1"/>
  <c r="A98" i="1"/>
  <c r="F134" i="1"/>
  <c r="A94" i="1"/>
  <c r="A95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<sst xmlns="http://schemas.openxmlformats.org/spreadsheetml/2006/main" count="561" uniqueCount="209">
  <si>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</si>
  <si>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</si>
  <si>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</si>
  <si>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</si>
  <si>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</si>
  <si>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</si>
  <si>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</si>
  <si>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</si>
  <si>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</si>
  <si>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</si>
  <si>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</si>
  <si>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</si>
  <si>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</si>
  <si>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</si>
  <si>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</si>
  <si>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</si>
  <si>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</si>
  <si>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</si>
  <si>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</si>
  <si>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</si>
  <si>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</si>
  <si>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</si>
  <si>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</si>
  <si>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</si>
  <si>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</si>
  <si>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</si>
  <si>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</si>
  <si>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</si>
  <si>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</si>
  <si>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</si>
  <si>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</si>
  <si>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</si>
  <si>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</si>
  <si>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</si>
  <si>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</si>
  <si>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</si>
  <si>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</si>
  <si>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</si>
  <si>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</si>
  <si>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</si>
  <si>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</si>
  <si>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</si>
  <si>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</si>
  <si>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</si>
  <si>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</si>
  <si>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</si>
  <si>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</si>
  <si>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</si>
  <si>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</si>
  <si>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</si>
  <si>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</si>
  <si>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</si>
  <si>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</si>
  <si>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</si>
  <si>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</si>
  <si>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</si>
  <si>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</si>
  <si>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</si>
  <si>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</si>
  <si>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</si>
  <si>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</si>
  <si>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</si>
  <si>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</si>
  <si>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</si>
  <si>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</si>
  <si>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</si>
  <si>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</si>
  <si>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</si>
  <si>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</si>
  <si>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</si>
  <si>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</si>
  <si>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</si>
  <si>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</si>
  <si>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</si>
  <si>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</si>
  <si>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</si>
  <si>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</si>
  <si>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</si>
  <si>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</si>
  <si>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</si>
  <si>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</si>
  <si>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</si>
  <si>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</si>
  <si>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</si>
  <si>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</si>
  <si>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</si>
  <si>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</si>
  <si>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</si>
  <si>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</si>
  <si>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</si>
  <si>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</si>
  <si>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</si>
  <si>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</si>
  <si>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</si>
  <si>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</si>
  <si>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</si>
  <si>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</si>
  <si>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</si>
  <si>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</si>
  <si>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</si>
  <si>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</si>
  <si>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</si>
  <si>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</si>
  <si>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</si>
  <si>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</si>
  <si>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</si>
  <si>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</si>
  <si>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</si>
  <si>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</si>
  <si>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</si>
  <si>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</si>
  <si>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</si>
  <si>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</si>
  <si>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</si>
  <si>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</si>
  <si>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</si>
  <si>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</si>
  <si>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</si>
  <si>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</si>
  <si>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</si>
  <si>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</si>
  <si>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</si>
  <si>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</si>
  <si>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</si>
  <si>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</si>
  <si>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</si>
  <si>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</si>
  <si>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</si>
  <si>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</si>
  <si>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</si>
  <si>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</si>
  <si>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</si>
  <si>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</si>
  <si>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</si>
  <si>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</si>
  <si>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</si>
  <si>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</si>
  <si>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</si>
  <si>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</si>
  <si>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</si>
  <si>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</si>
  <si>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</si>
  <si>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</si>
  <si>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</si>
  <si>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</si>
  <si>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</si>
  <si>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</si>
  <si>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</si>
  <si>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</si>
  <si>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</si>
  <si>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</si>
  <si>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</si>
  <si>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</si>
  <si>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</si>
  <si>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</si>
  <si>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</si>
  <si>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</si>
  <si>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</si>
  <si>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</si>
  <si>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</si>
  <si>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</si>
  <si>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</si>
  <si>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</si>
  <si>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</si>
  <si>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</si>
  <si>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</si>
  <si>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</si>
  <si>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</si>
  <si>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</si>
  <si>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</si>
  <si>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</si>
  <si>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</si>
  <si>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</si>
  <si>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</si>
  <si>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</si>
  <si>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</si>
  <si>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</si>
  <si>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</si>
  <si>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</si>
  <si>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</si>
  <si>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5/2</t>
  </si>
  <si>
    <t>Отчет об исполнении договора управления многоквартирного дома 
Румянцева, 5/2 в части текущего ремонта</t>
  </si>
  <si>
    <t>ежегодно</t>
  </si>
  <si>
    <t>разово</t>
  </si>
  <si>
    <t>площадь дома</t>
  </si>
  <si>
    <t xml:space="preserve">  -  благоустройство придомовой территории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</si>
  <si>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</si>
  <si>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</si>
  <si>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</si>
  <si>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</si>
  <si>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</si>
  <si>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Замена светильника в кабине лифта.</t>
  </si>
  <si>
    <t>АВР 1/20 от 04.02.2020, Решение, счет №11 от 30.01.2020</t>
  </si>
  <si>
    <t>Приобретение и установка таблички по пожарной безопасности.</t>
  </si>
  <si>
    <t>Приобретение новогодней елки и гирлянды.</t>
  </si>
  <si>
    <t>АВР 2/20 от 11.01.2020</t>
  </si>
  <si>
    <t>Замена АКБ на пассажирском лифте.</t>
  </si>
  <si>
    <t>АВР 3/20 от 13.05.2020</t>
  </si>
  <si>
    <t>Благоустройство придомовой территории (приобретение рассады).</t>
  </si>
  <si>
    <t>АВР 4/20 от 08.06.2020</t>
  </si>
  <si>
    <t>Ремонт прибора учета тепловой энергии.</t>
  </si>
  <si>
    <t>Монтаж системы диспетчеризации лифта.</t>
  </si>
  <si>
    <t>АВР 5/20 от 14.12.2020, счет от 12.03.2020</t>
  </si>
  <si>
    <t>АВР 6/20 15.12.2020, счет №40 от 04.09.2020</t>
  </si>
  <si>
    <t>АВР 7/20 от 15.12.2020, Решение, счет №172 от 30.09.2020</t>
  </si>
  <si>
    <t>АВР 8/20 от 31.12.2020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</si>
  <si>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</si>
  <si>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</si>
  <si>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 (2019-2020 года).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</si>
</sst>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1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10" fillId="0" borderId="0" xfId="5" applyFill="1" applyBorder="1" applyAlignment="1">
      <alignment horizontal="center"/>
    </xf>
    <xf numFmtId="1" fontId="10" fillId="0" borderId="0" xfId="5" applyNumberFormat="1" applyFill="1" applyBorder="1" applyAlignment="1">
      <alignment horizontal="center"/>
    </xf>
    <xf numFmtId="4" fontId="10" fillId="0" borderId="0" xfId="5" applyNumberFormat="1" applyFill="1" applyBorder="1" applyAlignment="1"/>
    <xf numFmtId="4" fontId="24" fillId="0" borderId="0" xfId="5" applyNumberFormat="1" applyFont="1" applyFill="1" applyBorder="1" applyAlignment="1"/>
    <xf numFmtId="0" fontId="9" fillId="0" borderId="0" xfId="5" applyFont="1" applyFill="1" applyBorder="1" applyAlignment="1">
      <alignment wrapText="1"/>
    </xf>
    <xf numFmtId="0" fontId="8" fillId="0" borderId="0" xfId="5" applyFont="1" applyFill="1" applyBorder="1"/>
    <xf numFmtId="0" fontId="7" fillId="0" borderId="0" xfId="5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0" fontId="6" fillId="0" borderId="0" xfId="5" applyFont="1" applyFill="1" applyBorder="1" applyAlignment="1">
      <alignment wrapText="1"/>
    </xf>
    <xf numFmtId="0" fontId="6" fillId="0" borderId="0" xfId="5" applyFont="1" applyFill="1" applyBorder="1" applyAlignment="1">
      <alignment horizontal="center"/>
    </xf>
    <xf numFmtId="0" fontId="5" fillId="0" borderId="0" xfId="5" applyFont="1" applyFill="1" applyBorder="1" applyAlignment="1">
      <alignment wrapText="1"/>
    </xf>
    <xf numFmtId="0" fontId="5" fillId="0" borderId="0" xfId="5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7" applyFont="1" applyFill="1" applyBorder="1" applyAlignment="1"/>
    <xf numFmtId="0" fontId="3" fillId="0" borderId="0" xfId="8" applyFont="1" applyFill="1" applyBorder="1" applyAlignment="1">
      <alignment horizontal="center"/>
    </xf>
    <xf numFmtId="2" fontId="0" fillId="0" borderId="0" xfId="0" applyNumberFormat="1" applyFill="1" applyBorder="1"/>
    <xf numFmtId="0" fontId="24" fillId="0" borderId="0" xfId="5" applyFont="1" applyFill="1" applyBorder="1" applyAlignment="1"/>
    <xf numFmtId="0" fontId="2" fillId="0" borderId="0" xfId="5" applyFont="1" applyFill="1" applyBorder="1"/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24" fillId="0" borderId="0" xfId="13" applyNumberFormat="1" applyFont="1" applyFill="1" applyBorder="1" applyAlignment="1"/>
    <xf numFmtId="0" fontId="1" fillId="0" borderId="0" xfId="13" applyFill="1" applyBorder="1" applyAlignment="1"/>
    <xf numFmtId="0" fontId="24" fillId="0" borderId="0" xfId="13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/>
    <xf numFmtId="2" fontId="17" fillId="0" borderId="0" xfId="0" applyNumberFormat="1" applyFont="1" applyFill="1" applyBorder="1" applyAlignment="1">
      <alignment wrapText="1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6"/>
    <cellStyle name="Обычный 2 4" xfId="10"/>
    <cellStyle name="Обычный 3" xfId="2"/>
    <cellStyle name="Обычный 3 2" xfId="7"/>
    <cellStyle name="Обычный 3 3" xfId="11"/>
    <cellStyle name="Обычный 4" xfId="4"/>
    <cellStyle name="Обычный 4 2" xfId="8"/>
    <cellStyle name="Обычный 4 3" xfId="12"/>
    <cellStyle name="Обычный 5" xfId="5"/>
    <cellStyle name="Обычный 5 2" xfId="9"/>
    <cellStyle name="Обычный 5 3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9" sqref="K7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1" t="s">
        <v>180</v>
      </c>
      <c r="B2" s="171"/>
      <c r="C2" s="171"/>
      <c r="D2" s="171"/>
      <c r="E2" s="171"/>
      <c r="F2" s="171"/>
      <c r="G2" s="171"/>
      <c r="H2" s="171"/>
      <c r="I2" s="171"/>
      <c r="J2" s="17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09"/>
      <c r="L8" s="172"/>
      <c r="M8" s="109"/>
      <c r="N8" s="109"/>
      <c r="O8" s="70" t="s">
        <v>85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09"/>
      <c r="L9" s="172"/>
      <c r="M9" s="109"/>
      <c r="N9" s="109"/>
      <c r="O9" s="70" t="s">
        <v>86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169102.25</v>
      </c>
      <c r="K10" s="109"/>
      <c r="L10" s="172"/>
      <c r="M10" s="109"/>
      <c r="N10" s="109"/>
      <c r="O10" s="70" t="s">
        <v>87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582863.55999999994</v>
      </c>
      <c r="K11" s="109"/>
      <c r="L11" s="172"/>
      <c r="M11" s="109"/>
      <c r="N11" s="109"/>
      <c r="O11" s="70" t="s">
        <v>88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446702.55999999994</v>
      </c>
      <c r="K12" s="109"/>
      <c r="L12" s="172"/>
      <c r="M12" s="109"/>
      <c r="N12" s="109"/>
      <c r="O12" s="70" t="s">
        <v>89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136161</v>
      </c>
      <c r="K13" s="109"/>
      <c r="L13" s="172"/>
      <c r="M13" s="109"/>
      <c r="N13" s="109"/>
      <c r="O13" s="70" t="s">
        <v>90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0</v>
      </c>
      <c r="K14" s="109"/>
      <c r="L14" s="172"/>
      <c r="M14" s="109"/>
      <c r="N14" s="109"/>
      <c r="O14" s="70" t="s">
        <v>91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593944.80000000005</v>
      </c>
      <c r="K15" s="109"/>
      <c r="L15" s="172"/>
      <c r="M15" s="109"/>
      <c r="N15" s="109"/>
      <c r="O15" s="70" t="s">
        <v>92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593944.80000000005</v>
      </c>
      <c r="K16" s="109"/>
      <c r="L16" s="172"/>
      <c r="M16" s="109"/>
      <c r="N16" s="109"/>
      <c r="O16" s="70" t="s">
        <v>93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09"/>
      <c r="L17" s="172"/>
      <c r="M17" s="109"/>
      <c r="N17" s="109"/>
      <c r="O17" s="70" t="s">
        <v>94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09"/>
      <c r="L18" s="172"/>
      <c r="M18" s="109"/>
      <c r="N18" s="109"/>
      <c r="O18" s="70" t="s">
        <v>95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09"/>
      <c r="L19" s="172"/>
      <c r="M19" s="109"/>
      <c r="N19" s="109"/>
      <c r="O19" s="70" t="s">
        <v>96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09"/>
      <c r="L20" s="172"/>
      <c r="M20" s="109"/>
      <c r="N20" s="109"/>
      <c r="O20" s="70" t="s">
        <v>97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593944.80000000005</v>
      </c>
      <c r="K21" s="109"/>
      <c r="L21" s="172"/>
      <c r="M21" s="109"/>
      <c r="N21" s="109"/>
      <c r="O21" s="70" t="s">
        <v>98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09"/>
      <c r="L22" s="172"/>
      <c r="M22" s="109"/>
      <c r="N22" s="109"/>
      <c r="O22" s="70" t="s">
        <v>99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09"/>
      <c r="L23" s="172"/>
      <c r="M23" s="109"/>
      <c r="N23" s="109"/>
      <c r="O23" s="70" t="s">
        <v>100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158021.00999999989</v>
      </c>
      <c r="K24" s="109"/>
      <c r="L24" s="172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09"/>
      <c r="L27" s="17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0">
        <f>VLOOKUP(A28,ПТО!$A$39:$D$53,2,FALSE)</f>
        <v>130109.4</v>
      </c>
      <c r="G28" s="150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09"/>
      <c r="L28" s="17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9" t="str">
        <f>ПТО!A40</f>
        <v>Работы по содержанию лифта (лифтов)</v>
      </c>
      <c r="B29" s="149"/>
      <c r="C29" s="149"/>
      <c r="D29" s="149"/>
      <c r="E29" s="149"/>
      <c r="F29" s="150">
        <f>VLOOKUP(A29,ПТО!$A$39:$D$53,2,FALSE)</f>
        <v>53859.24</v>
      </c>
      <c r="G29" s="150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09"/>
      <c r="L29" s="173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0">
        <f>VLOOKUP(A30,ПТО!$A$39:$D$53,2,FALSE)</f>
        <v>42966.36</v>
      </c>
      <c r="G30" s="150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09"/>
      <c r="L30" s="17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0">
        <f>VLOOKUP(A31,ПТО!$A$39:$D$53,2,FALSE)</f>
        <v>36309.599999999999</v>
      </c>
      <c r="G31" s="150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09"/>
      <c r="L31" s="17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09"/>
      <c r="L32" s="17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0">
        <f>VLOOKUP(A33,ПТО!$A$39:$D$53,2,FALSE)</f>
        <v>11800.68</v>
      </c>
      <c r="G33" s="150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09"/>
      <c r="L33" s="17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0">
        <f>VLOOKUP(A34,ПТО!$A$39:$D$53,2,FALSE)</f>
        <v>54464.4</v>
      </c>
      <c r="G34" s="150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09"/>
      <c r="L34" s="17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9"/>
      <c r="C35" s="149"/>
      <c r="D35" s="149"/>
      <c r="E35" s="149"/>
      <c r="F35" s="150">
        <f>VLOOKUP(A35,ПТО!$A$39:$D$53,2,FALSE)</f>
        <v>120729.48</v>
      </c>
      <c r="G35" s="150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09"/>
      <c r="L35" s="173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09"/>
      <c r="L36" s="173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09"/>
      <c r="L37" s="17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09"/>
      <c r="L38" s="17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09"/>
      <c r="L39" s="17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09"/>
      <c r="L40" s="17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09"/>
      <c r="L41" s="17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09"/>
      <c r="L42" s="17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09"/>
      <c r="L43" s="173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9" t="str">
        <f>ПТО!A3</f>
        <v>Техническое обслуживание охранной сигнализации (2019-2020 года).</v>
      </c>
      <c r="B44" s="149"/>
      <c r="C44" s="149"/>
      <c r="D44" s="149"/>
      <c r="E44" s="149"/>
      <c r="F44" s="150">
        <f>VLOOKUP(A44,ПТО!$A$2:$D$31,4,FALSE)</f>
        <v>8000</v>
      </c>
      <c r="G44" s="150"/>
      <c r="H44" s="25" t="str">
        <f>VLOOKUP(A44,ПТО!$A$2:$D$31,2,FALSE)</f>
        <v>ежемесячно</v>
      </c>
      <c r="I44" s="151">
        <f>VLOOKUP(A44,ПТО!$A$2:$D$31,3,FALSE)</f>
        <v>12</v>
      </c>
      <c r="J44" s="151"/>
      <c r="K44" s="109"/>
      <c r="L44" s="173"/>
      <c r="M44" s="115"/>
      <c r="N44" s="109"/>
      <c r="O44" s="23" t="str">
        <f t="shared" si="1"/>
        <v>Техническое обслуживание охранной сигнализации (2019-2020 года).</v>
      </c>
      <c r="R44" s="22" t="s">
        <v>72</v>
      </c>
    </row>
    <row r="45" spans="1:18" ht="51" customHeight="1" outlineLevel="1">
      <c r="A45" s="149" t="str">
        <f>ПТО!A4</f>
        <v>Замена светильника в кабине лифта.</v>
      </c>
      <c r="B45" s="149"/>
      <c r="C45" s="149"/>
      <c r="D45" s="149"/>
      <c r="E45" s="149"/>
      <c r="F45" s="150">
        <f>VLOOKUP(A45,ПТО!$A$2:$D$31,4,FALSE)</f>
        <v>1914</v>
      </c>
      <c r="G45" s="150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09"/>
      <c r="L45" s="173"/>
      <c r="M45" s="115"/>
      <c r="N45" s="109"/>
      <c r="O45" s="23" t="str">
        <f t="shared" si="1"/>
        <v>Замена светильника в кабине лифта.</v>
      </c>
      <c r="R45" s="22" t="s">
        <v>72</v>
      </c>
    </row>
    <row r="46" spans="1:18" ht="51" customHeight="1" outlineLevel="1">
      <c r="A46" s="149" t="str">
        <f>ПТО!A5</f>
        <v>Приобретение новогодней елки и гирлянды.</v>
      </c>
      <c r="B46" s="149"/>
      <c r="C46" s="149"/>
      <c r="D46" s="149"/>
      <c r="E46" s="149"/>
      <c r="F46" s="150">
        <f>VLOOKUP(A46,ПТО!$A$2:$D$31,4,FALSE)</f>
        <v>1248.67</v>
      </c>
      <c r="G46" s="150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09"/>
      <c r="L46" s="173"/>
      <c r="M46" s="115"/>
      <c r="N46" s="109"/>
      <c r="O46" s="23" t="str">
        <f t="shared" si="1"/>
        <v>Приобретение новогодней елки и гирлянды.</v>
      </c>
      <c r="R46" s="22" t="s">
        <v>72</v>
      </c>
    </row>
    <row r="47" spans="1:18" ht="51" customHeight="1" outlineLevel="1">
      <c r="A47" s="149" t="str">
        <f>ПТО!A6</f>
        <v>Замена АКБ на пассажирском лифте.</v>
      </c>
      <c r="B47" s="149"/>
      <c r="C47" s="149"/>
      <c r="D47" s="149"/>
      <c r="E47" s="149"/>
      <c r="F47" s="150">
        <f>VLOOKUP(A47,ПТО!$A$2:$D$31,4,FALSE)</f>
        <v>1450</v>
      </c>
      <c r="G47" s="150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09"/>
      <c r="L47" s="173"/>
      <c r="M47" s="115"/>
      <c r="N47" s="109"/>
      <c r="O47" s="23" t="str">
        <f t="shared" si="1"/>
        <v>Замена АКБ на пассажирском лифте.</v>
      </c>
      <c r="R47" s="22" t="s">
        <v>72</v>
      </c>
    </row>
    <row r="48" spans="1:18" ht="51" customHeight="1" outlineLevel="1">
      <c r="A48" s="149" t="str">
        <f>ПТО!A7</f>
        <v>Благоустройство придомовой территории (приобретение рассады).</v>
      </c>
      <c r="B48" s="149"/>
      <c r="C48" s="149"/>
      <c r="D48" s="149"/>
      <c r="E48" s="149"/>
      <c r="F48" s="150">
        <f>VLOOKUP(A48,ПТО!$A$2:$D$31,4,FALSE)</f>
        <v>5450</v>
      </c>
      <c r="G48" s="150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09"/>
      <c r="L48" s="173"/>
      <c r="M48" s="115"/>
      <c r="N48" s="109"/>
      <c r="O48" s="23" t="str">
        <f t="shared" si="1"/>
        <v>Благоустройство придомовой территории (приобретение рассады).</v>
      </c>
      <c r="R48" s="22" t="s">
        <v>72</v>
      </c>
    </row>
    <row r="49" spans="1:18" ht="51" customHeight="1" outlineLevel="1">
      <c r="A49" s="149" t="str">
        <f>ПТО!A8</f>
        <v>Приобретение и установка таблички по пожарной безопасности.</v>
      </c>
      <c r="B49" s="149"/>
      <c r="C49" s="149"/>
      <c r="D49" s="149"/>
      <c r="E49" s="149"/>
      <c r="F49" s="150">
        <f>VLOOKUP(A49,ПТО!$A$2:$D$31,4,FALSE)</f>
        <v>250</v>
      </c>
      <c r="G49" s="150"/>
      <c r="H49" s="25" t="str">
        <f>VLOOKUP(A49,ПТО!$A$2:$D$31,2,FALSE)</f>
        <v>разово</v>
      </c>
      <c r="I49" s="151">
        <f>VLOOKUP(A49,ПТО!$A$2:$D$31,3,FALSE)</f>
        <v>1</v>
      </c>
      <c r="J49" s="151"/>
      <c r="K49" s="109"/>
      <c r="L49" s="173"/>
      <c r="M49" s="115"/>
      <c r="N49" s="109"/>
      <c r="O49" s="23" t="str">
        <f t="shared" si="1"/>
        <v>Приобретение и установка таблички по пожарной безопасности.</v>
      </c>
      <c r="R49" s="22" t="s">
        <v>72</v>
      </c>
    </row>
    <row r="50" spans="1:18" ht="51" customHeight="1" outlineLevel="1">
      <c r="A50" s="149" t="str">
        <f>ПТО!A9</f>
        <v>Ремонт прибора учета тепловой энергии.</v>
      </c>
      <c r="B50" s="149"/>
      <c r="C50" s="149"/>
      <c r="D50" s="149"/>
      <c r="E50" s="149"/>
      <c r="F50" s="150">
        <f>VLOOKUP(A50,ПТО!$A$2:$D$31,4,FALSE)</f>
        <v>1080.24</v>
      </c>
      <c r="G50" s="150"/>
      <c r="H50" s="25" t="str">
        <f>VLOOKUP(A50,ПТО!$A$2:$D$31,2,FALSE)</f>
        <v>разово</v>
      </c>
      <c r="I50" s="151">
        <f>VLOOKUP(A50,ПТО!$A$2:$D$31,3,FALSE)</f>
        <v>1</v>
      </c>
      <c r="J50" s="151"/>
      <c r="K50" s="109"/>
      <c r="L50" s="173"/>
      <c r="M50" s="115"/>
      <c r="N50" s="109"/>
      <c r="O50" s="23" t="str">
        <f t="shared" si="1"/>
        <v>Ремонт прибора учета тепловой энергии.</v>
      </c>
      <c r="R50" s="22" t="s">
        <v>72</v>
      </c>
    </row>
    <row r="51" spans="1:18" ht="51" customHeight="1" outlineLevel="1">
      <c r="A51" s="149" t="str">
        <f>ПТО!A10</f>
        <v>Монтаж системы диспетчеризации лифта.</v>
      </c>
      <c r="B51" s="149"/>
      <c r="C51" s="149"/>
      <c r="D51" s="149"/>
      <c r="E51" s="149"/>
      <c r="F51" s="150">
        <f>VLOOKUP(A51,ПТО!$A$2:$D$31,4,FALSE)</f>
        <v>39259</v>
      </c>
      <c r="G51" s="150"/>
      <c r="H51" s="25" t="str">
        <f>VLOOKUP(A51,ПТО!$A$2:$D$31,2,FALSE)</f>
        <v>разово</v>
      </c>
      <c r="I51" s="151">
        <f>VLOOKUP(A51,ПТО!$A$2:$D$31,3,FALSE)</f>
        <v>1</v>
      </c>
      <c r="J51" s="151"/>
      <c r="K51" s="109"/>
      <c r="L51" s="173"/>
      <c r="M51" s="115"/>
      <c r="N51" s="109"/>
      <c r="O51" s="23" t="str">
        <f t="shared" si="1"/>
        <v>Монтаж системы диспетчеризации лифта.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09"/>
      <c r="L52" s="173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09"/>
      <c r="L53" s="173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09"/>
      <c r="L54" s="173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09"/>
      <c r="L55" s="173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09"/>
      <c r="L56" s="173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09"/>
      <c r="L57" s="173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09"/>
      <c r="L58" s="173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09"/>
      <c r="L59" s="173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09"/>
      <c r="L60" s="17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09"/>
      <c r="L61" s="17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09"/>
      <c r="L62" s="17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09"/>
      <c r="L63" s="17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09"/>
      <c r="L64" s="17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09"/>
      <c r="L65" s="17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09"/>
      <c r="L66" s="17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09"/>
      <c r="L67" s="17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09"/>
      <c r="L68" s="17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09"/>
      <c r="L69" s="17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09"/>
      <c r="L70" s="17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5"/>
      <c r="L71" s="17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09"/>
      <c r="L72" s="17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09"/>
      <c r="L75" s="156"/>
      <c r="M75" s="109"/>
      <c r="N75" s="109"/>
      <c r="O75" s="70" t="s">
        <v>102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09"/>
      <c r="L76" s="156"/>
      <c r="M76" s="109"/>
      <c r="N76" s="109"/>
      <c r="O76" s="70" t="s">
        <v>103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09"/>
      <c r="L77" s="156"/>
      <c r="M77" s="109"/>
      <c r="N77" s="109"/>
      <c r="O77" s="70" t="s">
        <v>104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7">
        <f>VLOOKUP(O78,АО,3,FALSE)</f>
        <v>0</v>
      </c>
      <c r="K78" s="109"/>
      <c r="L78" s="156"/>
      <c r="M78" s="109"/>
      <c r="N78" s="109"/>
      <c r="O78" s="70" t="s">
        <v>105</v>
      </c>
    </row>
    <row r="79" spans="1:16384">
      <c r="A79" s="114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7">
        <f t="shared" ref="J81:J90" si="2">VLOOKUP(O81,АО,3,FALSE)</f>
        <v>0</v>
      </c>
      <c r="K81" s="109"/>
      <c r="L81" s="174"/>
      <c r="M81" s="109"/>
      <c r="N81" s="109"/>
      <c r="O81" s="70" t="s">
        <v>106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7">
        <f t="shared" si="2"/>
        <v>0</v>
      </c>
      <c r="K82" s="109"/>
      <c r="L82" s="174"/>
      <c r="M82" s="109"/>
      <c r="N82" s="109"/>
      <c r="O82" s="70" t="s">
        <v>107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7">
        <f t="shared" si="2"/>
        <v>68538.820000000007</v>
      </c>
      <c r="K83" s="109"/>
      <c r="L83" s="174"/>
      <c r="M83" s="109"/>
      <c r="N83" s="109"/>
      <c r="O83" s="70" t="s">
        <v>108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7">
        <f t="shared" si="2"/>
        <v>0</v>
      </c>
      <c r="K84" s="109"/>
      <c r="L84" s="174"/>
      <c r="M84" s="109"/>
      <c r="N84" s="109"/>
      <c r="O84" s="70" t="s">
        <v>109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7">
        <f t="shared" si="2"/>
        <v>0</v>
      </c>
      <c r="K85" s="109"/>
      <c r="L85" s="174"/>
      <c r="M85" s="109"/>
      <c r="N85" s="109"/>
      <c r="O85" s="70" t="s">
        <v>110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7">
        <f t="shared" si="2"/>
        <v>37981.589999999902</v>
      </c>
      <c r="K86" s="109"/>
      <c r="L86" s="174"/>
      <c r="M86" s="109"/>
      <c r="N86" s="109"/>
      <c r="O86" s="70" t="s">
        <v>111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09"/>
      <c r="L87" s="174"/>
      <c r="M87" s="109"/>
      <c r="N87" s="109"/>
      <c r="O87" s="70" t="s">
        <v>112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09"/>
      <c r="L88" s="174"/>
      <c r="M88" s="109"/>
      <c r="N88" s="109"/>
      <c r="O88" s="70" t="s">
        <v>113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09"/>
      <c r="L89" s="174"/>
      <c r="M89" s="109"/>
      <c r="N89" s="109"/>
      <c r="O89" s="70" t="s">
        <v>114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7">
        <f t="shared" si="2"/>
        <v>0</v>
      </c>
      <c r="K90" s="109"/>
      <c r="L90" s="174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8" t="s">
        <v>48</v>
      </c>
      <c r="B93" s="158"/>
      <c r="C93" s="158"/>
      <c r="D93" s="161" t="s">
        <v>49</v>
      </c>
      <c r="E93" s="161"/>
      <c r="F93" s="10" t="s">
        <v>50</v>
      </c>
      <c r="G93" s="158" t="s">
        <v>51</v>
      </c>
      <c r="H93" s="158"/>
      <c r="I93" s="158"/>
      <c r="J93" s="158"/>
      <c r="K93" s="109"/>
      <c r="L93" s="109"/>
      <c r="M93" s="109"/>
      <c r="N93" s="109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59">
        <f>VLOOKUP("эл",АО,5,FALSE)</f>
        <v>145348.22999999992</v>
      </c>
      <c r="H94" s="160"/>
      <c r="I94" s="160"/>
      <c r="J94" s="160"/>
      <c r="K94" s="1" t="str">
        <f>VLOOKUP("эл",АО,2,FALSE)</f>
        <v>Электроснабжение</v>
      </c>
      <c r="L94" s="175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127498.447368421</v>
      </c>
      <c r="L95" s="175"/>
      <c r="O95" s="1" t="s">
        <v>116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152934.60000000003</v>
      </c>
      <c r="L96" s="175"/>
      <c r="O96" s="1" t="s">
        <v>117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0</v>
      </c>
      <c r="L97" s="175"/>
      <c r="O97" s="1" t="s">
        <v>118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145348.22999999992</v>
      </c>
      <c r="L98" s="175"/>
      <c r="O98" s="1" t="s">
        <v>119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145348.22999999992</v>
      </c>
      <c r="L99" s="175"/>
      <c r="O99" s="1" t="s">
        <v>120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75"/>
      <c r="O100" s="1" t="s">
        <v>121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75"/>
      <c r="O101" s="1" t="s">
        <v>122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59">
        <f>VLOOKUP("хвс",АО,5,FALSE)</f>
        <v>69407.830000000016</v>
      </c>
      <c r="H102" s="160"/>
      <c r="I102" s="160"/>
      <c r="J102" s="160"/>
      <c r="L102" s="175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5129.920916481894</v>
      </c>
      <c r="L103" s="175"/>
      <c r="O103" s="1" t="s">
        <v>125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80304.770000000019</v>
      </c>
      <c r="L104" s="175"/>
      <c r="O104" s="1" t="s">
        <v>126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0</v>
      </c>
      <c r="L105" s="175"/>
      <c r="O105" s="1" t="s">
        <v>127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69407.830000000016</v>
      </c>
      <c r="L106" s="175"/>
      <c r="O106" s="1" t="s">
        <v>128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69407.830000000016</v>
      </c>
      <c r="L107" s="175"/>
      <c r="O107" s="1" t="s">
        <v>129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75"/>
      <c r="O108" s="1" t="s">
        <v>130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75"/>
      <c r="O109" s="1" t="s">
        <v>131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59">
        <f>VLOOKUP("воо",АО,5,FALSE)</f>
        <v>82651.770000000019</v>
      </c>
      <c r="H110" s="160"/>
      <c r="I110" s="160"/>
      <c r="J110" s="160"/>
      <c r="L110" s="175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5356.56318859365</v>
      </c>
      <c r="L111" s="175"/>
      <c r="O111" s="1" t="s">
        <v>133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92017.000000000015</v>
      </c>
      <c r="L112" s="175"/>
      <c r="O112" s="1" t="s">
        <v>134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0</v>
      </c>
      <c r="L113" s="175"/>
      <c r="O113" s="1" t="s">
        <v>135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82651.770000000019</v>
      </c>
      <c r="L114" s="175"/>
      <c r="O114" s="1" t="s">
        <v>136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82651.770000000019</v>
      </c>
      <c r="L115" s="175"/>
      <c r="O115" s="1" t="s">
        <v>137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75"/>
      <c r="O116" s="1" t="s">
        <v>138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75"/>
      <c r="O117" s="1" t="s">
        <v>139</v>
      </c>
    </row>
    <row r="118" spans="1:15" ht="32.25" hidden="1" customHeight="1" outlineLevel="1">
      <c r="A118" s="162">
        <f>IF(VLOOKUP("тко",АО,3,FALSE)&gt;0,"Обращение с ТКО",0)</f>
        <v>0</v>
      </c>
      <c r="B118" s="162"/>
      <c r="C118" s="162"/>
      <c r="D118" s="160">
        <f>IF(VLOOKUP("тко",АО,3,FALSE)&gt;0,VLOOKUP("тко",АО,3,FALSE),0)</f>
        <v>0</v>
      </c>
      <c r="E118" s="160"/>
      <c r="F118" s="13">
        <f>IF(VLOOKUP("тко",АО,3,FALSE)&gt;0,VLOOKUP("тко",АО,4,FALSE),0)</f>
        <v>0</v>
      </c>
      <c r="G118" s="159">
        <f>VLOOKUP("тко",АО,5,FALSE)</f>
        <v>0</v>
      </c>
      <c r="H118" s="160"/>
      <c r="I118" s="160"/>
      <c r="J118" s="160"/>
      <c r="L118" s="47"/>
    </row>
    <row r="119" spans="1:15" ht="32.25" hidden="1" customHeight="1" outlineLevel="2">
      <c r="A119" s="157">
        <f t="shared" ref="A119:A125" si="8">IF(VLOOKUP("тко",АО,3,FALSE)&gt;0,VLOOKUP(O119,АО,2,FALSE),0)</f>
        <v>0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0</v>
      </c>
      <c r="L119" s="47"/>
      <c r="O119" s="1" t="s">
        <v>141</v>
      </c>
    </row>
    <row r="120" spans="1:15" ht="32.25" hidden="1" customHeight="1" outlineLevel="2">
      <c r="A120" s="157">
        <f t="shared" si="8"/>
        <v>0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0</v>
      </c>
      <c r="L120" s="47"/>
      <c r="O120" s="1" t="s">
        <v>142</v>
      </c>
    </row>
    <row r="121" spans="1:15" ht="32.25" hidden="1" customHeight="1" outlineLevel="2">
      <c r="A121" s="157">
        <f t="shared" si="8"/>
        <v>0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0</v>
      </c>
      <c r="L121" s="47"/>
      <c r="O121" s="1" t="s">
        <v>143</v>
      </c>
    </row>
    <row r="122" spans="1:15" ht="32.25" hidden="1" customHeight="1" outlineLevel="2">
      <c r="A122" s="157">
        <f t="shared" si="8"/>
        <v>0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0</v>
      </c>
      <c r="L122" s="47"/>
      <c r="O122" s="1" t="s">
        <v>144</v>
      </c>
    </row>
    <row r="123" spans="1:15" ht="32.25" hidden="1" customHeight="1" outlineLevel="2">
      <c r="A123" s="157">
        <f t="shared" si="8"/>
        <v>0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0</v>
      </c>
      <c r="L123" s="47"/>
      <c r="O123" s="1" t="s">
        <v>145</v>
      </c>
    </row>
    <row r="124" spans="1:15" ht="32.25" hidden="1" customHeight="1" outlineLevel="2">
      <c r="A124" s="157">
        <f t="shared" si="8"/>
        <v>0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7"/>
      <c r="O124" s="1" t="s">
        <v>146</v>
      </c>
    </row>
    <row r="125" spans="1:15" ht="32.25" hidden="1" customHeight="1" outlineLevel="2">
      <c r="A125" s="157">
        <f t="shared" si="8"/>
        <v>0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7"/>
      <c r="O125" s="1" t="s">
        <v>147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59">
        <f>VLOOKUP("гвс",АО,5,FALSE)</f>
        <v>0</v>
      </c>
      <c r="H126" s="160"/>
      <c r="I126" s="160"/>
      <c r="J126" s="160"/>
      <c r="L126" s="47"/>
    </row>
    <row r="127" spans="1:15" ht="32.25" hidden="1" customHeight="1" outlineLevel="2">
      <c r="A127" s="157">
        <f t="shared" ref="A127:A133" si="10">IF(VLOOKUP("гвс",АО,3,FALSE)&gt;0,VLOOKUP(O127,АО,2,FALSE),0)</f>
        <v>0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0</v>
      </c>
      <c r="L127" s="47"/>
      <c r="O127" s="1" t="s">
        <v>149</v>
      </c>
    </row>
    <row r="128" spans="1:15" ht="32.25" hidden="1" customHeight="1" outlineLevel="2">
      <c r="A128" s="157">
        <f t="shared" si="10"/>
        <v>0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0</v>
      </c>
      <c r="L128" s="47"/>
      <c r="O128" s="1" t="s">
        <v>150</v>
      </c>
    </row>
    <row r="129" spans="1:15" ht="32.25" hidden="1" customHeight="1" outlineLevel="2">
      <c r="A129" s="157">
        <f t="shared" si="10"/>
        <v>0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7"/>
      <c r="O129" s="1" t="s">
        <v>151</v>
      </c>
    </row>
    <row r="130" spans="1:15" ht="32.25" hidden="1" customHeight="1" outlineLevel="2">
      <c r="A130" s="157">
        <f t="shared" si="10"/>
        <v>0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0</v>
      </c>
      <c r="L130" s="47"/>
      <c r="O130" s="1" t="s">
        <v>152</v>
      </c>
    </row>
    <row r="131" spans="1:15" ht="32.25" hidden="1" customHeight="1" outlineLevel="2">
      <c r="A131" s="157">
        <f t="shared" si="10"/>
        <v>0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0</v>
      </c>
      <c r="L131" s="47"/>
      <c r="O131" s="1" t="s">
        <v>153</v>
      </c>
    </row>
    <row r="132" spans="1:15" ht="32.25" hidden="1" customHeight="1" outlineLevel="2">
      <c r="A132" s="157">
        <f t="shared" si="10"/>
        <v>0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7"/>
      <c r="O132" s="1" t="s">
        <v>154</v>
      </c>
    </row>
    <row r="133" spans="1:15" ht="32.25" hidden="1" customHeight="1" outlineLevel="2">
      <c r="A133" s="157">
        <f t="shared" si="10"/>
        <v>0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7"/>
      <c r="O133" s="1" t="s">
        <v>155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7"/>
      <c r="O135" s="1" t="s">
        <v>157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7"/>
      <c r="O136" s="1" t="s">
        <v>158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7"/>
      <c r="O137" s="1" t="s">
        <v>159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7"/>
      <c r="O138" s="1" t="s">
        <v>160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7"/>
      <c r="O139" s="1" t="s">
        <v>161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7"/>
      <c r="O140" s="1" t="s">
        <v>162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7"/>
      <c r="O141" s="1" t="s">
        <v>163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0</v>
      </c>
      <c r="O144" t="s">
        <v>173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57" t="s">
        <v>176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33566.589999999997</v>
      </c>
      <c r="O146" t="s">
        <v>175</v>
      </c>
    </row>
    <row r="149" spans="1:15" ht="52.5" customHeight="1">
      <c r="A149" s="153" t="s">
        <v>181</v>
      </c>
      <c r="B149" s="153"/>
      <c r="C149" s="153"/>
      <c r="D149" s="153"/>
      <c r="E149" s="153"/>
      <c r="F149" s="153"/>
      <c r="G149" s="153"/>
      <c r="H149" s="153"/>
      <c r="I149" s="153"/>
      <c r="J149" s="15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2" t="s">
        <v>190</v>
      </c>
      <c r="B154" s="152"/>
      <c r="C154" s="152"/>
      <c r="D154" s="152"/>
      <c r="E154" s="27">
        <f>ПТО!G1</f>
        <v>-56378.42</v>
      </c>
    </row>
    <row r="155" spans="1:15" ht="34.5" customHeight="1">
      <c r="A155" s="154" t="s">
        <v>189</v>
      </c>
      <c r="B155" s="154"/>
      <c r="C155" s="154"/>
      <c r="D155" s="154"/>
      <c r="E155" s="28">
        <f>J13</f>
        <v>136161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Техническое обслуживание охранной сигнализации (2019-2020 года).</v>
      </c>
      <c r="B159" s="149"/>
      <c r="C159" s="149"/>
      <c r="D159" s="149"/>
      <c r="E159" s="149"/>
      <c r="F159" s="150">
        <f t="shared" si="15"/>
        <v>8000</v>
      </c>
      <c r="G159" s="150"/>
      <c r="H159" s="24" t="str">
        <f t="shared" si="16"/>
        <v>ежемесячно</v>
      </c>
      <c r="I159" s="151">
        <f t="shared" si="17"/>
        <v>12</v>
      </c>
      <c r="J159" s="151"/>
      <c r="M159" s="22" t="s">
        <v>72</v>
      </c>
      <c r="N159" s="1" t="str">
        <v>Техническое обслуживание охранной сигнализации (2019-2020 года).</v>
      </c>
    </row>
    <row r="160" spans="1:15" ht="28.5" customHeight="1">
      <c r="A160" s="149" t="str">
        <f t="shared" si="14"/>
        <v>Замена светильника в кабине лифта.</v>
      </c>
      <c r="B160" s="149"/>
      <c r="C160" s="149"/>
      <c r="D160" s="149"/>
      <c r="E160" s="149"/>
      <c r="F160" s="150">
        <f t="shared" si="15"/>
        <v>1914</v>
      </c>
      <c r="G160" s="150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Замена светильника в кабине лифта.</v>
      </c>
    </row>
    <row r="161" spans="1:14" ht="28.5" customHeight="1">
      <c r="A161" s="149" t="str">
        <f>IF(N161&gt;0,N161,0)</f>
        <v>Приобретение новогодней елки и гирлянды.</v>
      </c>
      <c r="B161" s="149"/>
      <c r="C161" s="149"/>
      <c r="D161" s="149"/>
      <c r="E161" s="149"/>
      <c r="F161" s="150">
        <f t="shared" si="15"/>
        <v>1248.67</v>
      </c>
      <c r="G161" s="150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Приобретение новогодней елки и гирлянды.</v>
      </c>
    </row>
    <row r="162" spans="1:14" ht="28.5" customHeight="1">
      <c r="A162" s="149" t="str">
        <f t="shared" si="14"/>
        <v>Замена АКБ на пассажирском лифте.</v>
      </c>
      <c r="B162" s="149"/>
      <c r="C162" s="149"/>
      <c r="D162" s="149"/>
      <c r="E162" s="149"/>
      <c r="F162" s="150">
        <f t="shared" si="15"/>
        <v>1450</v>
      </c>
      <c r="G162" s="150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Замена АКБ на пассажирском лифте.</v>
      </c>
    </row>
    <row r="163" spans="1:14" ht="28.5" customHeight="1">
      <c r="A163" s="149" t="str">
        <f t="shared" si="14"/>
        <v>Благоустройство придомовой территории (приобретение рассады).</v>
      </c>
      <c r="B163" s="149"/>
      <c r="C163" s="149"/>
      <c r="D163" s="149"/>
      <c r="E163" s="149"/>
      <c r="F163" s="150">
        <f t="shared" si="15"/>
        <v>5450</v>
      </c>
      <c r="G163" s="150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72</v>
      </c>
      <c r="N163" s="1" t="str">
        <v>Благоустройство придомовой территории (приобретение рассады).</v>
      </c>
    </row>
    <row r="164" spans="1:14" ht="28.5" customHeight="1">
      <c r="A164" s="149" t="str">
        <f t="shared" ref="A164:A187" si="18">IF(N164&gt;0,N164,0)</f>
        <v>Приобретение и установка таблички по пожарной безопасности.</v>
      </c>
      <c r="B164" s="149"/>
      <c r="C164" s="149"/>
      <c r="D164" s="149"/>
      <c r="E164" s="149"/>
      <c r="F164" s="150">
        <f t="shared" ref="F164:F187" si="19">IF(ISERROR(VLOOKUP(A164,$A$28:$J$72,6,FALSE)),0,VLOOKUP(A164,$A$28:$J$72,6,FALSE))</f>
        <v>250</v>
      </c>
      <c r="G164" s="150"/>
      <c r="H164" s="29" t="str">
        <f t="shared" si="16"/>
        <v>разово</v>
      </c>
      <c r="I164" s="151">
        <f t="shared" ref="I164:I187" si="20">VLOOKUP(A164,$A$28:$J$72,9,FALSE)</f>
        <v>1</v>
      </c>
      <c r="J164" s="151"/>
      <c r="M164" s="22" t="s">
        <v>72</v>
      </c>
      <c r="N164" s="1" t="str">
        <v>Приобретение и установка таблички по пожарной безопасности.</v>
      </c>
    </row>
    <row r="165" spans="1:14" ht="28.5" customHeight="1">
      <c r="A165" s="149" t="str">
        <f t="shared" si="18"/>
        <v>Ремонт прибора учета тепловой энергии.</v>
      </c>
      <c r="B165" s="149"/>
      <c r="C165" s="149"/>
      <c r="D165" s="149"/>
      <c r="E165" s="149"/>
      <c r="F165" s="150">
        <f t="shared" si="19"/>
        <v>1080.24</v>
      </c>
      <c r="G165" s="150"/>
      <c r="H165" s="29" t="str">
        <f t="shared" si="16"/>
        <v>разово</v>
      </c>
      <c r="I165" s="151">
        <f t="shared" si="20"/>
        <v>1</v>
      </c>
      <c r="J165" s="151"/>
      <c r="M165" s="22" t="s">
        <v>72</v>
      </c>
      <c r="N165" s="1" t="str">
        <v>Ремонт прибора учета тепловой энергии.</v>
      </c>
    </row>
    <row r="166" spans="1:14" ht="28.5" customHeight="1">
      <c r="A166" s="149" t="str">
        <f t="shared" si="18"/>
        <v>Монтаж системы диспетчеризации лифта.</v>
      </c>
      <c r="B166" s="149"/>
      <c r="C166" s="149"/>
      <c r="D166" s="149"/>
      <c r="E166" s="149"/>
      <c r="F166" s="150">
        <f t="shared" si="19"/>
        <v>39259</v>
      </c>
      <c r="G166" s="150"/>
      <c r="H166" s="29" t="str">
        <f t="shared" si="16"/>
        <v>разово</v>
      </c>
      <c r="I166" s="151">
        <f t="shared" si="20"/>
        <v>1</v>
      </c>
      <c r="J166" s="151"/>
      <c r="M166" s="22" t="s">
        <v>72</v>
      </c>
      <c r="N166" s="1" t="str">
        <v>Монтаж системы диспетчеризации лифта.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0">
        <f t="shared" si="19"/>
        <v>0</v>
      </c>
      <c r="G167" s="150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0">
        <f t="shared" si="19"/>
        <v>0</v>
      </c>
      <c r="G168" s="150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0">
        <f t="shared" si="19"/>
        <v>0</v>
      </c>
      <c r="G169" s="150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0">
        <f t="shared" si="19"/>
        <v>0</v>
      </c>
      <c r="G170" s="150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0">
        <f t="shared" si="19"/>
        <v>0</v>
      </c>
      <c r="G171" s="150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0">
        <f t="shared" si="19"/>
        <v>0</v>
      </c>
      <c r="G172" s="150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0">
        <f t="shared" si="19"/>
        <v>0</v>
      </c>
      <c r="G173" s="150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0">
        <f t="shared" si="19"/>
        <v>0</v>
      </c>
      <c r="G174" s="150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0">
        <f t="shared" si="19"/>
        <v>0</v>
      </c>
      <c r="G175" s="150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0">
        <f t="shared" si="19"/>
        <v>0</v>
      </c>
      <c r="G176" s="150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0">
        <f t="shared" si="19"/>
        <v>0</v>
      </c>
      <c r="G177" s="150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0">
        <f t="shared" si="19"/>
        <v>0</v>
      </c>
      <c r="G178" s="150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0">
        <f t="shared" si="19"/>
        <v>0</v>
      </c>
      <c r="G179" s="150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0">
        <f t="shared" si="19"/>
        <v>0</v>
      </c>
      <c r="G180" s="150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0">
        <f t="shared" si="19"/>
        <v>0</v>
      </c>
      <c r="G181" s="150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0">
        <f t="shared" si="19"/>
        <v>0</v>
      </c>
      <c r="G182" s="150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0">
        <f t="shared" si="19"/>
        <v>0</v>
      </c>
      <c r="G183" s="150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0">
        <f t="shared" si="19"/>
        <v>0</v>
      </c>
      <c r="G184" s="150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0">
        <f t="shared" si="19"/>
        <v>0</v>
      </c>
      <c r="G185" s="150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0">
        <f t="shared" si="19"/>
        <v>0</v>
      </c>
      <c r="G186" s="150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0">
        <f t="shared" si="19"/>
        <v>0</v>
      </c>
      <c r="G187" s="150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52" t="s">
        <v>188</v>
      </c>
      <c r="B190" s="152"/>
      <c r="C190" s="152"/>
      <c r="D190" s="152"/>
      <c r="E190" s="27">
        <f>SUM(F158:G187)</f>
        <v>66751.91</v>
      </c>
    </row>
    <row r="191" spans="1:14" ht="51.75" customHeight="1">
      <c r="A191" s="152" t="s">
        <v>187</v>
      </c>
      <c r="B191" s="152"/>
      <c r="C191" s="152"/>
      <c r="D191" s="152"/>
      <c r="E191" s="27">
        <f>E190+E154-E155</f>
        <v>-125787.51</v>
      </c>
    </row>
    <row r="192" spans="1:14">
      <c r="A192" s="104" t="s">
        <v>177</v>
      </c>
    </row>
    <row r="193" spans="1:10" ht="62.25" customHeight="1">
      <c r="A193" s="177" t="s">
        <v>186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75</v>
      </c>
    </row>
    <row r="195" spans="1:10" ht="18.75" customHeight="1">
      <c r="A195" s="176" t="str">
        <f>ПТО!F13</f>
        <v xml:space="preserve">  -  техническое освидетельствование лифта</v>
      </c>
      <c r="B195" s="176"/>
      <c r="C195" s="176"/>
      <c r="D195" s="176"/>
      <c r="E195" s="176"/>
      <c r="F195" s="176"/>
      <c r="G195" s="176"/>
      <c r="H195" s="49">
        <f>ПТО!G13</f>
        <v>8100</v>
      </c>
      <c r="I195" s="50" t="s">
        <v>75</v>
      </c>
    </row>
    <row r="196" spans="1:10" ht="18.75" customHeight="1">
      <c r="A196" s="176" t="str">
        <f>ПТО!F14</f>
        <v xml:space="preserve">  -  техническое обслуживание охранной сигнализации</v>
      </c>
      <c r="B196" s="176"/>
      <c r="C196" s="176"/>
      <c r="D196" s="176"/>
      <c r="E196" s="176"/>
      <c r="F196" s="176"/>
      <c r="G196" s="176"/>
      <c r="H196" s="49">
        <f>ПТО!G14</f>
        <v>4000</v>
      </c>
      <c r="I196" s="50" t="s">
        <v>75</v>
      </c>
    </row>
    <row r="197" spans="1:10" ht="18.75" customHeight="1">
      <c r="A197" s="176" t="str">
        <f>ПТО!F15</f>
        <v xml:space="preserve">  -  обслуживание ТП и кабельных линий</v>
      </c>
      <c r="B197" s="176"/>
      <c r="C197" s="176"/>
      <c r="D197" s="176"/>
      <c r="E197" s="176"/>
      <c r="F197" s="176"/>
      <c r="G197" s="176"/>
      <c r="H197" s="49">
        <f>ПТО!G15</f>
        <v>15000</v>
      </c>
      <c r="I197" s="50" t="s">
        <v>75</v>
      </c>
    </row>
    <row r="198" spans="1:10" ht="18.75" customHeight="1">
      <c r="A198" s="176" t="str">
        <f>ПТО!F16</f>
        <v xml:space="preserve">  -  передача бесхозных эл. сети и ТП</v>
      </c>
      <c r="B198" s="176"/>
      <c r="C198" s="176"/>
      <c r="D198" s="176"/>
      <c r="E198" s="176"/>
      <c r="F198" s="176"/>
      <c r="G198" s="176"/>
      <c r="H198" s="49">
        <f>ПТО!G16</f>
        <v>12000</v>
      </c>
      <c r="I198" s="52" t="s">
        <v>75</v>
      </c>
    </row>
    <row r="199" spans="1:10" ht="18.75" customHeight="1">
      <c r="A199" s="176" t="str">
        <f>ПТО!F17</f>
        <v xml:space="preserve">  -  благоустройство придомовой территории</v>
      </c>
      <c r="B199" s="176"/>
      <c r="C199" s="176"/>
      <c r="D199" s="176"/>
      <c r="E199" s="176"/>
      <c r="F199" s="176"/>
      <c r="G199" s="176"/>
      <c r="H199" s="49">
        <f>ПТО!G17</f>
        <v>5000</v>
      </c>
      <c r="I199" s="50" t="s">
        <v>75</v>
      </c>
    </row>
    <row r="200" spans="1:10" hidden="1">
      <c r="A200" s="176">
        <f>ПТО!F18</f>
        <v>0</v>
      </c>
      <c r="B200" s="176"/>
      <c r="C200" s="176"/>
      <c r="D200" s="176"/>
      <c r="E200" s="176"/>
      <c r="F200" s="176"/>
      <c r="G200" s="176"/>
      <c r="H200" s="49">
        <f>ПТО!G18</f>
        <v>0</v>
      </c>
      <c r="I200" s="50" t="s">
        <v>75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49">
        <f>ПТО!G19</f>
        <v>0</v>
      </c>
      <c r="I201" s="50" t="s">
        <v>75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49">
        <f>ПТО!G20</f>
        <v>0</v>
      </c>
      <c r="I202" s="50" t="s">
        <v>75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49">
        <f>ПТО!G21</f>
        <v>0</v>
      </c>
      <c r="I203" s="50" t="s">
        <v>75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49">
        <f>ПТО!G22</f>
        <v>0</v>
      </c>
      <c r="I204" s="50" t="s">
        <v>75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49">
        <f>ПТО!G23</f>
        <v>0</v>
      </c>
      <c r="I205" s="50" t="s">
        <v>75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75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75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75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75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75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75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75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75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45300</v>
      </c>
      <c r="I214" s="56" t="s">
        <v>80</v>
      </c>
    </row>
  </sheetData>
  <sheetProtection algorithmName="SHA-512" hashValue="rp+faF36TpNGma1zqE7k/kzRlOCs2wbxUYPgQ44f1ZqdI0/pyv/giEcAyQkogblcDBLjUsoU0CrWY8o0ilYaig==" saltValue="SKbIIyCX9qfc2sOOzX8v+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190</v>
      </c>
      <c r="G1" s="101">
        <f>-56378.42</f>
        <v>-56378.42</v>
      </c>
    </row>
    <row r="2" spans="1:12" ht="18.75" customHeight="1">
      <c r="A2" s="138" t="s">
        <v>73</v>
      </c>
      <c r="B2" s="117" t="s">
        <v>182</v>
      </c>
      <c r="C2" s="117">
        <v>1</v>
      </c>
      <c r="D2" s="119">
        <v>8100</v>
      </c>
      <c r="E2" s="131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3" t="s">
        <v>208</v>
      </c>
      <c r="B3" s="144" t="s">
        <v>206</v>
      </c>
      <c r="C3" s="144">
        <v>12</v>
      </c>
      <c r="D3" s="142">
        <v>8000</v>
      </c>
      <c r="E3" s="122"/>
      <c r="F3" s="30"/>
      <c r="G3" s="30"/>
      <c r="L3" s="33" t="str">
        <f t="shared" si="0"/>
        <v>ТР</v>
      </c>
    </row>
    <row r="4" spans="1:12" ht="18.75" customHeight="1">
      <c r="A4" s="121" t="s">
        <v>191</v>
      </c>
      <c r="B4" s="117" t="s">
        <v>183</v>
      </c>
      <c r="C4" s="118">
        <v>1</v>
      </c>
      <c r="D4" s="120">
        <v>1914</v>
      </c>
      <c r="E4" s="122" t="s">
        <v>192</v>
      </c>
      <c r="F4" s="30"/>
      <c r="G4" s="30"/>
      <c r="L4" s="33" t="str">
        <f t="shared" si="0"/>
        <v>ТР</v>
      </c>
    </row>
    <row r="5" spans="1:12" ht="18.75" customHeight="1">
      <c r="A5" s="123" t="s">
        <v>194</v>
      </c>
      <c r="B5" s="124" t="s">
        <v>183</v>
      </c>
      <c r="C5" s="118">
        <v>1</v>
      </c>
      <c r="D5" s="120">
        <v>1248.67</v>
      </c>
      <c r="E5" s="147" t="s">
        <v>195</v>
      </c>
      <c r="F5" s="44"/>
      <c r="G5" s="44"/>
      <c r="K5" s="46"/>
      <c r="L5" s="33" t="str">
        <f t="shared" si="0"/>
        <v>ТР</v>
      </c>
    </row>
    <row r="6" spans="1:12" ht="32.25" customHeight="1">
      <c r="A6" s="125" t="s">
        <v>196</v>
      </c>
      <c r="B6" s="126" t="s">
        <v>183</v>
      </c>
      <c r="C6" s="118">
        <v>1</v>
      </c>
      <c r="D6" s="120">
        <v>1450</v>
      </c>
      <c r="E6" s="147" t="s">
        <v>197</v>
      </c>
      <c r="F6" s="44"/>
      <c r="G6" s="44"/>
      <c r="K6" s="46"/>
      <c r="L6" s="33" t="str">
        <f t="shared" si="0"/>
        <v>ТР</v>
      </c>
    </row>
    <row r="7" spans="1:12" ht="27.75" customHeight="1">
      <c r="A7" s="127" t="s">
        <v>198</v>
      </c>
      <c r="B7" s="128" t="s">
        <v>183</v>
      </c>
      <c r="C7" s="118">
        <v>1</v>
      </c>
      <c r="D7" s="120">
        <v>5450</v>
      </c>
      <c r="E7" s="147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32" t="s">
        <v>193</v>
      </c>
      <c r="B8" s="146" t="s">
        <v>183</v>
      </c>
      <c r="C8" s="133">
        <v>1</v>
      </c>
      <c r="D8" s="134">
        <v>250</v>
      </c>
      <c r="E8" s="147" t="s">
        <v>202</v>
      </c>
      <c r="F8" s="45"/>
      <c r="G8" s="45"/>
      <c r="K8" s="43"/>
      <c r="L8" s="33" t="str">
        <f t="shared" si="0"/>
        <v>ТР</v>
      </c>
    </row>
    <row r="9" spans="1:12">
      <c r="A9" s="129" t="s">
        <v>200</v>
      </c>
      <c r="B9" s="130" t="s">
        <v>183</v>
      </c>
      <c r="C9" s="118">
        <v>1</v>
      </c>
      <c r="D9" s="46">
        <v>1080.24</v>
      </c>
      <c r="E9" s="145" t="s">
        <v>203</v>
      </c>
      <c r="F9" s="44"/>
      <c r="G9" s="44"/>
      <c r="K9" s="43"/>
      <c r="L9" s="33" t="str">
        <f t="shared" si="0"/>
        <v>ТР</v>
      </c>
    </row>
    <row r="10" spans="1:12">
      <c r="A10" s="135" t="s">
        <v>201</v>
      </c>
      <c r="B10" s="136" t="s">
        <v>183</v>
      </c>
      <c r="C10" s="133">
        <v>1</v>
      </c>
      <c r="D10" s="137">
        <v>39259</v>
      </c>
      <c r="E10" s="145" t="s">
        <v>204</v>
      </c>
      <c r="L10" s="33" t="str">
        <f t="shared" si="0"/>
        <v>ТР</v>
      </c>
    </row>
    <row r="11" spans="1:12" ht="94.5">
      <c r="A11" s="143"/>
      <c r="B11" s="144"/>
      <c r="C11" s="144"/>
      <c r="D11" s="142"/>
      <c r="E11" s="139"/>
      <c r="F11" s="111" t="s">
        <v>186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207</v>
      </c>
      <c r="G14" s="113">
        <v>4000</v>
      </c>
      <c r="L14" s="33">
        <f t="shared" si="0"/>
        <v>0</v>
      </c>
    </row>
    <row r="15" spans="1:12" ht="31.5">
      <c r="A15" s="30"/>
      <c r="F15" s="140" t="s">
        <v>77</v>
      </c>
      <c r="G15" s="141">
        <v>15000</v>
      </c>
      <c r="L15" s="33">
        <f t="shared" si="0"/>
        <v>0</v>
      </c>
    </row>
    <row r="16" spans="1:12" ht="15.75">
      <c r="A16" s="30"/>
      <c r="F16" s="140" t="s">
        <v>78</v>
      </c>
      <c r="G16" s="141">
        <v>12000</v>
      </c>
      <c r="L16" s="33">
        <f t="shared" si="0"/>
        <v>0</v>
      </c>
    </row>
    <row r="17" spans="1:12" ht="31.5">
      <c r="A17" s="30"/>
      <c r="F17" s="148" t="s">
        <v>185</v>
      </c>
      <c r="G17" s="141">
        <v>5000</v>
      </c>
      <c r="L17" s="33">
        <f t="shared" si="0"/>
        <v>0</v>
      </c>
    </row>
    <row r="18" spans="1:12" ht="15.75">
      <c r="A18" s="30"/>
      <c r="F18" s="140"/>
      <c r="G18" s="141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130109.4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130109.4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53859.24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53859.24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42966.36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42966.36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36309.599999999999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36309.599999999999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11800.68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11800.68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54464.4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54464.4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120729.48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120729.48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YdZv3B7vc6QTHIPdfCtNn152GxzdEBvmc7DVMUzTdYwoW0iJIG7WH+SzNIu7nY7de4TrZg1HOEOBbTqiSrdyXA==" saltValue="5KWmrXkmby+fJO9z3GWJx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84" sqref="D84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2521.5</v>
      </c>
    </row>
    <row r="2" spans="1:10" ht="15.75" customHeight="1">
      <c r="A2" s="70" t="s">
        <v>85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4</v>
      </c>
      <c r="C4" s="83">
        <v>169102.25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5</v>
      </c>
      <c r="C5" s="79">
        <f>SUM(C6:C8)</f>
        <v>582863.55999999994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6</v>
      </c>
      <c r="C6" s="83">
        <v>446702.55999999994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7</v>
      </c>
      <c r="C7" s="83">
        <f>F1*4.5*12</f>
        <v>136161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9</v>
      </c>
      <c r="C9" s="79">
        <f>SUM(C10:C14)</f>
        <v>593944.80000000005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10</v>
      </c>
      <c r="C10" s="83">
        <v>593944.80000000005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15</v>
      </c>
      <c r="C15" s="79">
        <f>C9</f>
        <v>593944.80000000005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18</v>
      </c>
      <c r="C18" s="79">
        <f>IF(C16&gt;0,0,IF(C4&gt;0,C4+C5-C9,C5-C2-C9))</f>
        <v>158021.00999999989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0"/>
      <c r="N20" s="62"/>
    </row>
    <row r="21" spans="1:15" ht="15.75" customHeight="1">
      <c r="A21" s="70" t="s">
        <v>103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0"/>
      <c r="N21" s="62"/>
    </row>
    <row r="22" spans="1:15" ht="15.75" customHeight="1">
      <c r="A22" s="70" t="s">
        <v>104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0"/>
      <c r="N22" s="62"/>
    </row>
    <row r="23" spans="1:15" ht="15.75" customHeight="1">
      <c r="A23" s="70" t="s">
        <v>105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0"/>
      <c r="N23" s="62"/>
    </row>
    <row r="24" spans="1:15" ht="18.75">
      <c r="A24" s="73" t="s">
        <v>165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9"/>
      <c r="N25" s="63"/>
    </row>
    <row r="26" spans="1:15" ht="18.75" customHeight="1">
      <c r="A26" s="70" t="s">
        <v>107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9"/>
      <c r="N26" s="63"/>
    </row>
    <row r="27" spans="1:15" ht="18.75" customHeight="1">
      <c r="A27" s="70" t="s">
        <v>108</v>
      </c>
      <c r="B27" s="75" t="s">
        <v>4</v>
      </c>
      <c r="C27" s="86">
        <v>68538.820000000007</v>
      </c>
      <c r="D27" s="81" t="s">
        <v>60</v>
      </c>
      <c r="E27" s="64"/>
      <c r="F27" s="64"/>
      <c r="G27" s="64"/>
      <c r="H27" s="64"/>
      <c r="I27" s="64"/>
      <c r="J27" s="64"/>
      <c r="M27" s="179"/>
      <c r="N27" s="63"/>
    </row>
    <row r="28" spans="1:15" ht="18.75" customHeight="1">
      <c r="A28" s="70" t="s">
        <v>109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9"/>
      <c r="N28" s="63"/>
    </row>
    <row r="29" spans="1:15" ht="18.75" customHeight="1">
      <c r="A29" s="70" t="s">
        <v>110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9"/>
      <c r="N29" s="63"/>
    </row>
    <row r="30" spans="1:15" ht="18.75" customHeight="1">
      <c r="A30" s="70" t="s">
        <v>111</v>
      </c>
      <c r="B30" s="75" t="s">
        <v>18</v>
      </c>
      <c r="C30" s="86">
        <v>37981.589999999902</v>
      </c>
      <c r="D30" s="81" t="s">
        <v>66</v>
      </c>
      <c r="E30" s="64"/>
      <c r="F30" s="64"/>
      <c r="G30" s="64"/>
      <c r="H30" s="64"/>
      <c r="I30" s="64"/>
      <c r="J30" s="64"/>
      <c r="M30" s="179"/>
      <c r="N30" s="63"/>
    </row>
    <row r="31" spans="1:15" ht="18.75" customHeight="1">
      <c r="A31" s="70" t="s">
        <v>112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9"/>
      <c r="N31" s="63"/>
    </row>
    <row r="32" spans="1:15" ht="18.75" customHeight="1">
      <c r="A32" s="70" t="s">
        <v>113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9"/>
      <c r="N32" s="63"/>
    </row>
    <row r="33" spans="1:15" ht="18.75" customHeight="1">
      <c r="A33" s="70" t="s">
        <v>114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9"/>
      <c r="N33" s="63"/>
    </row>
    <row r="34" spans="1:15" ht="18.75" customHeight="1">
      <c r="A34" s="70" t="s">
        <v>115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9"/>
      <c r="N34" s="63"/>
    </row>
    <row r="35" spans="1:15" ht="18.75">
      <c r="A35" s="73" t="s">
        <v>166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167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145348.22999999992</v>
      </c>
      <c r="F37" s="94" t="s">
        <v>170</v>
      </c>
      <c r="G37" s="66"/>
      <c r="H37" s="66"/>
      <c r="I37" s="66"/>
      <c r="L37" s="63"/>
      <c r="M37" s="178"/>
      <c r="N37" s="63"/>
      <c r="O37" s="63"/>
    </row>
    <row r="38" spans="1:15" ht="18.75" customHeight="1">
      <c r="A38" s="70" t="s">
        <v>116</v>
      </c>
      <c r="B38" s="78" t="s">
        <v>37</v>
      </c>
      <c r="C38" s="90">
        <v>127498.447368421</v>
      </c>
      <c r="D38" s="94" t="s">
        <v>168</v>
      </c>
      <c r="E38" s="68"/>
      <c r="G38" s="67"/>
      <c r="H38" s="67"/>
      <c r="L38" s="63"/>
      <c r="M38" s="178"/>
      <c r="N38" s="63"/>
      <c r="O38" s="63"/>
    </row>
    <row r="39" spans="1:15" ht="18.75" customHeight="1">
      <c r="A39" s="70" t="s">
        <v>117</v>
      </c>
      <c r="B39" s="78" t="s">
        <v>38</v>
      </c>
      <c r="C39" s="91">
        <v>152934.60000000003</v>
      </c>
      <c r="D39" s="94" t="s">
        <v>169</v>
      </c>
      <c r="E39" s="68"/>
      <c r="G39" s="67"/>
      <c r="H39" s="67"/>
      <c r="L39" s="63"/>
      <c r="M39" s="178"/>
      <c r="N39" s="63"/>
      <c r="O39" s="63"/>
    </row>
    <row r="40" spans="1:15" ht="18.75" customHeight="1">
      <c r="A40" s="70" t="s">
        <v>118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8"/>
      <c r="N40" s="63"/>
      <c r="O40" s="63"/>
    </row>
    <row r="41" spans="1:15" ht="18.75" customHeight="1">
      <c r="A41" s="70" t="s">
        <v>119</v>
      </c>
      <c r="B41" s="78" t="s">
        <v>40</v>
      </c>
      <c r="C41" s="93">
        <f>E37</f>
        <v>145348.22999999992</v>
      </c>
      <c r="D41" s="80" t="s">
        <v>59</v>
      </c>
      <c r="E41" s="68"/>
      <c r="G41" s="67"/>
      <c r="H41" s="67"/>
      <c r="L41" s="63"/>
      <c r="M41" s="178"/>
      <c r="N41" s="63"/>
      <c r="O41" s="63"/>
    </row>
    <row r="42" spans="1:15" ht="18.75" customHeight="1">
      <c r="A42" s="70" t="s">
        <v>120</v>
      </c>
      <c r="B42" s="78" t="s">
        <v>41</v>
      </c>
      <c r="C42" s="93">
        <f>E37</f>
        <v>145348.22999999992</v>
      </c>
      <c r="D42" s="80" t="s">
        <v>59</v>
      </c>
      <c r="E42" s="68"/>
      <c r="G42" s="67"/>
      <c r="H42" s="67"/>
      <c r="L42" s="63"/>
      <c r="M42" s="178"/>
      <c r="N42" s="63"/>
      <c r="O42" s="63"/>
    </row>
    <row r="43" spans="1:15" ht="18.75" customHeight="1">
      <c r="A43" s="70" t="s">
        <v>121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8"/>
      <c r="N43" s="63"/>
      <c r="O43" s="63"/>
    </row>
    <row r="44" spans="1:15" ht="30" customHeight="1">
      <c r="A44" s="70" t="s">
        <v>122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8"/>
      <c r="N44" s="63"/>
      <c r="O44" s="63"/>
    </row>
    <row r="45" spans="1:15" ht="18.75">
      <c r="A45" s="73" t="s">
        <v>124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69407.830000000016</v>
      </c>
      <c r="F45" s="94" t="s">
        <v>170</v>
      </c>
      <c r="G45" s="66"/>
      <c r="H45" s="66"/>
      <c r="L45" s="63"/>
      <c r="M45" s="178"/>
      <c r="N45" s="63"/>
      <c r="O45" s="63"/>
    </row>
    <row r="46" spans="1:15" ht="18.75" customHeight="1">
      <c r="A46" s="73" t="s">
        <v>125</v>
      </c>
      <c r="B46" s="78" t="s">
        <v>37</v>
      </c>
      <c r="C46" s="90">
        <v>5129.920916481894</v>
      </c>
      <c r="D46" s="94" t="s">
        <v>171</v>
      </c>
      <c r="E46" s="68"/>
      <c r="G46" s="67"/>
      <c r="H46" s="67"/>
      <c r="L46" s="63"/>
      <c r="M46" s="178"/>
      <c r="N46" s="63"/>
      <c r="O46" s="63"/>
    </row>
    <row r="47" spans="1:15" ht="18.75" customHeight="1">
      <c r="A47" s="73" t="s">
        <v>126</v>
      </c>
      <c r="B47" s="78" t="s">
        <v>38</v>
      </c>
      <c r="C47" s="91">
        <v>80304.770000000019</v>
      </c>
      <c r="D47" s="94" t="s">
        <v>169</v>
      </c>
      <c r="E47" s="68"/>
      <c r="G47" s="67"/>
      <c r="H47" s="67"/>
      <c r="L47" s="63"/>
      <c r="M47" s="178"/>
      <c r="N47" s="63"/>
      <c r="O47" s="63"/>
    </row>
    <row r="48" spans="1:15" ht="18.75" customHeight="1">
      <c r="A48" s="73" t="s">
        <v>127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8"/>
      <c r="N48" s="63"/>
      <c r="O48" s="63"/>
    </row>
    <row r="49" spans="1:15" ht="18.75" customHeight="1">
      <c r="A49" s="73" t="s">
        <v>128</v>
      </c>
      <c r="B49" s="78" t="s">
        <v>40</v>
      </c>
      <c r="C49" s="93">
        <f>E45</f>
        <v>69407.830000000016</v>
      </c>
      <c r="D49" s="80" t="s">
        <v>59</v>
      </c>
      <c r="E49" s="68"/>
      <c r="G49" s="67"/>
      <c r="H49" s="67"/>
      <c r="L49" s="63"/>
      <c r="M49" s="178"/>
      <c r="N49" s="63"/>
      <c r="O49" s="63"/>
    </row>
    <row r="50" spans="1:15" ht="18.75" customHeight="1">
      <c r="A50" s="73" t="s">
        <v>129</v>
      </c>
      <c r="B50" s="78" t="s">
        <v>41</v>
      </c>
      <c r="C50" s="93">
        <f>E45</f>
        <v>69407.830000000016</v>
      </c>
      <c r="D50" s="80" t="s">
        <v>59</v>
      </c>
      <c r="E50" s="68"/>
      <c r="G50" s="67"/>
      <c r="H50" s="67"/>
      <c r="L50" s="63"/>
      <c r="M50" s="178"/>
      <c r="N50" s="63"/>
      <c r="O50" s="63"/>
    </row>
    <row r="51" spans="1:15" ht="18.75" customHeight="1">
      <c r="A51" s="73" t="s">
        <v>130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8"/>
      <c r="N51" s="63"/>
      <c r="O51" s="63"/>
    </row>
    <row r="52" spans="1:15" ht="29.25" customHeight="1">
      <c r="A52" s="73" t="s">
        <v>131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8"/>
      <c r="N52" s="63"/>
      <c r="O52" s="63"/>
    </row>
    <row r="53" spans="1:15" ht="18.75">
      <c r="A53" s="73" t="s">
        <v>132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82651.770000000019</v>
      </c>
      <c r="F53" s="94" t="s">
        <v>170</v>
      </c>
      <c r="G53" s="66"/>
      <c r="H53" s="66"/>
      <c r="L53" s="63"/>
      <c r="M53" s="178"/>
      <c r="N53" s="63"/>
      <c r="O53" s="63"/>
    </row>
    <row r="54" spans="1:15" ht="18.75" customHeight="1">
      <c r="A54" s="73" t="s">
        <v>133</v>
      </c>
      <c r="B54" s="75" t="s">
        <v>37</v>
      </c>
      <c r="C54" s="98">
        <v>5356.56318859365</v>
      </c>
      <c r="D54" s="94" t="s">
        <v>171</v>
      </c>
      <c r="E54" s="69"/>
      <c r="F54" s="89"/>
      <c r="G54" s="64"/>
      <c r="H54" s="64"/>
      <c r="L54" s="63"/>
      <c r="M54" s="178"/>
      <c r="N54" s="63"/>
      <c r="O54" s="63"/>
    </row>
    <row r="55" spans="1:15" ht="18.75" customHeight="1">
      <c r="A55" s="73" t="s">
        <v>134</v>
      </c>
      <c r="B55" s="75" t="s">
        <v>38</v>
      </c>
      <c r="C55" s="86">
        <v>92017.000000000015</v>
      </c>
      <c r="D55" s="94" t="s">
        <v>169</v>
      </c>
      <c r="E55" s="69"/>
      <c r="G55" s="64"/>
      <c r="H55" s="64"/>
      <c r="L55" s="63"/>
      <c r="M55" s="178"/>
      <c r="N55" s="63"/>
      <c r="O55" s="63"/>
    </row>
    <row r="56" spans="1:15" ht="18.75" customHeight="1">
      <c r="A56" s="73" t="s">
        <v>135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8"/>
      <c r="N56" s="63"/>
      <c r="O56" s="63"/>
    </row>
    <row r="57" spans="1:15" ht="18.75" customHeight="1">
      <c r="A57" s="73" t="s">
        <v>136</v>
      </c>
      <c r="B57" s="75" t="s">
        <v>40</v>
      </c>
      <c r="C57" s="93">
        <f>E53</f>
        <v>82651.770000000019</v>
      </c>
      <c r="D57" s="80" t="s">
        <v>59</v>
      </c>
      <c r="E57" s="69"/>
      <c r="G57" s="64"/>
      <c r="H57" s="64"/>
      <c r="L57" s="63"/>
      <c r="M57" s="178"/>
      <c r="N57" s="63"/>
      <c r="O57" s="63"/>
    </row>
    <row r="58" spans="1:15" ht="18.75" customHeight="1">
      <c r="A58" s="73" t="s">
        <v>137</v>
      </c>
      <c r="B58" s="75" t="s">
        <v>41</v>
      </c>
      <c r="C58" s="93">
        <f>E53</f>
        <v>82651.770000000019</v>
      </c>
      <c r="D58" s="80" t="s">
        <v>59</v>
      </c>
      <c r="E58" s="69"/>
      <c r="G58" s="64"/>
      <c r="H58" s="64"/>
      <c r="L58" s="63"/>
      <c r="M58" s="178"/>
      <c r="N58" s="63"/>
      <c r="O58" s="63"/>
    </row>
    <row r="59" spans="1:15" ht="18.75" customHeight="1">
      <c r="A59" s="73" t="s">
        <v>138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8"/>
      <c r="N59" s="63"/>
      <c r="O59" s="63"/>
    </row>
    <row r="60" spans="1:15" ht="33.75" customHeight="1">
      <c r="A60" s="73" t="s">
        <v>139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8"/>
      <c r="N60" s="63"/>
      <c r="O60" s="63"/>
    </row>
    <row r="61" spans="1:15" ht="15.75">
      <c r="A61" s="73" t="s">
        <v>140</v>
      </c>
      <c r="B61" s="77" t="s">
        <v>81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37</v>
      </c>
      <c r="C62" s="98">
        <v>0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38</v>
      </c>
      <c r="C63" s="86">
        <v>0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144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145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146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147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37</v>
      </c>
      <c r="C70" s="98">
        <v>0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38</v>
      </c>
      <c r="C71" s="86">
        <v>0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152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153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154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155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>
        <f>IF(E77&gt;0,"Предоставляется",0)</f>
        <v>0</v>
      </c>
      <c r="D77" s="96" t="s">
        <v>84</v>
      </c>
      <c r="E77" s="95">
        <v>0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37</v>
      </c>
      <c r="C78" s="98">
        <v>0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38</v>
      </c>
      <c r="C79" s="86">
        <v>0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160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161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162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163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47</v>
      </c>
      <c r="C4" s="106">
        <v>33566.589999999997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2021-03-26T08:05:09Z</dcterms:modified>
</cp:coreProperties>
</file>