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5" i="1"/>
  <c r="A123" i="1"/>
  <c r="A121" i="1"/>
  <c r="A120" i="1"/>
  <c r="G118" i="1"/>
  <c r="F118" i="1"/>
  <c r="D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9" i="1"/>
  <c r="A96" i="1"/>
  <c r="A95" i="1"/>
  <c r="G94" i="1"/>
  <c r="D94" i="1"/>
  <c r="A94" i="1"/>
  <c r="K94" i="1"/>
  <c r="A114" i="1" l="1"/>
  <c r="A105" i="1"/>
  <c r="A115" i="1"/>
  <c r="A111" i="1"/>
  <c r="D110" i="1"/>
  <c r="A112" i="1"/>
  <c r="A116" i="1"/>
  <c r="A110" i="1"/>
  <c r="F110" i="1"/>
  <c r="A113" i="1"/>
  <c r="A97" i="1"/>
  <c r="F102" i="1"/>
  <c r="A134" i="1"/>
  <c r="A137" i="1"/>
  <c r="A109" i="1"/>
  <c r="A135" i="1"/>
  <c r="F94" i="1"/>
  <c r="A101" i="1"/>
  <c r="A118" i="1"/>
  <c r="A119" i="1"/>
  <c r="A124" i="1"/>
  <c r="F134" i="1"/>
  <c r="A139" i="1"/>
  <c r="A106" i="1"/>
  <c r="A138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H167" i="1"/>
  <c r="F180" i="1"/>
  <c r="F178" i="1"/>
  <c r="H178" i="1"/>
  <c r="H166" i="1"/>
  <c r="H187" i="1"/>
  <c r="H182" i="1"/>
  <c r="F181" i="1"/>
  <c r="F187" i="1"/>
  <c r="H181" i="1"/>
  <c r="F175" i="1"/>
  <c r="F167" i="1"/>
  <c r="F184" i="1"/>
  <c r="F177" i="1"/>
  <c r="H170" i="1"/>
  <c r="H165" i="1"/>
  <c r="H177" i="1"/>
  <c r="F179" i="1"/>
  <c r="F171" i="1"/>
  <c r="H179" i="1"/>
  <c r="F170" i="1"/>
  <c r="F165" i="1"/>
  <c r="H186" i="1"/>
  <c r="H171" i="1"/>
  <c r="F186" i="1"/>
  <c r="H176" i="1"/>
  <c r="F168" i="1"/>
  <c r="H184" i="1"/>
  <c r="H173" i="1"/>
  <c r="F172" i="1"/>
  <c r="H164" i="1"/>
  <c r="H168" i="1"/>
  <c r="F173" i="1"/>
  <c r="F176" i="1"/>
  <c r="F185" i="1"/>
  <c r="F164" i="1"/>
  <c r="F182" i="1"/>
  <c r="H169" i="1"/>
  <c r="F169" i="1"/>
  <c r="H185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<sst xmlns="http://schemas.openxmlformats.org/spreadsheetml/2006/main" count="571" uniqueCount="217">
  <si>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</si>
  <si>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</si>
  <si>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</si>
  <si>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</si>
  <si>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</si>
  <si>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</si>
  <si>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</si>
  <si>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</si>
  <si>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</si>
  <si>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</si>
  <si>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</si>
  <si>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</si>
  <si>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</si>
  <si>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</si>
  <si>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</si>
  <si>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</si>
  <si>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</si>
  <si>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</si>
  <si>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</si>
  <si>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</si>
  <si>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</si>
  <si>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</si>
  <si>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</si>
  <si>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</si>
  <si>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</si>
  <si>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</si>
  <si>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</si>
  <si>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</si>
  <si>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</si>
  <si>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</si>
  <si>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</si>
  <si>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</si>
  <si>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</si>
  <si>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</si>
  <si>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</si>
  <si>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</si>
  <si>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</si>
  <si>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</si>
  <si>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</si>
  <si>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</si>
  <si>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</si>
  <si>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</si>
  <si>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</si>
  <si>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</si>
  <si>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</si>
  <si>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</si>
  <si>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</si>
  <si>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</si>
  <si>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</si>
  <si>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</si>
  <si>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</si>
  <si>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</si>
  <si>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</si>
  <si>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</si>
  <si>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</si>
  <si>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</si>
  <si>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</si>
  <si>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</si>
  <si>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</si>
  <si>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</si>
  <si>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</si>
  <si>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</si>
  <si>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</si>
  <si>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</si>
  <si>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</si>
  <si>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</si>
  <si>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</si>
  <si>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</si>
  <si>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</si>
  <si>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</si>
  <si>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</si>
  <si>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</si>
  <si>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</si>
  <si>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</si>
  <si>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</si>
  <si>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</si>
  <si>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</si>
  <si>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</si>
  <si>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</si>
  <si>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</si>
  <si>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</si>
  <si>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</si>
  <si>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</si>
  <si>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</si>
  <si>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</si>
  <si>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</si>
  <si>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</si>
  <si>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</si>
  <si>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</si>
  <si>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</si>
  <si>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</si>
  <si>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</si>
  <si>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</si>
  <si>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</si>
  <si>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</si>
  <si>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</si>
  <si>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</si>
  <si>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</si>
  <si>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</si>
  <si>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</si>
  <si>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</si>
  <si>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</si>
  <si>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</si>
  <si>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</si>
  <si>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</si>
  <si>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</si>
  <si>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</si>
  <si>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</si>
  <si>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</si>
  <si>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</si>
  <si>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</si>
  <si>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</si>
  <si>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</si>
  <si>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</si>
  <si>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</si>
  <si>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</si>
  <si>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</si>
  <si>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</si>
  <si>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</si>
  <si>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</si>
  <si>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</si>
  <si>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</si>
  <si>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</si>
  <si>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</si>
  <si>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</si>
  <si>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</si>
  <si>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</si>
  <si>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</si>
  <si>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</si>
  <si>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</si>
  <si>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</si>
  <si>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</si>
  <si>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</si>
  <si>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</si>
  <si>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</si>
  <si>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</si>
  <si>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</si>
  <si>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</si>
  <si>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</si>
  <si>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</si>
  <si>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</si>
  <si>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</si>
  <si>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</si>
  <si>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</si>
  <si>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</si>
  <si>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</si>
  <si>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</si>
  <si>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</si>
  <si>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</si>
  <si>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</si>
  <si>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</si>
  <si>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</si>
  <si>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</si>
  <si>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</si>
  <si>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</si>
  <si>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</si>
  <si>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</si>
  <si>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</si>
  <si>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</si>
  <si>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</si>
  <si>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</si>
  <si>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</si>
  <si>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</si>
  <si>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</si>
  <si>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</si>
  <si>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</si>
  <si>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</si>
  <si>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</si>
  <si>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</si>
  <si>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</si>
  <si>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</si>
  <si>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</si>
  <si>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</si>
  <si>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</si>
  <si>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</si>
  <si>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</si>
  <si>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разово</t>
  </si>
  <si>
    <t>Отчет об исполнении договора управления многоквартирного дома 
Юбилейный, 121</t>
  </si>
  <si>
    <t>Отчет об исполнении договора управления многоквартирного дома 
Юбилейный, 121 в части текущего ремонта</t>
  </si>
  <si>
    <t>Работы (услуги) по управлению многоквартирным домом</t>
  </si>
  <si>
    <t>Техническое освидетельствование лифтов.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</si>
  <si>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</si>
  <si>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</si>
  <si>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</si>
  <si>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>Техническое обслуживание охранной сигнализации.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</si>
  <si>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</si>
  <si>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</si>
  <si>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подъездах</t>
  </si>
  <si>
    <t xml:space="preserve">  -  генеральная уборка в подъездах</t>
  </si>
  <si>
    <t xml:space="preserve">  -  монтаж системы видеонаблюдения</t>
  </si>
  <si>
    <t xml:space="preserve">  -  ремонт подъездов</t>
  </si>
  <si>
    <t>ежемесячно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</si>
  <si>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</si>
  <si>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</si>
  <si>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</si>
  <si>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</si>
  <si>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</si>
  <si>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Проведение новогоднего праздника и приобретение подарков.</t>
  </si>
  <si>
    <t>АВР 1/20 от 19.12.2019</t>
  </si>
  <si>
    <t>АВР 2/20 от 27.12.2019, счет №5 от 27.12.2019</t>
  </si>
  <si>
    <t>Механизированная уборка снега с придомовой территории (март).</t>
  </si>
  <si>
    <t>Механизированная уборка снега с придомовой территории (январь).</t>
  </si>
  <si>
    <t>Приобретение и установка таблички по пожарной безопасности.</t>
  </si>
  <si>
    <t>Благоустройство придомовой территории (покраска малых форм).</t>
  </si>
  <si>
    <t>АВР 3/20 от 02.03.2020, счет №3 от 02.03.2020</t>
  </si>
  <si>
    <t>Замена прибора учета электрической энергии (6 шт.), трансформатора тока (18 шт.) во ВРУ.</t>
  </si>
  <si>
    <t>АВР 4/20 от 14.05.2020</t>
  </si>
  <si>
    <t>АВР 5/20 от 14.03.2020, счет от 12.03.2020</t>
  </si>
  <si>
    <t>АВР 6/20 от 04.06.2020, счет №1336 от 10.02.2020</t>
  </si>
  <si>
    <t>Ремонт стояка полотенцесушителя (кв. 65).</t>
  </si>
  <si>
    <t>АВР 7/20 от 31.07.2020, счет №60 от 06.07.2020</t>
  </si>
  <si>
    <t>АВР 8/20 от 31.08.2020, счет №42 от 16.04.2020</t>
  </si>
  <si>
    <t>Ремонт прибора учета тепловой энергии.</t>
  </si>
  <si>
    <t>АВР 9/20 от 31.10.2020, счет №196 от 26.08.2020</t>
  </si>
  <si>
    <t>АВР 10/20 от 31.12.2020</t>
  </si>
  <si>
    <t>АВР 11/20 от 31.12.2020</t>
  </si>
  <si>
    <t>Приобретение и  замена ОДПУ ХВС.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</si>
</sst>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9" fillId="0" borderId="0"/>
  </cellStyleXfs>
  <cellXfs count="190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4" fontId="23" fillId="0" borderId="0" xfId="0" applyNumberFormat="1" applyFont="1" applyFill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41" fillId="0" borderId="0" xfId="0" applyNumberFormat="1" applyFont="1"/>
    <xf numFmtId="4" fontId="16" fillId="0" borderId="0" xfId="6" applyNumberFormat="1" applyFill="1" applyBorder="1" applyAlignment="1"/>
    <xf numFmtId="4" fontId="31" fillId="0" borderId="0" xfId="6" applyNumberFormat="1" applyFont="1" applyFill="1" applyBorder="1" applyAlignment="1"/>
    <xf numFmtId="0" fontId="16" fillId="0" borderId="0" xfId="6" applyFill="1" applyBorder="1" applyAlignment="1">
      <alignment horizontal="center"/>
    </xf>
    <xf numFmtId="0" fontId="31" fillId="0" borderId="0" xfId="6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4" fillId="0" borderId="0" xfId="6" applyFont="1" applyFill="1" applyBorder="1" applyAlignment="1"/>
    <xf numFmtId="0" fontId="23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4" fontId="24" fillId="0" borderId="0" xfId="0" applyNumberFormat="1" applyFont="1" applyFill="1"/>
    <xf numFmtId="0" fontId="13" fillId="0" borderId="0" xfId="6" applyFont="1" applyFill="1" applyBorder="1" applyAlignment="1">
      <alignment wrapText="1"/>
    </xf>
    <xf numFmtId="0" fontId="13" fillId="0" borderId="0" xfId="6" applyFont="1" applyFill="1" applyBorder="1" applyAlignment="1">
      <alignment horizontal="center"/>
    </xf>
    <xf numFmtId="0" fontId="13" fillId="0" borderId="0" xfId="6" applyFont="1" applyFill="1" applyBorder="1"/>
    <xf numFmtId="0" fontId="12" fillId="0" borderId="0" xfId="6" applyFont="1" applyFill="1" applyBorder="1"/>
    <xf numFmtId="0" fontId="10" fillId="0" borderId="0" xfId="12" applyFont="1" applyFill="1" applyBorder="1" applyAlignment="1">
      <alignment wrapText="1"/>
    </xf>
    <xf numFmtId="0" fontId="10" fillId="0" borderId="0" xfId="12" applyFont="1" applyFill="1" applyBorder="1" applyAlignment="1">
      <alignment horizontal="center"/>
    </xf>
    <xf numFmtId="0" fontId="11" fillId="0" borderId="0" xfId="12" applyFill="1" applyBorder="1" applyAlignment="1">
      <alignment horizontal="center"/>
    </xf>
    <xf numFmtId="4" fontId="11" fillId="0" borderId="0" xfId="12" applyNumberFormat="1" applyFill="1" applyBorder="1" applyAlignment="1"/>
    <xf numFmtId="0" fontId="8" fillId="0" borderId="0" xfId="12" applyFont="1" applyFill="1" applyBorder="1"/>
    <xf numFmtId="0" fontId="7" fillId="0" borderId="0" xfId="12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12" applyFont="1" applyFill="1" applyBorder="1"/>
    <xf numFmtId="0" fontId="0" fillId="0" borderId="0" xfId="0" applyFill="1" applyBorder="1" applyAlignment="1"/>
    <xf numFmtId="0" fontId="0" fillId="0" borderId="0" xfId="0" applyFill="1"/>
    <xf numFmtId="0" fontId="11" fillId="0" borderId="0" xfId="12" applyFont="1" applyFill="1" applyBorder="1" applyAlignment="1">
      <alignment horizontal="center"/>
    </xf>
    <xf numFmtId="0" fontId="6" fillId="0" borderId="0" xfId="12" applyFont="1" applyFill="1" applyBorder="1"/>
    <xf numFmtId="0" fontId="5" fillId="0" borderId="0" xfId="12" applyFont="1" applyFill="1" applyBorder="1" applyAlignment="1">
      <alignment wrapText="1"/>
    </xf>
    <xf numFmtId="0" fontId="5" fillId="0" borderId="0" xfId="12" applyFont="1" applyFill="1" applyBorder="1" applyAlignment="1">
      <alignment horizontal="center"/>
    </xf>
    <xf numFmtId="0" fontId="4" fillId="0" borderId="0" xfId="12" applyFont="1" applyFill="1" applyBorder="1"/>
    <xf numFmtId="0" fontId="31" fillId="0" borderId="0" xfId="13" applyFont="1" applyFill="1" applyBorder="1" applyAlignment="1"/>
    <xf numFmtId="0" fontId="9" fillId="0" borderId="0" xfId="13" applyFont="1" applyFill="1" applyBorder="1" applyAlignment="1">
      <alignment horizontal="center"/>
    </xf>
    <xf numFmtId="0" fontId="9" fillId="0" borderId="0" xfId="13" applyFill="1" applyBorder="1" applyAlignment="1">
      <alignment horizontal="center"/>
    </xf>
    <xf numFmtId="4" fontId="9" fillId="0" borderId="0" xfId="13" applyNumberFormat="1" applyFill="1" applyBorder="1" applyAlignment="1"/>
    <xf numFmtId="0" fontId="31" fillId="0" borderId="0" xfId="13" applyFont="1" applyFill="1" applyBorder="1"/>
    <xf numFmtId="0" fontId="2" fillId="0" borderId="0" xfId="9" applyFont="1" applyFill="1" applyBorder="1" applyAlignment="1"/>
    <xf numFmtId="0" fontId="3" fillId="0" borderId="0" xfId="9" applyFont="1" applyFill="1" applyBorder="1" applyAlignment="1">
      <alignment horizontal="center"/>
    </xf>
    <xf numFmtId="0" fontId="31" fillId="0" borderId="0" xfId="9" applyFont="1" applyFill="1" applyBorder="1" applyAlignment="1">
      <alignment horizontal="center"/>
    </xf>
    <xf numFmtId="4" fontId="31" fillId="0" borderId="0" xfId="9" applyNumberFormat="1" applyFont="1" applyFill="1" applyBorder="1" applyAlignment="1"/>
    <xf numFmtId="4" fontId="31" fillId="0" borderId="0" xfId="0" applyNumberFormat="1" applyFont="1" applyFill="1" applyBorder="1" applyAlignment="1">
      <alignment horizontal="left"/>
    </xf>
    <xf numFmtId="0" fontId="1" fillId="0" borderId="0" xfId="12" applyFont="1" applyFill="1" applyBorder="1" applyAlignment="1">
      <alignment wrapText="1"/>
    </xf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5 3" xfId="13"/>
    <cellStyle name="Обычный 6" xfId="6"/>
    <cellStyle name="Обычный 6 2" xfId="11"/>
    <cellStyle name="Обычный 6 3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1" sqref="K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0" t="s">
        <v>177</v>
      </c>
      <c r="B2" s="180"/>
      <c r="C2" s="180"/>
      <c r="D2" s="180"/>
      <c r="E2" s="180"/>
      <c r="F2" s="180"/>
      <c r="G2" s="180"/>
      <c r="H2" s="180"/>
      <c r="I2" s="180"/>
      <c r="J2" s="180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43831</v>
      </c>
      <c r="K4" s="108"/>
      <c r="L4" s="108"/>
      <c r="M4" s="108"/>
      <c r="N4" s="108"/>
    </row>
    <row r="5" spans="1:18">
      <c r="A5" s="1" t="s">
        <v>1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7" t="s">
        <v>2</v>
      </c>
      <c r="B8" s="178"/>
      <c r="C8" s="178"/>
      <c r="D8" s="178"/>
      <c r="E8" s="178"/>
      <c r="F8" s="178"/>
      <c r="G8" s="178"/>
      <c r="H8" s="178"/>
      <c r="I8" s="179"/>
      <c r="J8" s="17">
        <f t="shared" ref="J8:J24" si="0">VLOOKUP(O8,АО,3,FALSE)</f>
        <v>0</v>
      </c>
      <c r="K8" s="108"/>
      <c r="L8" s="181"/>
      <c r="M8" s="108"/>
      <c r="N8" s="108"/>
      <c r="O8" s="69" t="s">
        <v>81</v>
      </c>
      <c r="R8" s="16"/>
    </row>
    <row r="9" spans="1:18" ht="18.75" customHeight="1" outlineLevel="1">
      <c r="A9" s="177" t="s">
        <v>3</v>
      </c>
      <c r="B9" s="178"/>
      <c r="C9" s="178"/>
      <c r="D9" s="178"/>
      <c r="E9" s="178"/>
      <c r="F9" s="178"/>
      <c r="G9" s="178"/>
      <c r="H9" s="178"/>
      <c r="I9" s="179"/>
      <c r="J9" s="17">
        <f t="shared" si="0"/>
        <v>0</v>
      </c>
      <c r="K9" s="108"/>
      <c r="L9" s="181"/>
      <c r="M9" s="108"/>
      <c r="N9" s="108"/>
      <c r="O9" s="69" t="s">
        <v>82</v>
      </c>
    </row>
    <row r="10" spans="1:18" ht="18.75" customHeight="1" outlineLevel="1">
      <c r="A10" s="177" t="s">
        <v>4</v>
      </c>
      <c r="B10" s="178"/>
      <c r="C10" s="178"/>
      <c r="D10" s="178"/>
      <c r="E10" s="178"/>
      <c r="F10" s="178"/>
      <c r="G10" s="178"/>
      <c r="H10" s="178"/>
      <c r="I10" s="179"/>
      <c r="J10" s="17">
        <f t="shared" si="0"/>
        <v>328368.74200000009</v>
      </c>
      <c r="K10" s="108"/>
      <c r="L10" s="181"/>
      <c r="M10" s="108"/>
      <c r="N10" s="108"/>
      <c r="O10" s="69" t="s">
        <v>83</v>
      </c>
    </row>
    <row r="11" spans="1:18" outlineLevel="1">
      <c r="A11" s="177" t="s">
        <v>5</v>
      </c>
      <c r="B11" s="178"/>
      <c r="C11" s="178"/>
      <c r="D11" s="178"/>
      <c r="E11" s="178"/>
      <c r="F11" s="178"/>
      <c r="G11" s="178"/>
      <c r="H11" s="178"/>
      <c r="I11" s="179"/>
      <c r="J11" s="17">
        <f t="shared" si="0"/>
        <v>1270464.6120000002</v>
      </c>
      <c r="K11" s="108"/>
      <c r="L11" s="181"/>
      <c r="M11" s="108"/>
      <c r="N11" s="108"/>
      <c r="O11" s="69" t="s">
        <v>84</v>
      </c>
    </row>
    <row r="12" spans="1:18" ht="18.75" customHeight="1" outlineLevel="1">
      <c r="A12" s="177" t="s">
        <v>6</v>
      </c>
      <c r="B12" s="178"/>
      <c r="C12" s="178"/>
      <c r="D12" s="178"/>
      <c r="E12" s="178"/>
      <c r="F12" s="178"/>
      <c r="G12" s="178"/>
      <c r="H12" s="178"/>
      <c r="I12" s="179"/>
      <c r="J12" s="17">
        <f t="shared" si="0"/>
        <v>975718.14000000013</v>
      </c>
      <c r="K12" s="108"/>
      <c r="L12" s="181"/>
      <c r="M12" s="108"/>
      <c r="N12" s="108"/>
      <c r="O12" s="69" t="s">
        <v>85</v>
      </c>
    </row>
    <row r="13" spans="1:18" ht="18.75" customHeight="1" outlineLevel="1">
      <c r="A13" s="177" t="s">
        <v>7</v>
      </c>
      <c r="B13" s="178"/>
      <c r="C13" s="178"/>
      <c r="D13" s="178"/>
      <c r="E13" s="178"/>
      <c r="F13" s="178"/>
      <c r="G13" s="178"/>
      <c r="H13" s="178"/>
      <c r="I13" s="179"/>
      <c r="J13" s="17">
        <f t="shared" si="0"/>
        <v>294746.47199999995</v>
      </c>
      <c r="K13" s="108"/>
      <c r="L13" s="181"/>
      <c r="M13" s="108"/>
      <c r="N13" s="108"/>
      <c r="O13" s="69" t="s">
        <v>86</v>
      </c>
    </row>
    <row r="14" spans="1:18" ht="18.75" customHeight="1" outlineLevel="1">
      <c r="A14" s="177" t="s">
        <v>8</v>
      </c>
      <c r="B14" s="178"/>
      <c r="C14" s="178"/>
      <c r="D14" s="178"/>
      <c r="E14" s="178"/>
      <c r="F14" s="178"/>
      <c r="G14" s="178"/>
      <c r="H14" s="178"/>
      <c r="I14" s="179"/>
      <c r="J14" s="17">
        <f t="shared" si="0"/>
        <v>0</v>
      </c>
      <c r="K14" s="108"/>
      <c r="L14" s="181"/>
      <c r="M14" s="108"/>
      <c r="N14" s="108"/>
      <c r="O14" s="69" t="s">
        <v>87</v>
      </c>
    </row>
    <row r="15" spans="1:18" ht="18.75" customHeight="1" outlineLevel="1">
      <c r="A15" s="177" t="s">
        <v>9</v>
      </c>
      <c r="B15" s="178"/>
      <c r="C15" s="178"/>
      <c r="D15" s="178"/>
      <c r="E15" s="178"/>
      <c r="F15" s="178"/>
      <c r="G15" s="178"/>
      <c r="H15" s="178"/>
      <c r="I15" s="179"/>
      <c r="J15" s="17">
        <f t="shared" si="0"/>
        <v>1330472.1600000001</v>
      </c>
      <c r="K15" s="108"/>
      <c r="L15" s="181"/>
      <c r="M15" s="108"/>
      <c r="N15" s="108"/>
      <c r="O15" s="69" t="s">
        <v>88</v>
      </c>
    </row>
    <row r="16" spans="1:18" ht="18.75" customHeight="1" outlineLevel="1">
      <c r="A16" s="177" t="s">
        <v>10</v>
      </c>
      <c r="B16" s="178"/>
      <c r="C16" s="178"/>
      <c r="D16" s="178"/>
      <c r="E16" s="178"/>
      <c r="F16" s="178"/>
      <c r="G16" s="178"/>
      <c r="H16" s="178"/>
      <c r="I16" s="179"/>
      <c r="J16" s="17">
        <f t="shared" si="0"/>
        <v>1330472.1600000001</v>
      </c>
      <c r="K16" s="108"/>
      <c r="L16" s="181"/>
      <c r="M16" s="108"/>
      <c r="N16" s="108"/>
      <c r="O16" s="69" t="s">
        <v>89</v>
      </c>
    </row>
    <row r="17" spans="1:23" ht="18.75" customHeight="1" outlineLevel="1">
      <c r="A17" s="177" t="s">
        <v>11</v>
      </c>
      <c r="B17" s="178"/>
      <c r="C17" s="178"/>
      <c r="D17" s="178"/>
      <c r="E17" s="178"/>
      <c r="F17" s="178"/>
      <c r="G17" s="178"/>
      <c r="H17" s="178"/>
      <c r="I17" s="179"/>
      <c r="J17" s="17">
        <f t="shared" si="0"/>
        <v>0</v>
      </c>
      <c r="K17" s="108"/>
      <c r="L17" s="181"/>
      <c r="M17" s="108"/>
      <c r="N17" s="108"/>
      <c r="O17" s="69" t="s">
        <v>90</v>
      </c>
    </row>
    <row r="18" spans="1:23" ht="18.75" customHeight="1" outlineLevel="1">
      <c r="A18" s="177" t="s">
        <v>12</v>
      </c>
      <c r="B18" s="178"/>
      <c r="C18" s="178"/>
      <c r="D18" s="178"/>
      <c r="E18" s="178"/>
      <c r="F18" s="178"/>
      <c r="G18" s="178"/>
      <c r="H18" s="178"/>
      <c r="I18" s="179"/>
      <c r="J18" s="17">
        <f t="shared" si="0"/>
        <v>0</v>
      </c>
      <c r="K18" s="108"/>
      <c r="L18" s="181"/>
      <c r="M18" s="108"/>
      <c r="N18" s="108"/>
      <c r="O18" s="69" t="s">
        <v>91</v>
      </c>
    </row>
    <row r="19" spans="1:23" ht="18.75" customHeight="1" outlineLevel="1">
      <c r="A19" s="177" t="s">
        <v>13</v>
      </c>
      <c r="B19" s="178"/>
      <c r="C19" s="178"/>
      <c r="D19" s="178"/>
      <c r="E19" s="178"/>
      <c r="F19" s="178"/>
      <c r="G19" s="178"/>
      <c r="H19" s="178"/>
      <c r="I19" s="179"/>
      <c r="J19" s="17">
        <f t="shared" si="0"/>
        <v>0</v>
      </c>
      <c r="K19" s="108"/>
      <c r="L19" s="181"/>
      <c r="M19" s="108"/>
      <c r="N19" s="108"/>
      <c r="O19" s="69" t="s">
        <v>92</v>
      </c>
    </row>
    <row r="20" spans="1:23" ht="18.75" customHeight="1" outlineLevel="1">
      <c r="A20" s="177" t="s">
        <v>14</v>
      </c>
      <c r="B20" s="178"/>
      <c r="C20" s="178"/>
      <c r="D20" s="178"/>
      <c r="E20" s="178"/>
      <c r="F20" s="178"/>
      <c r="G20" s="178"/>
      <c r="H20" s="178"/>
      <c r="I20" s="179"/>
      <c r="J20" s="17">
        <f t="shared" si="0"/>
        <v>0</v>
      </c>
      <c r="K20" s="108"/>
      <c r="L20" s="181"/>
      <c r="M20" s="108"/>
      <c r="N20" s="108"/>
      <c r="O20" s="69" t="s">
        <v>93</v>
      </c>
    </row>
    <row r="21" spans="1:23" ht="18.75" customHeight="1" outlineLevel="1">
      <c r="A21" s="177" t="s">
        <v>15</v>
      </c>
      <c r="B21" s="178"/>
      <c r="C21" s="178"/>
      <c r="D21" s="178"/>
      <c r="E21" s="178"/>
      <c r="F21" s="178"/>
      <c r="G21" s="178"/>
      <c r="H21" s="178"/>
      <c r="I21" s="179"/>
      <c r="J21" s="17">
        <f t="shared" si="0"/>
        <v>1330472.1600000001</v>
      </c>
      <c r="K21" s="108"/>
      <c r="L21" s="181"/>
      <c r="M21" s="108"/>
      <c r="N21" s="108"/>
      <c r="O21" s="69" t="s">
        <v>94</v>
      </c>
    </row>
    <row r="22" spans="1:23" ht="18.75" customHeight="1" outlineLevel="1">
      <c r="A22" s="177" t="s">
        <v>16</v>
      </c>
      <c r="B22" s="178"/>
      <c r="C22" s="178"/>
      <c r="D22" s="178"/>
      <c r="E22" s="178"/>
      <c r="F22" s="178"/>
      <c r="G22" s="178"/>
      <c r="H22" s="178"/>
      <c r="I22" s="179"/>
      <c r="J22" s="17">
        <f t="shared" si="0"/>
        <v>0</v>
      </c>
      <c r="K22" s="108"/>
      <c r="L22" s="181"/>
      <c r="M22" s="108"/>
      <c r="N22" s="108"/>
      <c r="O22" s="69" t="s">
        <v>95</v>
      </c>
    </row>
    <row r="23" spans="1:23" ht="18.75" customHeight="1" outlineLevel="1">
      <c r="A23" s="177" t="s">
        <v>17</v>
      </c>
      <c r="B23" s="178"/>
      <c r="C23" s="178"/>
      <c r="D23" s="178"/>
      <c r="E23" s="178"/>
      <c r="F23" s="178"/>
      <c r="G23" s="178"/>
      <c r="H23" s="178"/>
      <c r="I23" s="179"/>
      <c r="J23" s="17">
        <f t="shared" si="0"/>
        <v>0</v>
      </c>
      <c r="K23" s="108"/>
      <c r="L23" s="181"/>
      <c r="M23" s="108"/>
      <c r="N23" s="108"/>
      <c r="O23" s="69" t="s">
        <v>96</v>
      </c>
    </row>
    <row r="24" spans="1:23" ht="18.75" customHeight="1" outlineLevel="1">
      <c r="A24" s="177" t="s">
        <v>18</v>
      </c>
      <c r="B24" s="178"/>
      <c r="C24" s="178"/>
      <c r="D24" s="178"/>
      <c r="E24" s="178"/>
      <c r="F24" s="178"/>
      <c r="G24" s="178"/>
      <c r="H24" s="178"/>
      <c r="I24" s="179"/>
      <c r="J24" s="17">
        <f t="shared" si="0"/>
        <v>268361.19400000013</v>
      </c>
      <c r="K24" s="108"/>
      <c r="L24" s="181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57</v>
      </c>
      <c r="I27" s="164" t="s">
        <v>21</v>
      </c>
      <c r="J27" s="164"/>
      <c r="K27" s="108"/>
      <c r="L27" s="182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59">
        <f>VLOOKUP(A28,ПТО!$A$39:$D$53,2,FALSE)</f>
        <v>267660.24</v>
      </c>
      <c r="G28" s="159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08"/>
      <c r="L28" s="182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59">
        <f>VLOOKUP(A29,ПТО!$A$39:$D$53,2,FALSE)</f>
        <v>156135.12</v>
      </c>
      <c r="G29" s="159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08"/>
      <c r="L29" s="182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59">
        <f>VLOOKUP(A30,ПТО!$A$39:$D$53,2,FALSE)</f>
        <v>87361.319999999992</v>
      </c>
      <c r="G30" s="159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08"/>
      <c r="L30" s="182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59">
        <f>VLOOKUP(A31,ПТО!$A$39:$D$53,2,FALSE)</f>
        <v>71252.160000000003</v>
      </c>
      <c r="G31" s="159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08"/>
      <c r="L31" s="182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08"/>
      <c r="L32" s="182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59">
        <f>VLOOKUP(A33,ПТО!$A$39:$D$53,2,FALSE)</f>
        <v>21685.439999999999</v>
      </c>
      <c r="G33" s="159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08"/>
      <c r="L33" s="182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59">
        <f>VLOOKUP(A34,ПТО!$A$39:$D$53,2,FALSE)</f>
        <v>112144.68</v>
      </c>
      <c r="G34" s="159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08"/>
      <c r="L34" s="182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8" t="str">
        <f>ПТО!A46</f>
        <v>Работы (услуги) по управлению многоквартирным домом</v>
      </c>
      <c r="B35" s="158"/>
      <c r="C35" s="158"/>
      <c r="D35" s="158"/>
      <c r="E35" s="158"/>
      <c r="F35" s="159">
        <f>VLOOKUP(A35,ПТО!$A$39:$D$53,2,FALSE)</f>
        <v>238539.84</v>
      </c>
      <c r="G35" s="159"/>
      <c r="H35" s="42" t="str">
        <f>VLOOKUP(A35,ПТО!$A$39:$D$53,3,FALSE)</f>
        <v>Ежемесячно</v>
      </c>
      <c r="I35" s="160">
        <f>VLOOKUP(A35,ПТО!$A$39:$D$53,4,FALSE)</f>
        <v>12</v>
      </c>
      <c r="J35" s="160"/>
      <c r="K35" s="108"/>
      <c r="L35" s="182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60" t="e">
        <f>VLOOKUP(A36,ПТО!$A$39:$D$53,4,FALSE)</f>
        <v>#N/A</v>
      </c>
      <c r="J36" s="160"/>
      <c r="K36" s="108"/>
      <c r="L36" s="182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60" t="e">
        <f>VLOOKUP(A37,ПТО!$A$39:$D$53,4,FALSE)</f>
        <v>#N/A</v>
      </c>
      <c r="J37" s="160"/>
      <c r="K37" s="108"/>
      <c r="L37" s="182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08"/>
      <c r="L38" s="182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08"/>
      <c r="L39" s="182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08"/>
      <c r="L40" s="182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08"/>
      <c r="L41" s="182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08"/>
      <c r="L42" s="182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освидетельствование лифтов.</v>
      </c>
      <c r="B43" s="158"/>
      <c r="C43" s="158"/>
      <c r="D43" s="158"/>
      <c r="E43" s="158"/>
      <c r="F43" s="159">
        <f>VLOOKUP(A43,ПТО!$A$2:$D$31,4,FALSE)</f>
        <v>15000</v>
      </c>
      <c r="G43" s="159"/>
      <c r="H43" s="19" t="str">
        <f>VLOOKUP(A43,ПТО!$A$2:$D$31,2,FALSE)</f>
        <v>ежегодно</v>
      </c>
      <c r="I43" s="160">
        <f>VLOOKUP(A43,ПТО!$A$2:$D$31,3,FALSE)</f>
        <v>2</v>
      </c>
      <c r="J43" s="160"/>
      <c r="K43" s="108"/>
      <c r="L43" s="182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8" t="str">
        <f>ПТО!A3</f>
        <v>Техническое обслуживание охранной сигнализации.</v>
      </c>
      <c r="B44" s="158"/>
      <c r="C44" s="158"/>
      <c r="D44" s="158"/>
      <c r="E44" s="158"/>
      <c r="F44" s="159">
        <f>VLOOKUP(A44,ПТО!$A$2:$D$31,4,FALSE)</f>
        <v>12000</v>
      </c>
      <c r="G44" s="159"/>
      <c r="H44" s="25" t="str">
        <f>VLOOKUP(A44,ПТО!$A$2:$D$31,2,FALSE)</f>
        <v>ежемесячно</v>
      </c>
      <c r="I44" s="160">
        <f>VLOOKUP(A44,ПТО!$A$2:$D$31,3,FALSE)</f>
        <v>12</v>
      </c>
      <c r="J44" s="160"/>
      <c r="K44" s="108"/>
      <c r="L44" s="182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8" t="str">
        <f>ПТО!A4</f>
        <v>Проведение новогоднего праздника и приобретение подарков.</v>
      </c>
      <c r="B45" s="158"/>
      <c r="C45" s="158"/>
      <c r="D45" s="158"/>
      <c r="E45" s="158"/>
      <c r="F45" s="159">
        <f>VLOOKUP(A45,ПТО!$A$2:$D$31,4,FALSE)</f>
        <v>10677</v>
      </c>
      <c r="G45" s="159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08"/>
      <c r="L45" s="182"/>
      <c r="M45" s="115"/>
      <c r="N45" s="108"/>
      <c r="O45" s="23" t="str">
        <f t="shared" si="1"/>
        <v>Проведение новогоднего праздника и приобретение подарков.</v>
      </c>
      <c r="R45" s="22" t="s">
        <v>72</v>
      </c>
    </row>
    <row r="46" spans="1:18" ht="51" customHeight="1" outlineLevel="1">
      <c r="A46" s="158" t="str">
        <f>ПТО!A5</f>
        <v>Механизированная уборка снега с придомовой территории (январь).</v>
      </c>
      <c r="B46" s="158"/>
      <c r="C46" s="158"/>
      <c r="D46" s="158"/>
      <c r="E46" s="158"/>
      <c r="F46" s="159">
        <f>VLOOKUP(A46,ПТО!$A$2:$D$31,4,FALSE)</f>
        <v>5241.43</v>
      </c>
      <c r="G46" s="159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08"/>
      <c r="L46" s="182"/>
      <c r="M46" s="115"/>
      <c r="N46" s="108"/>
      <c r="O46" s="23" t="str">
        <f t="shared" si="1"/>
        <v>Механизированная уборка снега с придомовой территории (январь).</v>
      </c>
      <c r="R46" s="22" t="s">
        <v>72</v>
      </c>
    </row>
    <row r="47" spans="1:18" ht="51" customHeight="1" outlineLevel="1">
      <c r="A47" s="158" t="str">
        <f>ПТО!A6</f>
        <v>Механизированная уборка снега с придомовой территории (март).</v>
      </c>
      <c r="B47" s="158"/>
      <c r="C47" s="158"/>
      <c r="D47" s="158"/>
      <c r="E47" s="158"/>
      <c r="F47" s="159">
        <f>VLOOKUP(A47,ПТО!$A$2:$D$31,4,FALSE)</f>
        <v>6633.33</v>
      </c>
      <c r="G47" s="159"/>
      <c r="H47" s="25" t="str">
        <f>VLOOKUP(A47,ПТО!$A$2:$D$31,2,FALSE)</f>
        <v>разово</v>
      </c>
      <c r="I47" s="160">
        <f>VLOOKUP(A47,ПТО!$A$2:$D$31,3,FALSE)</f>
        <v>1</v>
      </c>
      <c r="J47" s="160"/>
      <c r="K47" s="108"/>
      <c r="L47" s="182"/>
      <c r="M47" s="115"/>
      <c r="N47" s="108"/>
      <c r="O47" s="23" t="str">
        <f t="shared" si="1"/>
        <v>Механизированная уборка снега с придомовой территории (март).</v>
      </c>
      <c r="R47" s="22" t="s">
        <v>72</v>
      </c>
    </row>
    <row r="48" spans="1:18" ht="51" customHeight="1" outlineLevel="1">
      <c r="A48" s="158" t="str">
        <f>ПТО!A7</f>
        <v>Замена прибора учета электрической энергии (6 шт.), трансформатора тока (18 шт.) во ВРУ.</v>
      </c>
      <c r="B48" s="158"/>
      <c r="C48" s="158"/>
      <c r="D48" s="158"/>
      <c r="E48" s="158"/>
      <c r="F48" s="159">
        <f>VLOOKUP(A48,ПТО!$A$2:$D$31,4,FALSE)</f>
        <v>21075.45</v>
      </c>
      <c r="G48" s="159"/>
      <c r="H48" s="25" t="str">
        <f>VLOOKUP(A48,ПТО!$A$2:$D$31,2,FALSE)</f>
        <v>разово</v>
      </c>
      <c r="I48" s="160">
        <f>VLOOKUP(A48,ПТО!$A$2:$D$31,3,FALSE)</f>
        <v>1</v>
      </c>
      <c r="J48" s="160"/>
      <c r="K48" s="108"/>
      <c r="L48" s="182"/>
      <c r="M48" s="115"/>
      <c r="N48" s="108"/>
      <c r="O48" s="23" t="str">
        <f t="shared" si="1"/>
        <v>Замена прибора учета электрической энергии (6 шт.), трансформатора тока (18 шт.) во ВРУ.</v>
      </c>
      <c r="R48" s="22" t="s">
        <v>72</v>
      </c>
    </row>
    <row r="49" spans="1:18" ht="51" customHeight="1" outlineLevel="1">
      <c r="A49" s="158" t="str">
        <f>ПТО!A8</f>
        <v>Приобретение и установка таблички по пожарной безопасности.</v>
      </c>
      <c r="B49" s="158"/>
      <c r="C49" s="158"/>
      <c r="D49" s="158"/>
      <c r="E49" s="158"/>
      <c r="F49" s="159">
        <f>VLOOKUP(A49,ПТО!$A$2:$D$31,4,FALSE)</f>
        <v>500</v>
      </c>
      <c r="G49" s="159"/>
      <c r="H49" s="25" t="str">
        <f>VLOOKUP(A49,ПТО!$A$2:$D$31,2,FALSE)</f>
        <v>разово</v>
      </c>
      <c r="I49" s="160">
        <f>VLOOKUP(A49,ПТО!$A$2:$D$31,3,FALSE)</f>
        <v>1</v>
      </c>
      <c r="J49" s="160"/>
      <c r="K49" s="108"/>
      <c r="L49" s="182"/>
      <c r="M49" s="115"/>
      <c r="N49" s="108"/>
      <c r="O49" s="23" t="str">
        <f t="shared" si="1"/>
        <v>Приобретение и установка таблички по пожарной безопасности.</v>
      </c>
      <c r="R49" s="22" t="s">
        <v>72</v>
      </c>
    </row>
    <row r="50" spans="1:18" ht="51" customHeight="1" outlineLevel="1">
      <c r="A50" s="158" t="str">
        <f>ПТО!A9</f>
        <v>Приобретение и  замена ОДПУ ХВС.</v>
      </c>
      <c r="B50" s="158"/>
      <c r="C50" s="158"/>
      <c r="D50" s="158"/>
      <c r="E50" s="158"/>
      <c r="F50" s="159">
        <f>VLOOKUP(A50,ПТО!$A$2:$D$31,4,FALSE)</f>
        <v>10620</v>
      </c>
      <c r="G50" s="159"/>
      <c r="H50" s="25" t="str">
        <f>VLOOKUP(A50,ПТО!$A$2:$D$31,2,FALSE)</f>
        <v>разово</v>
      </c>
      <c r="I50" s="160">
        <f>VLOOKUP(A50,ПТО!$A$2:$D$31,3,FALSE)</f>
        <v>1</v>
      </c>
      <c r="J50" s="160"/>
      <c r="K50" s="108"/>
      <c r="L50" s="182"/>
      <c r="M50" s="115"/>
      <c r="N50" s="108"/>
      <c r="O50" s="23" t="str">
        <f t="shared" si="1"/>
        <v>Приобретение и  замена ОДПУ ХВС.</v>
      </c>
      <c r="R50" s="22" t="s">
        <v>72</v>
      </c>
    </row>
    <row r="51" spans="1:18" ht="51" customHeight="1" outlineLevel="1">
      <c r="A51" s="158" t="str">
        <f>ПТО!A10</f>
        <v>Ремонт стояка полотенцесушителя (кв. 65).</v>
      </c>
      <c r="B51" s="158"/>
      <c r="C51" s="158"/>
      <c r="D51" s="158"/>
      <c r="E51" s="158"/>
      <c r="F51" s="159">
        <f>VLOOKUP(A51,ПТО!$A$2:$D$31,4,FALSE)</f>
        <v>6486.84</v>
      </c>
      <c r="G51" s="159"/>
      <c r="H51" s="25" t="str">
        <f>VLOOKUP(A51,ПТО!$A$2:$D$31,2,FALSE)</f>
        <v>разово</v>
      </c>
      <c r="I51" s="160">
        <f>VLOOKUP(A51,ПТО!$A$2:$D$31,3,FALSE)</f>
        <v>1</v>
      </c>
      <c r="J51" s="160"/>
      <c r="K51" s="108"/>
      <c r="L51" s="182"/>
      <c r="M51" s="115"/>
      <c r="N51" s="108"/>
      <c r="O51" s="23" t="str">
        <f t="shared" si="1"/>
        <v>Ремонт стояка полотенцесушителя (кв. 65).</v>
      </c>
      <c r="R51" s="22" t="s">
        <v>72</v>
      </c>
    </row>
    <row r="52" spans="1:18" ht="51" customHeight="1" outlineLevel="1">
      <c r="A52" s="158" t="str">
        <f>ПТО!A11</f>
        <v>Благоустройство придомовой территории (покраска малых форм).</v>
      </c>
      <c r="B52" s="158"/>
      <c r="C52" s="158"/>
      <c r="D52" s="158"/>
      <c r="E52" s="158"/>
      <c r="F52" s="159">
        <f>VLOOKUP(A52,ПТО!$A$2:$D$31,4,FALSE)</f>
        <v>1257</v>
      </c>
      <c r="G52" s="159"/>
      <c r="H52" s="25" t="str">
        <f>VLOOKUP(A52,ПТО!$A$2:$D$31,2,FALSE)</f>
        <v>разово</v>
      </c>
      <c r="I52" s="160">
        <f>VLOOKUP(A52,ПТО!$A$2:$D$31,3,FALSE)</f>
        <v>1</v>
      </c>
      <c r="J52" s="160"/>
      <c r="K52" s="108"/>
      <c r="L52" s="182"/>
      <c r="M52" s="115"/>
      <c r="N52" s="108"/>
      <c r="O52" s="23" t="str">
        <f t="shared" si="1"/>
        <v>Благоустройство придомовой территории (покраска малых форм).</v>
      </c>
      <c r="R52" s="22" t="s">
        <v>72</v>
      </c>
    </row>
    <row r="53" spans="1:18" ht="51" customHeight="1" outlineLevel="1">
      <c r="A53" s="158" t="str">
        <f>ПТО!A12</f>
        <v>Ремонт прибора учета тепловой энергии.</v>
      </c>
      <c r="B53" s="158"/>
      <c r="C53" s="158"/>
      <c r="D53" s="158"/>
      <c r="E53" s="158"/>
      <c r="F53" s="159">
        <f>VLOOKUP(A53,ПТО!$A$2:$D$31,4,FALSE)</f>
        <v>3540</v>
      </c>
      <c r="G53" s="159"/>
      <c r="H53" s="25" t="str">
        <f>VLOOKUP(A53,ПТО!$A$2:$D$31,2,FALSE)</f>
        <v>разово</v>
      </c>
      <c r="I53" s="160">
        <f>VLOOKUP(A53,ПТО!$A$2:$D$31,3,FALSE)</f>
        <v>1</v>
      </c>
      <c r="J53" s="160"/>
      <c r="K53" s="108"/>
      <c r="L53" s="182"/>
      <c r="M53" s="115"/>
      <c r="N53" s="108"/>
      <c r="O53" s="23" t="str">
        <f t="shared" si="1"/>
        <v>Ремонт прибора учета тепловой энергии.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08"/>
      <c r="L54" s="182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08"/>
      <c r="L55" s="182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08"/>
      <c r="L56" s="182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08"/>
      <c r="L57" s="182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08"/>
      <c r="L58" s="182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08"/>
      <c r="L59" s="182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08"/>
      <c r="L60" s="182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08"/>
      <c r="L61" s="182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08"/>
      <c r="L62" s="182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08"/>
      <c r="L63" s="182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08"/>
      <c r="L64" s="182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08"/>
      <c r="L65" s="182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08"/>
      <c r="L66" s="182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08"/>
      <c r="L67" s="182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08"/>
      <c r="L68" s="182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08"/>
      <c r="L69" s="182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08"/>
      <c r="L70" s="182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5"/>
      <c r="L71" s="18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08"/>
      <c r="L72" s="182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8"/>
      <c r="L75" s="165"/>
      <c r="M75" s="108"/>
      <c r="N75" s="108"/>
      <c r="O75" s="69" t="s">
        <v>98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8"/>
      <c r="L76" s="165"/>
      <c r="M76" s="108"/>
      <c r="N76" s="108"/>
      <c r="O76" s="69" t="s">
        <v>99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8"/>
      <c r="L77" s="165"/>
      <c r="M77" s="108"/>
      <c r="N77" s="108"/>
      <c r="O77" s="69" t="s">
        <v>100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6">
        <f>VLOOKUP(O78,АО,3,FALSE)</f>
        <v>0</v>
      </c>
      <c r="K78" s="108"/>
      <c r="L78" s="165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6" t="s">
        <v>2</v>
      </c>
      <c r="B81" s="166"/>
      <c r="C81" s="166"/>
      <c r="D81" s="166"/>
      <c r="E81" s="166"/>
      <c r="F81" s="166"/>
      <c r="G81" s="166"/>
      <c r="H81" s="166"/>
      <c r="I81" s="166"/>
      <c r="J81" s="96">
        <f t="shared" ref="J81:J90" si="2">VLOOKUP(O81,АО,3,FALSE)</f>
        <v>0</v>
      </c>
      <c r="K81" s="108"/>
      <c r="L81" s="183"/>
      <c r="M81" s="108"/>
      <c r="N81" s="108"/>
      <c r="O81" s="69" t="s">
        <v>102</v>
      </c>
    </row>
    <row r="82" spans="1:15" outlineLevel="1">
      <c r="A82" s="166" t="s">
        <v>3</v>
      </c>
      <c r="B82" s="166"/>
      <c r="C82" s="166"/>
      <c r="D82" s="166"/>
      <c r="E82" s="166"/>
      <c r="F82" s="166"/>
      <c r="G82" s="166"/>
      <c r="H82" s="166"/>
      <c r="I82" s="166"/>
      <c r="J82" s="96">
        <f t="shared" si="2"/>
        <v>0</v>
      </c>
      <c r="K82" s="108"/>
      <c r="L82" s="183"/>
      <c r="M82" s="108"/>
      <c r="N82" s="108"/>
      <c r="O82" s="69" t="s">
        <v>103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6">
        <f t="shared" si="2"/>
        <v>122922.69</v>
      </c>
      <c r="K83" s="108"/>
      <c r="L83" s="183"/>
      <c r="M83" s="108"/>
      <c r="N83" s="108"/>
      <c r="O83" s="69" t="s">
        <v>104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6">
        <f t="shared" si="2"/>
        <v>0</v>
      </c>
      <c r="K84" s="108"/>
      <c r="L84" s="183"/>
      <c r="M84" s="108"/>
      <c r="N84" s="108"/>
      <c r="O84" s="69" t="s">
        <v>105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6">
        <f t="shared" si="2"/>
        <v>0</v>
      </c>
      <c r="K85" s="108"/>
      <c r="L85" s="183"/>
      <c r="M85" s="108"/>
      <c r="N85" s="108"/>
      <c r="O85" s="69" t="s">
        <v>106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6">
        <f t="shared" si="2"/>
        <v>121486.28</v>
      </c>
      <c r="K86" s="108"/>
      <c r="L86" s="183"/>
      <c r="M86" s="108"/>
      <c r="N86" s="108"/>
      <c r="O86" s="69" t="s">
        <v>107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08"/>
      <c r="L87" s="183"/>
      <c r="M87" s="108"/>
      <c r="N87" s="108"/>
      <c r="O87" s="69" t="s">
        <v>108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08"/>
      <c r="L88" s="183"/>
      <c r="M88" s="108"/>
      <c r="N88" s="108"/>
      <c r="O88" s="69" t="s">
        <v>109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08"/>
      <c r="L89" s="183"/>
      <c r="M89" s="108"/>
      <c r="N89" s="108"/>
      <c r="O89" s="69" t="s">
        <v>110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6">
        <f t="shared" si="2"/>
        <v>0</v>
      </c>
      <c r="K90" s="108"/>
      <c r="L90" s="183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7" t="s">
        <v>48</v>
      </c>
      <c r="B93" s="167"/>
      <c r="C93" s="167"/>
      <c r="D93" s="170" t="s">
        <v>49</v>
      </c>
      <c r="E93" s="170"/>
      <c r="F93" s="10" t="s">
        <v>50</v>
      </c>
      <c r="G93" s="167" t="s">
        <v>51</v>
      </c>
      <c r="H93" s="167"/>
      <c r="I93" s="167"/>
      <c r="J93" s="167"/>
      <c r="K93" s="108"/>
      <c r="L93" s="108"/>
      <c r="M93" s="108"/>
      <c r="N93" s="108"/>
    </row>
    <row r="94" spans="1:15" outlineLevel="1">
      <c r="A94" s="171" t="str">
        <f>IF(VLOOKUP("эл",АО,3,FALSE)&gt;0,"Электроснабжение",0)</f>
        <v>Электроснабжение</v>
      </c>
      <c r="B94" s="171"/>
      <c r="C94" s="171"/>
      <c r="D94" s="169" t="str">
        <f>IF(VLOOKUP("эл",АО,3,FALSE)&gt;0,VLOOKUP("эл",АО,3,FALSE),0)</f>
        <v>Предоставляется</v>
      </c>
      <c r="E94" s="169"/>
      <c r="F94" s="13" t="str">
        <f>IF(VLOOKUP("эл",АО,3,FALSE)&gt;0,VLOOKUP("эл",АО,4,FALSE),0)</f>
        <v>кВт*ч</v>
      </c>
      <c r="G94" s="168">
        <f>VLOOKUP("эл",АО,5,FALSE)</f>
        <v>70242.87999999999</v>
      </c>
      <c r="H94" s="169"/>
      <c r="I94" s="169"/>
      <c r="J94" s="169"/>
      <c r="K94" s="1" t="str">
        <f>VLOOKUP("эл",АО,2,FALSE)</f>
        <v>Электроснабжение</v>
      </c>
      <c r="L94" s="184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61616.561403508771</v>
      </c>
      <c r="L95" s="184"/>
      <c r="O95" s="1" t="s">
        <v>112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74836.39</v>
      </c>
      <c r="L96" s="184"/>
      <c r="O96" s="1" t="s">
        <v>113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0</v>
      </c>
      <c r="L97" s="184"/>
      <c r="O97" s="1" t="s">
        <v>114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70242.87999999999</v>
      </c>
      <c r="L98" s="184"/>
      <c r="O98" s="1" t="s">
        <v>115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70242.87999999999</v>
      </c>
      <c r="L99" s="184"/>
      <c r="O99" s="1" t="s">
        <v>116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84"/>
      <c r="O100" s="1" t="s">
        <v>117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84"/>
      <c r="O101" s="1" t="s">
        <v>118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68">
        <f>VLOOKUP("хвс",АО,5,FALSE)</f>
        <v>204446.97000000003</v>
      </c>
      <c r="H102" s="169"/>
      <c r="I102" s="169"/>
      <c r="J102" s="169"/>
      <c r="L102" s="184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15110.640798226166</v>
      </c>
      <c r="L103" s="184"/>
      <c r="O103" s="1" t="s">
        <v>121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200676.18</v>
      </c>
      <c r="L104" s="184"/>
      <c r="O104" s="1" t="s">
        <v>122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3770.7900000000373</v>
      </c>
      <c r="L105" s="184"/>
      <c r="O105" s="1" t="s">
        <v>123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204446.97000000003</v>
      </c>
      <c r="L106" s="184"/>
      <c r="O106" s="1" t="s">
        <v>124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204446.97000000003</v>
      </c>
      <c r="L107" s="184"/>
      <c r="O107" s="1" t="s">
        <v>125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84"/>
      <c r="O108" s="1" t="s">
        <v>126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84"/>
      <c r="O109" s="1" t="s">
        <v>127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68">
        <f>VLOOKUP("воо",АО,5,FALSE)</f>
        <v>237841.93</v>
      </c>
      <c r="H110" s="169"/>
      <c r="I110" s="169"/>
      <c r="J110" s="169"/>
      <c r="L110" s="184"/>
    </row>
    <row r="111" spans="1:15" outlineLevel="2">
      <c r="A111" s="166" t="str">
        <f t="shared" ref="A111:A117" si="6">IF(VLOOKUP("воо",АО,3,FALSE)&gt;0,VLOOKUP(O111,АО,2,FALSE),0)</f>
        <v>Общий объем потребления, нат. показ.</v>
      </c>
      <c r="B111" s="166"/>
      <c r="C111" s="166"/>
      <c r="D111" s="166"/>
      <c r="E111" s="166"/>
      <c r="F111" s="166"/>
      <c r="G111" s="166"/>
      <c r="H111" s="166"/>
      <c r="I111" s="166"/>
      <c r="J111" s="18">
        <f t="shared" ref="J111:J117" si="7">VLOOKUP(O111,АО,3,FALSE)</f>
        <v>15414.253402462735</v>
      </c>
      <c r="L111" s="184"/>
      <c r="O111" s="1" t="s">
        <v>129</v>
      </c>
    </row>
    <row r="112" spans="1:15" ht="18.75" customHeight="1" outlineLevel="2">
      <c r="A112" s="166" t="str">
        <f t="shared" si="6"/>
        <v>Оплачено потребителями, руб.</v>
      </c>
      <c r="B112" s="166"/>
      <c r="C112" s="166"/>
      <c r="D112" s="166"/>
      <c r="E112" s="166"/>
      <c r="F112" s="166"/>
      <c r="G112" s="166"/>
      <c r="H112" s="166"/>
      <c r="I112" s="166"/>
      <c r="J112" s="18">
        <f t="shared" si="7"/>
        <v>230595.22000000003</v>
      </c>
      <c r="L112" s="184"/>
      <c r="O112" s="1" t="s">
        <v>130</v>
      </c>
    </row>
    <row r="113" spans="1:15" ht="19.5" customHeight="1" outlineLevel="2">
      <c r="A113" s="166" t="str">
        <f t="shared" si="6"/>
        <v>Задолженность потребителей, руб.</v>
      </c>
      <c r="B113" s="166"/>
      <c r="C113" s="166"/>
      <c r="D113" s="166"/>
      <c r="E113" s="166"/>
      <c r="F113" s="166"/>
      <c r="G113" s="166"/>
      <c r="H113" s="166"/>
      <c r="I113" s="166"/>
      <c r="J113" s="18">
        <f t="shared" si="7"/>
        <v>7246.7099999999627</v>
      </c>
      <c r="L113" s="184"/>
      <c r="O113" s="1" t="s">
        <v>131</v>
      </c>
    </row>
    <row r="114" spans="1:15" ht="33" customHeight="1" outlineLevel="2">
      <c r="A114" s="166" t="str">
        <f t="shared" si="6"/>
        <v>Начислено поставщиком (поставщиками) коммунального ресурса, руб.</v>
      </c>
      <c r="B114" s="166"/>
      <c r="C114" s="166"/>
      <c r="D114" s="166"/>
      <c r="E114" s="166"/>
      <c r="F114" s="166"/>
      <c r="G114" s="166"/>
      <c r="H114" s="166"/>
      <c r="I114" s="166"/>
      <c r="J114" s="18">
        <f t="shared" si="7"/>
        <v>237841.93</v>
      </c>
      <c r="L114" s="184"/>
      <c r="O114" s="1" t="s">
        <v>132</v>
      </c>
    </row>
    <row r="115" spans="1:15" ht="18.75" customHeight="1" outlineLevel="2">
      <c r="A115" s="166" t="str">
        <f t="shared" si="6"/>
        <v>Оплачено поставщику (поставщикам) коммунального ресурса, руб.</v>
      </c>
      <c r="B115" s="166"/>
      <c r="C115" s="166"/>
      <c r="D115" s="166"/>
      <c r="E115" s="166"/>
      <c r="F115" s="166"/>
      <c r="G115" s="166"/>
      <c r="H115" s="166"/>
      <c r="I115" s="166"/>
      <c r="J115" s="18">
        <f t="shared" si="7"/>
        <v>237841.93</v>
      </c>
      <c r="L115" s="184"/>
      <c r="O115" s="1" t="s">
        <v>133</v>
      </c>
    </row>
    <row r="116" spans="1:15" ht="33.75" customHeight="1" outlineLevel="2">
      <c r="A116" s="166" t="str">
        <f t="shared" si="6"/>
        <v>Задолженность перед поставщиком (поставщиками) коммунального ресурса, руб.</v>
      </c>
      <c r="B116" s="166"/>
      <c r="C116" s="166"/>
      <c r="D116" s="166"/>
      <c r="E116" s="166"/>
      <c r="F116" s="166"/>
      <c r="G116" s="166"/>
      <c r="H116" s="166"/>
      <c r="I116" s="166"/>
      <c r="J116" s="18">
        <f t="shared" si="7"/>
        <v>0</v>
      </c>
      <c r="L116" s="184"/>
      <c r="O116" s="1" t="s">
        <v>134</v>
      </c>
    </row>
    <row r="117" spans="1:15" ht="32.25" customHeight="1" outlineLevel="2">
      <c r="A117" s="166" t="str">
        <f t="shared" si="6"/>
        <v>Размер пени и штрафов, уплаченных поставщику (поставщикам) коммунального ресурса, руб.</v>
      </c>
      <c r="B117" s="166"/>
      <c r="C117" s="166"/>
      <c r="D117" s="166"/>
      <c r="E117" s="166"/>
      <c r="F117" s="166"/>
      <c r="G117" s="166"/>
      <c r="H117" s="166"/>
      <c r="I117" s="166"/>
      <c r="J117" s="18">
        <f t="shared" si="7"/>
        <v>0</v>
      </c>
      <c r="L117" s="184"/>
      <c r="O117" s="1" t="s">
        <v>135</v>
      </c>
    </row>
    <row r="118" spans="1:15" ht="32.25" hidden="1" customHeight="1" outlineLevel="1">
      <c r="A118" s="171">
        <f>IF(VLOOKUP("тко",АО,3,FALSE)&gt;0,"Обращение с ТКО",0)</f>
        <v>0</v>
      </c>
      <c r="B118" s="171"/>
      <c r="C118" s="171"/>
      <c r="D118" s="169">
        <f>IF(VLOOKUP("тко",АО,3,FALSE)&gt;0,VLOOKUP("тко",АО,3,FALSE),0)</f>
        <v>0</v>
      </c>
      <c r="E118" s="169"/>
      <c r="F118" s="13">
        <f>IF(VLOOKUP("тко",АО,3,FALSE)&gt;0,VLOOKUP("тко",АО,4,FALSE),0)</f>
        <v>0</v>
      </c>
      <c r="G118" s="168">
        <f>VLOOKUP("тко",АО,5,FALSE)</f>
        <v>0</v>
      </c>
      <c r="H118" s="169"/>
      <c r="I118" s="169"/>
      <c r="J118" s="169"/>
      <c r="L118" s="47"/>
    </row>
    <row r="119" spans="1:15" ht="32.25" hidden="1" customHeight="1" outlineLevel="2">
      <c r="A119" s="166">
        <f t="shared" ref="A119:A125" si="8">IF(VLOOKUP("тко",АО,3,FALSE)&gt;0,VLOOKUP(O119,АО,2,FALSE),0)</f>
        <v>0</v>
      </c>
      <c r="B119" s="166"/>
      <c r="C119" s="166"/>
      <c r="D119" s="166"/>
      <c r="E119" s="166"/>
      <c r="F119" s="166"/>
      <c r="G119" s="166"/>
      <c r="H119" s="166"/>
      <c r="I119" s="16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6">
        <f t="shared" si="8"/>
        <v>0</v>
      </c>
      <c r="B120" s="166"/>
      <c r="C120" s="166"/>
      <c r="D120" s="166"/>
      <c r="E120" s="166"/>
      <c r="F120" s="166"/>
      <c r="G120" s="166"/>
      <c r="H120" s="166"/>
      <c r="I120" s="16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6">
        <f t="shared" si="8"/>
        <v>0</v>
      </c>
      <c r="B121" s="166"/>
      <c r="C121" s="166"/>
      <c r="D121" s="166"/>
      <c r="E121" s="166"/>
      <c r="F121" s="166"/>
      <c r="G121" s="166"/>
      <c r="H121" s="166"/>
      <c r="I121" s="16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6">
        <f t="shared" si="8"/>
        <v>0</v>
      </c>
      <c r="B122" s="166"/>
      <c r="C122" s="166"/>
      <c r="D122" s="166"/>
      <c r="E122" s="166"/>
      <c r="F122" s="166"/>
      <c r="G122" s="166"/>
      <c r="H122" s="166"/>
      <c r="I122" s="16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6">
        <f t="shared" si="8"/>
        <v>0</v>
      </c>
      <c r="B123" s="166"/>
      <c r="C123" s="166"/>
      <c r="D123" s="166"/>
      <c r="E123" s="166"/>
      <c r="F123" s="166"/>
      <c r="G123" s="166"/>
      <c r="H123" s="166"/>
      <c r="I123" s="16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6">
        <f t="shared" si="8"/>
        <v>0</v>
      </c>
      <c r="B124" s="166"/>
      <c r="C124" s="166"/>
      <c r="D124" s="166"/>
      <c r="E124" s="166"/>
      <c r="F124" s="166"/>
      <c r="G124" s="166"/>
      <c r="H124" s="166"/>
      <c r="I124" s="16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6">
        <f t="shared" si="8"/>
        <v>0</v>
      </c>
      <c r="B125" s="166"/>
      <c r="C125" s="166"/>
      <c r="D125" s="166"/>
      <c r="E125" s="166"/>
      <c r="F125" s="166"/>
      <c r="G125" s="166"/>
      <c r="H125" s="166"/>
      <c r="I125" s="166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1">
        <f>IF(VLOOKUP("гвс",АО,3,FALSE)&gt;0,"Горячее водоснабжение",0)</f>
        <v>0</v>
      </c>
      <c r="B126" s="171"/>
      <c r="C126" s="171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68">
        <f>VLOOKUP("гвс",АО,5,FALSE)</f>
        <v>0</v>
      </c>
      <c r="H126" s="169"/>
      <c r="I126" s="169"/>
      <c r="J126" s="169"/>
      <c r="L126" s="47"/>
    </row>
    <row r="127" spans="1:15" ht="32.25" hidden="1" customHeight="1" outlineLevel="2">
      <c r="A127" s="166">
        <f t="shared" ref="A127:A133" si="10">IF(VLOOKUP("гвс",АО,3,FALSE)&gt;0,VLOOKUP(O127,АО,2,FALSE),0)</f>
        <v>0</v>
      </c>
      <c r="B127" s="166"/>
      <c r="C127" s="166"/>
      <c r="D127" s="166"/>
      <c r="E127" s="166"/>
      <c r="F127" s="166"/>
      <c r="G127" s="166"/>
      <c r="H127" s="166"/>
      <c r="I127" s="166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6">
        <f t="shared" si="10"/>
        <v>0</v>
      </c>
      <c r="B128" s="166"/>
      <c r="C128" s="166"/>
      <c r="D128" s="166"/>
      <c r="E128" s="166"/>
      <c r="F128" s="166"/>
      <c r="G128" s="166"/>
      <c r="H128" s="166"/>
      <c r="I128" s="166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6">
        <f t="shared" si="10"/>
        <v>0</v>
      </c>
      <c r="B129" s="166"/>
      <c r="C129" s="166"/>
      <c r="D129" s="166"/>
      <c r="E129" s="166"/>
      <c r="F129" s="166"/>
      <c r="G129" s="166"/>
      <c r="H129" s="166"/>
      <c r="I129" s="166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6">
        <f t="shared" si="10"/>
        <v>0</v>
      </c>
      <c r="B130" s="166"/>
      <c r="C130" s="166"/>
      <c r="D130" s="166"/>
      <c r="E130" s="166"/>
      <c r="F130" s="166"/>
      <c r="G130" s="166"/>
      <c r="H130" s="166"/>
      <c r="I130" s="166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6">
        <f t="shared" si="10"/>
        <v>0</v>
      </c>
      <c r="B131" s="166"/>
      <c r="C131" s="166"/>
      <c r="D131" s="166"/>
      <c r="E131" s="166"/>
      <c r="F131" s="166"/>
      <c r="G131" s="166"/>
      <c r="H131" s="166"/>
      <c r="I131" s="166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6">
        <f t="shared" si="10"/>
        <v>0</v>
      </c>
      <c r="B132" s="166"/>
      <c r="C132" s="166"/>
      <c r="D132" s="166"/>
      <c r="E132" s="166"/>
      <c r="F132" s="166"/>
      <c r="G132" s="166"/>
      <c r="H132" s="166"/>
      <c r="I132" s="166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6">
        <f t="shared" si="10"/>
        <v>0</v>
      </c>
      <c r="B133" s="166"/>
      <c r="C133" s="166"/>
      <c r="D133" s="166"/>
      <c r="E133" s="166"/>
      <c r="F133" s="166"/>
      <c r="G133" s="166"/>
      <c r="H133" s="166"/>
      <c r="I133" s="16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6">
        <f t="shared" ref="A135:A141" si="12">IF(VLOOKUP("отопление",АО,3,FALSE)&gt;0,VLOOKUP(O135,АО,2,FALSE),0)</f>
        <v>0</v>
      </c>
      <c r="B135" s="166"/>
      <c r="C135" s="166"/>
      <c r="D135" s="166"/>
      <c r="E135" s="166"/>
      <c r="F135" s="166"/>
      <c r="G135" s="166"/>
      <c r="H135" s="166"/>
      <c r="I135" s="16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6">
        <f t="shared" si="12"/>
        <v>0</v>
      </c>
      <c r="B136" s="166"/>
      <c r="C136" s="166"/>
      <c r="D136" s="166"/>
      <c r="E136" s="166"/>
      <c r="F136" s="166"/>
      <c r="G136" s="166"/>
      <c r="H136" s="166"/>
      <c r="I136" s="16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6">
        <f t="shared" si="12"/>
        <v>0</v>
      </c>
      <c r="B137" s="166"/>
      <c r="C137" s="166"/>
      <c r="D137" s="166"/>
      <c r="E137" s="166"/>
      <c r="F137" s="166"/>
      <c r="G137" s="166"/>
      <c r="H137" s="166"/>
      <c r="I137" s="16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6">
        <f t="shared" si="12"/>
        <v>0</v>
      </c>
      <c r="B138" s="166"/>
      <c r="C138" s="166"/>
      <c r="D138" s="166"/>
      <c r="E138" s="166"/>
      <c r="F138" s="166"/>
      <c r="G138" s="166"/>
      <c r="H138" s="166"/>
      <c r="I138" s="16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6">
        <f t="shared" si="12"/>
        <v>0</v>
      </c>
      <c r="B139" s="166"/>
      <c r="C139" s="166"/>
      <c r="D139" s="166"/>
      <c r="E139" s="166"/>
      <c r="F139" s="166"/>
      <c r="G139" s="166"/>
      <c r="H139" s="166"/>
      <c r="I139" s="16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6">
        <f t="shared" si="12"/>
        <v>0</v>
      </c>
      <c r="B140" s="166"/>
      <c r="C140" s="166"/>
      <c r="D140" s="166"/>
      <c r="E140" s="166"/>
      <c r="F140" s="166"/>
      <c r="G140" s="166"/>
      <c r="H140" s="166"/>
      <c r="I140" s="16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6">
        <f t="shared" si="12"/>
        <v>0</v>
      </c>
      <c r="B141" s="166"/>
      <c r="C141" s="166"/>
      <c r="D141" s="166"/>
      <c r="E141" s="166"/>
      <c r="F141" s="166"/>
      <c r="G141" s="166"/>
      <c r="H141" s="166"/>
      <c r="I141" s="166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6" t="s">
        <v>45</v>
      </c>
      <c r="B144" s="166"/>
      <c r="C144" s="166"/>
      <c r="D144" s="166"/>
      <c r="E144" s="166"/>
      <c r="F144" s="166"/>
      <c r="G144" s="166"/>
      <c r="H144" s="166"/>
      <c r="I144" s="166"/>
      <c r="J144" s="14">
        <f>VLOOKUP(O144,юр,3,FALSE)</f>
        <v>0</v>
      </c>
      <c r="O144" t="s">
        <v>169</v>
      </c>
    </row>
    <row r="145" spans="1:15" ht="18.75" customHeight="1" outlineLevel="1">
      <c r="A145" s="166" t="s">
        <v>46</v>
      </c>
      <c r="B145" s="166"/>
      <c r="C145" s="166"/>
      <c r="D145" s="166"/>
      <c r="E145" s="166"/>
      <c r="F145" s="166"/>
      <c r="G145" s="166"/>
      <c r="H145" s="166"/>
      <c r="I145" s="166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66" t="s">
        <v>172</v>
      </c>
      <c r="B146" s="166"/>
      <c r="C146" s="166"/>
      <c r="D146" s="166"/>
      <c r="E146" s="166"/>
      <c r="F146" s="166"/>
      <c r="G146" s="166"/>
      <c r="H146" s="166"/>
      <c r="I146" s="166"/>
      <c r="J146" s="9">
        <f>VLOOKUP(O146,юр,3,FALSE)</f>
        <v>79543.520000000004</v>
      </c>
      <c r="O146" t="s">
        <v>171</v>
      </c>
    </row>
    <row r="149" spans="1:15" ht="52.5" customHeight="1">
      <c r="A149" s="162" t="s">
        <v>178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1" t="s">
        <v>192</v>
      </c>
      <c r="B154" s="161"/>
      <c r="C154" s="161"/>
      <c r="D154" s="161"/>
      <c r="E154" s="27">
        <f>ПТО!G1</f>
        <v>-423428.27</v>
      </c>
    </row>
    <row r="155" spans="1:15" ht="34.5" customHeight="1">
      <c r="A155" s="163" t="s">
        <v>196</v>
      </c>
      <c r="B155" s="163"/>
      <c r="C155" s="163"/>
      <c r="D155" s="163"/>
      <c r="E155" s="28">
        <f>J13</f>
        <v>294746.47199999995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57</v>
      </c>
      <c r="I157" s="164" t="s">
        <v>21</v>
      </c>
      <c r="J157" s="164"/>
    </row>
    <row r="158" spans="1:15" ht="29.25" customHeight="1">
      <c r="A158" s="158" t="str">
        <f t="shared" ref="A158:A163" si="14">IF(N158&gt;0,N158,0)</f>
        <v>Техническое освидетельствование лифтов.</v>
      </c>
      <c r="B158" s="158"/>
      <c r="C158" s="158"/>
      <c r="D158" s="158"/>
      <c r="E158" s="158"/>
      <c r="F158" s="159">
        <f t="shared" ref="F158:F163" si="15">IF(ISERROR(VLOOKUP(A158,$A$28:$J$72,6,FALSE)),0,VLOOKUP(A158,$A$28:$J$72,6,FALSE))</f>
        <v>15000</v>
      </c>
      <c r="G158" s="159"/>
      <c r="H158" s="24" t="str">
        <f t="shared" ref="H158:H187" si="16">VLOOKUP(A158,$A$28:$J$72,8,FALSE)</f>
        <v>ежегодно</v>
      </c>
      <c r="I158" s="160">
        <f t="shared" ref="I158:I161" si="17">VLOOKUP(A158,$A$28:$J$72,9,FALSE)</f>
        <v>2</v>
      </c>
      <c r="J158" s="16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8" t="str">
        <f t="shared" si="14"/>
        <v>Техническое обслуживание охранной сигнализации.</v>
      </c>
      <c r="B159" s="158"/>
      <c r="C159" s="158"/>
      <c r="D159" s="158"/>
      <c r="E159" s="158"/>
      <c r="F159" s="159">
        <f t="shared" si="15"/>
        <v>12000</v>
      </c>
      <c r="G159" s="159"/>
      <c r="H159" s="24" t="str">
        <f t="shared" si="16"/>
        <v>ежемесячно</v>
      </c>
      <c r="I159" s="160">
        <f t="shared" si="17"/>
        <v>12</v>
      </c>
      <c r="J159" s="160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8" t="str">
        <f t="shared" si="14"/>
        <v>Проведение новогоднего праздника и приобретение подарков.</v>
      </c>
      <c r="B160" s="158"/>
      <c r="C160" s="158"/>
      <c r="D160" s="158"/>
      <c r="E160" s="158"/>
      <c r="F160" s="159">
        <f t="shared" si="15"/>
        <v>10677</v>
      </c>
      <c r="G160" s="159"/>
      <c r="H160" s="24" t="str">
        <f t="shared" si="16"/>
        <v>разово</v>
      </c>
      <c r="I160" s="160">
        <f t="shared" si="17"/>
        <v>1</v>
      </c>
      <c r="J160" s="160"/>
      <c r="M160" s="22" t="s">
        <v>72</v>
      </c>
      <c r="N160" s="1" t="str">
        <v>Проведение новогоднего праздника и приобретение подарков.</v>
      </c>
    </row>
    <row r="161" spans="1:14" ht="28.5" customHeight="1">
      <c r="A161" s="158" t="str">
        <f>IF(N161&gt;0,N161,0)</f>
        <v>Механизированная уборка снега с придомовой территории (январь).</v>
      </c>
      <c r="B161" s="158"/>
      <c r="C161" s="158"/>
      <c r="D161" s="158"/>
      <c r="E161" s="158"/>
      <c r="F161" s="159">
        <f t="shared" si="15"/>
        <v>5241.43</v>
      </c>
      <c r="G161" s="159"/>
      <c r="H161" s="24" t="str">
        <f t="shared" si="16"/>
        <v>разово</v>
      </c>
      <c r="I161" s="160">
        <f t="shared" si="17"/>
        <v>1</v>
      </c>
      <c r="J161" s="160"/>
      <c r="M161" s="22" t="s">
        <v>72</v>
      </c>
      <c r="N161" s="1" t="str">
        <v>Механизированная уборка снега с придомовой территории (январь).</v>
      </c>
    </row>
    <row r="162" spans="1:14" ht="28.5" customHeight="1">
      <c r="A162" s="158" t="str">
        <f t="shared" si="14"/>
        <v>Механизированная уборка снега с придомовой территории (март).</v>
      </c>
      <c r="B162" s="158"/>
      <c r="C162" s="158"/>
      <c r="D162" s="158"/>
      <c r="E162" s="158"/>
      <c r="F162" s="159">
        <f t="shared" si="15"/>
        <v>6633.33</v>
      </c>
      <c r="G162" s="159"/>
      <c r="H162" s="24" t="str">
        <f t="shared" si="16"/>
        <v>разово</v>
      </c>
      <c r="I162" s="160">
        <f>VLOOKUP(A162,$A$28:$J$72,9,FALSE)</f>
        <v>1</v>
      </c>
      <c r="J162" s="160"/>
      <c r="M162" s="22" t="s">
        <v>72</v>
      </c>
      <c r="N162" s="1" t="str">
        <v>Механизированная уборка снега с придомовой территории (март).</v>
      </c>
    </row>
    <row r="163" spans="1:14" ht="28.5" customHeight="1">
      <c r="A163" s="158" t="str">
        <f t="shared" si="14"/>
        <v>Замена прибора учета электрической энергии (6 шт.), трансформатора тока (18 шт.) во ВРУ.</v>
      </c>
      <c r="B163" s="158"/>
      <c r="C163" s="158"/>
      <c r="D163" s="158"/>
      <c r="E163" s="158"/>
      <c r="F163" s="159">
        <f t="shared" si="15"/>
        <v>21075.45</v>
      </c>
      <c r="G163" s="159"/>
      <c r="H163" s="24" t="str">
        <f t="shared" si="16"/>
        <v>разово</v>
      </c>
      <c r="I163" s="160">
        <f>VLOOKUP(A163,$A$28:$J$72,9,FALSE)</f>
        <v>1</v>
      </c>
      <c r="J163" s="160"/>
      <c r="M163" s="22" t="s">
        <v>72</v>
      </c>
      <c r="N163" s="1" t="str">
        <v>Замена прибора учета электрической энергии (6 шт.), трансформатора тока (18 шт.) во ВРУ.</v>
      </c>
    </row>
    <row r="164" spans="1:14" ht="28.5" customHeight="1">
      <c r="A164" s="158" t="str">
        <f t="shared" ref="A164:A187" si="18">IF(N164&gt;0,N164,0)</f>
        <v>Приобретение и установка таблички по пожарной безопасности.</v>
      </c>
      <c r="B164" s="158"/>
      <c r="C164" s="158"/>
      <c r="D164" s="158"/>
      <c r="E164" s="158"/>
      <c r="F164" s="159">
        <f t="shared" ref="F164:F187" si="19">IF(ISERROR(VLOOKUP(A164,$A$28:$J$72,6,FALSE)),0,VLOOKUP(A164,$A$28:$J$72,6,FALSE))</f>
        <v>500</v>
      </c>
      <c r="G164" s="159"/>
      <c r="H164" s="29" t="str">
        <f t="shared" si="16"/>
        <v>разово</v>
      </c>
      <c r="I164" s="160">
        <f t="shared" ref="I164:I187" si="20">VLOOKUP(A164,$A$28:$J$72,9,FALSE)</f>
        <v>1</v>
      </c>
      <c r="J164" s="160"/>
      <c r="M164" s="22" t="s">
        <v>72</v>
      </c>
      <c r="N164" s="1" t="str">
        <v>Приобретение и установка таблички по пожарной безопасности.</v>
      </c>
    </row>
    <row r="165" spans="1:14" ht="28.5" customHeight="1">
      <c r="A165" s="158" t="str">
        <f t="shared" si="18"/>
        <v>Приобретение и  замена ОДПУ ХВС.</v>
      </c>
      <c r="B165" s="158"/>
      <c r="C165" s="158"/>
      <c r="D165" s="158"/>
      <c r="E165" s="158"/>
      <c r="F165" s="159">
        <f t="shared" si="19"/>
        <v>10620</v>
      </c>
      <c r="G165" s="159"/>
      <c r="H165" s="29" t="str">
        <f t="shared" si="16"/>
        <v>разово</v>
      </c>
      <c r="I165" s="160">
        <f t="shared" si="20"/>
        <v>1</v>
      </c>
      <c r="J165" s="160"/>
      <c r="M165" s="22" t="s">
        <v>72</v>
      </c>
      <c r="N165" s="1" t="str">
        <v>Приобретение и  замена ОДПУ ХВС.</v>
      </c>
    </row>
    <row r="166" spans="1:14" ht="28.5" customHeight="1">
      <c r="A166" s="158" t="str">
        <f t="shared" si="18"/>
        <v>Ремонт стояка полотенцесушителя (кв. 65).</v>
      </c>
      <c r="B166" s="158"/>
      <c r="C166" s="158"/>
      <c r="D166" s="158"/>
      <c r="E166" s="158"/>
      <c r="F166" s="159">
        <f t="shared" si="19"/>
        <v>6486.84</v>
      </c>
      <c r="G166" s="159"/>
      <c r="H166" s="29" t="str">
        <f t="shared" si="16"/>
        <v>разово</v>
      </c>
      <c r="I166" s="160">
        <f t="shared" si="20"/>
        <v>1</v>
      </c>
      <c r="J166" s="160"/>
      <c r="M166" s="22" t="s">
        <v>72</v>
      </c>
      <c r="N166" s="1" t="str">
        <v>Ремонт стояка полотенцесушителя (кв. 65).</v>
      </c>
    </row>
    <row r="167" spans="1:14" ht="28.5" customHeight="1">
      <c r="A167" s="158" t="str">
        <f t="shared" si="18"/>
        <v>Благоустройство придомовой территории (покраска малых форм).</v>
      </c>
      <c r="B167" s="158"/>
      <c r="C167" s="158"/>
      <c r="D167" s="158"/>
      <c r="E167" s="158"/>
      <c r="F167" s="159">
        <f t="shared" si="19"/>
        <v>1257</v>
      </c>
      <c r="G167" s="159"/>
      <c r="H167" s="29" t="str">
        <f t="shared" si="16"/>
        <v>разово</v>
      </c>
      <c r="I167" s="160">
        <f t="shared" si="20"/>
        <v>1</v>
      </c>
      <c r="J167" s="160"/>
      <c r="M167" s="22" t="s">
        <v>72</v>
      </c>
      <c r="N167" s="1" t="str">
        <v>Благоустройство придомовой территории (покраска малых форм).</v>
      </c>
    </row>
    <row r="168" spans="1:14" ht="28.5" customHeight="1">
      <c r="A168" s="158" t="str">
        <f t="shared" si="18"/>
        <v>Ремонт прибора учета тепловой энергии.</v>
      </c>
      <c r="B168" s="158"/>
      <c r="C168" s="158"/>
      <c r="D168" s="158"/>
      <c r="E168" s="158"/>
      <c r="F168" s="159">
        <f t="shared" si="19"/>
        <v>3540</v>
      </c>
      <c r="G168" s="159"/>
      <c r="H168" s="29" t="str">
        <f t="shared" si="16"/>
        <v>разово</v>
      </c>
      <c r="I168" s="160">
        <f t="shared" si="20"/>
        <v>1</v>
      </c>
      <c r="J168" s="160"/>
      <c r="M168" s="22" t="s">
        <v>72</v>
      </c>
      <c r="N168" s="1" t="str">
        <v>Ремонт прибора учета тепловой энергии.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59">
        <f t="shared" si="19"/>
        <v>0</v>
      </c>
      <c r="G169" s="159"/>
      <c r="H169" s="29" t="e">
        <f t="shared" si="16"/>
        <v>#N/A</v>
      </c>
      <c r="I169" s="160" t="e">
        <f t="shared" si="20"/>
        <v>#N/A</v>
      </c>
      <c r="J169" s="160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59">
        <f t="shared" si="19"/>
        <v>0</v>
      </c>
      <c r="G170" s="159"/>
      <c r="H170" s="29" t="e">
        <f t="shared" si="16"/>
        <v>#N/A</v>
      </c>
      <c r="I170" s="160" t="e">
        <f t="shared" si="20"/>
        <v>#N/A</v>
      </c>
      <c r="J170" s="160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59">
        <f t="shared" si="19"/>
        <v>0</v>
      </c>
      <c r="G171" s="159"/>
      <c r="H171" s="29" t="e">
        <f t="shared" si="16"/>
        <v>#N/A</v>
      </c>
      <c r="I171" s="160" t="e">
        <f t="shared" si="20"/>
        <v>#N/A</v>
      </c>
      <c r="J171" s="160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59">
        <f t="shared" si="19"/>
        <v>0</v>
      </c>
      <c r="G172" s="159"/>
      <c r="H172" s="29" t="e">
        <f t="shared" si="16"/>
        <v>#N/A</v>
      </c>
      <c r="I172" s="160" t="e">
        <f t="shared" si="20"/>
        <v>#N/A</v>
      </c>
      <c r="J172" s="160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59">
        <f t="shared" si="19"/>
        <v>0</v>
      </c>
      <c r="G173" s="159"/>
      <c r="H173" s="29" t="e">
        <f t="shared" si="16"/>
        <v>#N/A</v>
      </c>
      <c r="I173" s="160" t="e">
        <f t="shared" si="20"/>
        <v>#N/A</v>
      </c>
      <c r="J173" s="160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59">
        <f t="shared" si="19"/>
        <v>0</v>
      </c>
      <c r="G174" s="159"/>
      <c r="H174" s="29" t="e">
        <f t="shared" si="16"/>
        <v>#N/A</v>
      </c>
      <c r="I174" s="160" t="e">
        <f t="shared" si="20"/>
        <v>#N/A</v>
      </c>
      <c r="J174" s="160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59">
        <f t="shared" si="19"/>
        <v>0</v>
      </c>
      <c r="G175" s="159"/>
      <c r="H175" s="29" t="e">
        <f t="shared" si="16"/>
        <v>#N/A</v>
      </c>
      <c r="I175" s="160" t="e">
        <f t="shared" si="20"/>
        <v>#N/A</v>
      </c>
      <c r="J175" s="160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59">
        <f t="shared" si="19"/>
        <v>0</v>
      </c>
      <c r="G176" s="159"/>
      <c r="H176" s="29" t="e">
        <f t="shared" si="16"/>
        <v>#N/A</v>
      </c>
      <c r="I176" s="160" t="e">
        <f t="shared" si="20"/>
        <v>#N/A</v>
      </c>
      <c r="J176" s="160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59">
        <f t="shared" si="19"/>
        <v>0</v>
      </c>
      <c r="G177" s="159"/>
      <c r="H177" s="29" t="e">
        <f t="shared" si="16"/>
        <v>#N/A</v>
      </c>
      <c r="I177" s="160" t="e">
        <f t="shared" si="20"/>
        <v>#N/A</v>
      </c>
      <c r="J177" s="160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59">
        <f t="shared" si="19"/>
        <v>0</v>
      </c>
      <c r="G178" s="159"/>
      <c r="H178" s="29" t="e">
        <f t="shared" si="16"/>
        <v>#N/A</v>
      </c>
      <c r="I178" s="160" t="e">
        <f t="shared" si="20"/>
        <v>#N/A</v>
      </c>
      <c r="J178" s="160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59">
        <f t="shared" si="19"/>
        <v>0</v>
      </c>
      <c r="G179" s="159"/>
      <c r="H179" s="29" t="e">
        <f t="shared" si="16"/>
        <v>#N/A</v>
      </c>
      <c r="I179" s="160" t="e">
        <f t="shared" si="20"/>
        <v>#N/A</v>
      </c>
      <c r="J179" s="160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59">
        <f t="shared" si="19"/>
        <v>0</v>
      </c>
      <c r="G180" s="159"/>
      <c r="H180" s="29" t="e">
        <f t="shared" si="16"/>
        <v>#N/A</v>
      </c>
      <c r="I180" s="160" t="e">
        <f t="shared" si="20"/>
        <v>#N/A</v>
      </c>
      <c r="J180" s="160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59">
        <f t="shared" si="19"/>
        <v>0</v>
      </c>
      <c r="G181" s="159"/>
      <c r="H181" s="29" t="e">
        <f t="shared" si="16"/>
        <v>#N/A</v>
      </c>
      <c r="I181" s="160" t="e">
        <f t="shared" si="20"/>
        <v>#N/A</v>
      </c>
      <c r="J181" s="160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59">
        <f t="shared" si="19"/>
        <v>0</v>
      </c>
      <c r="G182" s="159"/>
      <c r="H182" s="29" t="e">
        <f t="shared" si="16"/>
        <v>#N/A</v>
      </c>
      <c r="I182" s="160" t="e">
        <f t="shared" si="20"/>
        <v>#N/A</v>
      </c>
      <c r="J182" s="160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59">
        <f t="shared" si="19"/>
        <v>0</v>
      </c>
      <c r="G183" s="159"/>
      <c r="H183" s="29" t="e">
        <f t="shared" si="16"/>
        <v>#N/A</v>
      </c>
      <c r="I183" s="160" t="e">
        <f t="shared" si="20"/>
        <v>#N/A</v>
      </c>
      <c r="J183" s="160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59">
        <f t="shared" si="19"/>
        <v>0</v>
      </c>
      <c r="G184" s="159"/>
      <c r="H184" s="29" t="e">
        <f t="shared" si="16"/>
        <v>#N/A</v>
      </c>
      <c r="I184" s="160" t="e">
        <f t="shared" si="20"/>
        <v>#N/A</v>
      </c>
      <c r="J184" s="160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59">
        <f t="shared" si="19"/>
        <v>0</v>
      </c>
      <c r="G185" s="159"/>
      <c r="H185" s="29" t="e">
        <f t="shared" si="16"/>
        <v>#N/A</v>
      </c>
      <c r="I185" s="160" t="e">
        <f t="shared" si="20"/>
        <v>#N/A</v>
      </c>
      <c r="J185" s="160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59">
        <f t="shared" si="19"/>
        <v>0</v>
      </c>
      <c r="G186" s="159"/>
      <c r="H186" s="29" t="e">
        <f t="shared" si="16"/>
        <v>#N/A</v>
      </c>
      <c r="I186" s="160" t="e">
        <f t="shared" si="20"/>
        <v>#N/A</v>
      </c>
      <c r="J186" s="160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59">
        <f t="shared" si="19"/>
        <v>0</v>
      </c>
      <c r="G187" s="159"/>
      <c r="H187" s="29" t="e">
        <f t="shared" si="16"/>
        <v>#N/A</v>
      </c>
      <c r="I187" s="160" t="e">
        <f t="shared" si="20"/>
        <v>#N/A</v>
      </c>
      <c r="J187" s="160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61" t="s">
        <v>195</v>
      </c>
      <c r="B190" s="161"/>
      <c r="C190" s="161"/>
      <c r="D190" s="161"/>
      <c r="E190" s="27">
        <f>SUM(F158:G187)</f>
        <v>93031.05</v>
      </c>
    </row>
    <row r="191" spans="1:14" ht="51.75" customHeight="1">
      <c r="A191" s="161" t="s">
        <v>194</v>
      </c>
      <c r="B191" s="161"/>
      <c r="C191" s="161"/>
      <c r="D191" s="161"/>
      <c r="E191" s="27">
        <f>E190+E154-E155</f>
        <v>-625143.69200000004</v>
      </c>
    </row>
    <row r="192" spans="1:14">
      <c r="A192" s="103" t="s">
        <v>173</v>
      </c>
    </row>
    <row r="193" spans="1:10" ht="62.25" customHeight="1">
      <c r="A193" s="186" t="s">
        <v>193</v>
      </c>
      <c r="B193" s="186"/>
      <c r="C193" s="186"/>
      <c r="D193" s="186"/>
      <c r="E193" s="186"/>
      <c r="F193" s="186"/>
      <c r="G193" s="186"/>
      <c r="H193" s="186"/>
      <c r="I193" s="186"/>
      <c r="J193" s="186"/>
    </row>
    <row r="194" spans="1:10">
      <c r="A194" s="185" t="str">
        <f>ПТО!F12</f>
        <v xml:space="preserve">  -  поверка (замена) манометров и термометров</v>
      </c>
      <c r="B194" s="185"/>
      <c r="C194" s="185"/>
      <c r="D194" s="185"/>
      <c r="E194" s="185"/>
      <c r="F194" s="185"/>
      <c r="G194" s="185"/>
      <c r="H194" s="48">
        <f>ПТО!G12</f>
        <v>1200</v>
      </c>
      <c r="I194" s="49" t="s">
        <v>74</v>
      </c>
    </row>
    <row r="195" spans="1:10" ht="18.75" customHeight="1">
      <c r="A195" s="185" t="str">
        <f>ПТО!F13</f>
        <v xml:space="preserve">  -  техническое освидетельствование лифтов</v>
      </c>
      <c r="B195" s="185"/>
      <c r="C195" s="185"/>
      <c r="D195" s="185"/>
      <c r="E195" s="185"/>
      <c r="F195" s="185"/>
      <c r="G195" s="185"/>
      <c r="H195" s="48">
        <f>ПТО!G13</f>
        <v>15000</v>
      </c>
      <c r="I195" s="49" t="s">
        <v>74</v>
      </c>
    </row>
    <row r="196" spans="1:10" ht="18.75" customHeight="1">
      <c r="A196" s="185" t="str">
        <f>ПТО!F14</f>
        <v xml:space="preserve">  -  техническое обслуживание охранной сигнализации</v>
      </c>
      <c r="B196" s="185"/>
      <c r="C196" s="185"/>
      <c r="D196" s="185"/>
      <c r="E196" s="185"/>
      <c r="F196" s="185"/>
      <c r="G196" s="185"/>
      <c r="H196" s="48">
        <f>ПТО!G14</f>
        <v>12000</v>
      </c>
      <c r="I196" s="49" t="s">
        <v>74</v>
      </c>
    </row>
    <row r="197" spans="1:10" ht="18.75" customHeight="1">
      <c r="A197" s="185" t="str">
        <f>ПТО!F15</f>
        <v xml:space="preserve">  -  вывоз снега с придомовой территории</v>
      </c>
      <c r="B197" s="185"/>
      <c r="C197" s="185"/>
      <c r="D197" s="185"/>
      <c r="E197" s="185"/>
      <c r="F197" s="185"/>
      <c r="G197" s="185"/>
      <c r="H197" s="48">
        <f>ПТО!G15</f>
        <v>25000</v>
      </c>
      <c r="I197" s="49" t="s">
        <v>74</v>
      </c>
    </row>
    <row r="198" spans="1:10" ht="18.75" customHeight="1">
      <c r="A198" s="185" t="str">
        <f>ПТО!F16</f>
        <v xml:space="preserve">  -  благоустройство территории (завоз песка, чернозема, приобретение рассады)</v>
      </c>
      <c r="B198" s="185"/>
      <c r="C198" s="185"/>
      <c r="D198" s="185"/>
      <c r="E198" s="185"/>
      <c r="F198" s="185"/>
      <c r="G198" s="185"/>
      <c r="H198" s="48">
        <f>ПТО!G16</f>
        <v>5000</v>
      </c>
      <c r="I198" s="51" t="s">
        <v>74</v>
      </c>
    </row>
    <row r="199" spans="1:10" ht="18.75" customHeight="1">
      <c r="A199" s="185" t="str">
        <f>ПТО!F17</f>
        <v xml:space="preserve">  -  замена светильников в подъездах</v>
      </c>
      <c r="B199" s="185"/>
      <c r="C199" s="185"/>
      <c r="D199" s="185"/>
      <c r="E199" s="185"/>
      <c r="F199" s="185"/>
      <c r="G199" s="185"/>
      <c r="H199" s="48">
        <f>ПТО!G17</f>
        <v>90000</v>
      </c>
      <c r="I199" s="49" t="s">
        <v>74</v>
      </c>
    </row>
    <row r="200" spans="1:10">
      <c r="A200" s="185" t="str">
        <f>ПТО!F18</f>
        <v xml:space="preserve">  -  генеральная уборка в подъездах</v>
      </c>
      <c r="B200" s="185"/>
      <c r="C200" s="185"/>
      <c r="D200" s="185"/>
      <c r="E200" s="185"/>
      <c r="F200" s="185"/>
      <c r="G200" s="185"/>
      <c r="H200" s="48">
        <f>ПТО!G18</f>
        <v>20000</v>
      </c>
      <c r="I200" s="49" t="s">
        <v>74</v>
      </c>
    </row>
    <row r="201" spans="1:10">
      <c r="A201" s="185" t="str">
        <f>ПТО!F19</f>
        <v xml:space="preserve">  -  монтаж системы видеонаблюдения</v>
      </c>
      <c r="B201" s="185"/>
      <c r="C201" s="185"/>
      <c r="D201" s="185"/>
      <c r="E201" s="185"/>
      <c r="F201" s="185"/>
      <c r="G201" s="185"/>
      <c r="H201" s="48">
        <f>ПТО!G19</f>
        <v>210000</v>
      </c>
      <c r="I201" s="49" t="s">
        <v>74</v>
      </c>
    </row>
    <row r="202" spans="1:10">
      <c r="A202" s="185" t="str">
        <f>ПТО!F20</f>
        <v xml:space="preserve">  -  ремонт подъездов</v>
      </c>
      <c r="B202" s="185"/>
      <c r="C202" s="185"/>
      <c r="D202" s="185"/>
      <c r="E202" s="185"/>
      <c r="F202" s="185"/>
      <c r="G202" s="185"/>
      <c r="H202" s="48">
        <f>ПТО!G20</f>
        <v>560000</v>
      </c>
      <c r="I202" s="49" t="s">
        <v>74</v>
      </c>
    </row>
    <row r="203" spans="1:10" hidden="1">
      <c r="A203" s="185">
        <f>ПТО!F21</f>
        <v>0</v>
      </c>
      <c r="B203" s="185"/>
      <c r="C203" s="185"/>
      <c r="D203" s="185"/>
      <c r="E203" s="185"/>
      <c r="F203" s="185"/>
      <c r="G203" s="185"/>
      <c r="H203" s="48">
        <f>ПТО!G21</f>
        <v>0</v>
      </c>
      <c r="I203" s="49" t="s">
        <v>74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8">
        <f>ПТО!G22</f>
        <v>0</v>
      </c>
      <c r="I204" s="49" t="s">
        <v>74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8">
        <f>ПТО!G23</f>
        <v>0</v>
      </c>
      <c r="I205" s="49" t="s">
        <v>74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8">
        <f>ПТО!G24</f>
        <v>0</v>
      </c>
      <c r="I206" s="49" t="s">
        <v>74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8">
        <f>ПТО!G25</f>
        <v>0</v>
      </c>
      <c r="I207" s="49" t="s">
        <v>74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8">
        <f>ПТО!G26</f>
        <v>0</v>
      </c>
      <c r="I208" s="49" t="s">
        <v>74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8">
        <f>ПТО!G27</f>
        <v>0</v>
      </c>
      <c r="I209" s="49" t="s">
        <v>74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8">
        <f>ПТО!G28</f>
        <v>0</v>
      </c>
      <c r="I210" s="49" t="s">
        <v>74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8">
        <f>ПТО!G29</f>
        <v>0</v>
      </c>
      <c r="I211" s="49" t="s">
        <v>74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8">
        <f>ПТО!G30</f>
        <v>0</v>
      </c>
      <c r="I212" s="49" t="s">
        <v>74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938200</v>
      </c>
      <c r="I214" s="55" t="s">
        <v>76</v>
      </c>
    </row>
  </sheetData>
  <sheetProtection algorithmName="SHA-512" hashValue="hfpahhbOmXg+19qqv2G5X4uQAv4W0FsX6lC5eHgDjaAtX9ZIj7dSgBIBlkInxuycIgSJrLlt2pErsQwEdHGkSQ==" saltValue="ULSPFskPlasAfgrLN7xVP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6" sqref="G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192</v>
      </c>
      <c r="G1" s="100">
        <f>-423428.27</f>
        <v>-423428.27</v>
      </c>
    </row>
    <row r="2" spans="1:12" ht="18.75" customHeight="1">
      <c r="A2" s="123" t="s">
        <v>180</v>
      </c>
      <c r="B2" s="121" t="s">
        <v>175</v>
      </c>
      <c r="C2" s="121">
        <v>2</v>
      </c>
      <c r="D2" s="119">
        <v>15000</v>
      </c>
      <c r="E2" s="31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184</v>
      </c>
      <c r="B3" s="121" t="s">
        <v>191</v>
      </c>
      <c r="C3" s="121">
        <v>12</v>
      </c>
      <c r="D3" s="119">
        <v>12000</v>
      </c>
      <c r="E3" s="31" t="s">
        <v>215</v>
      </c>
      <c r="F3" s="30"/>
      <c r="G3" s="30"/>
      <c r="L3" s="33" t="str">
        <f t="shared" si="0"/>
        <v>ТР</v>
      </c>
    </row>
    <row r="4" spans="1:12" ht="31.5" customHeight="1">
      <c r="A4" s="127" t="s">
        <v>197</v>
      </c>
      <c r="B4" s="128" t="s">
        <v>176</v>
      </c>
      <c r="C4" s="128">
        <v>1</v>
      </c>
      <c r="D4" s="118">
        <v>10677</v>
      </c>
      <c r="E4" s="129" t="s">
        <v>198</v>
      </c>
      <c r="F4" s="30"/>
      <c r="G4" s="30"/>
      <c r="L4" s="33" t="str">
        <f t="shared" si="0"/>
        <v>ТР</v>
      </c>
    </row>
    <row r="5" spans="1:12" ht="27" customHeight="1">
      <c r="A5" s="131" t="s">
        <v>201</v>
      </c>
      <c r="B5" s="128" t="s">
        <v>176</v>
      </c>
      <c r="C5" s="120">
        <v>1</v>
      </c>
      <c r="D5" s="118">
        <v>5241.43</v>
      </c>
      <c r="E5" s="130" t="s">
        <v>199</v>
      </c>
      <c r="F5" s="44"/>
      <c r="G5" s="44"/>
      <c r="K5" s="46"/>
      <c r="L5" s="33" t="str">
        <f t="shared" si="0"/>
        <v>ТР</v>
      </c>
    </row>
    <row r="6" spans="1:12" ht="33" customHeight="1">
      <c r="A6" s="131" t="s">
        <v>200</v>
      </c>
      <c r="B6" s="132" t="s">
        <v>176</v>
      </c>
      <c r="C6" s="133">
        <v>1</v>
      </c>
      <c r="D6" s="134">
        <v>6633.33</v>
      </c>
      <c r="E6" s="135" t="s">
        <v>204</v>
      </c>
      <c r="F6" s="44"/>
      <c r="G6" s="44"/>
      <c r="K6" s="46"/>
      <c r="L6" s="33" t="str">
        <f t="shared" si="0"/>
        <v>ТР</v>
      </c>
    </row>
    <row r="7" spans="1:12" ht="29.25" customHeight="1">
      <c r="A7" s="136" t="s">
        <v>205</v>
      </c>
      <c r="B7" s="122" t="s">
        <v>176</v>
      </c>
      <c r="C7" s="137">
        <v>1</v>
      </c>
      <c r="D7" s="138">
        <v>21075.45</v>
      </c>
      <c r="E7" s="139" t="s">
        <v>206</v>
      </c>
      <c r="F7" s="45"/>
      <c r="G7" s="45"/>
      <c r="K7" s="46"/>
      <c r="L7" s="33" t="str">
        <f t="shared" si="0"/>
        <v>ТР</v>
      </c>
    </row>
    <row r="8" spans="1:12" ht="18.75" customHeight="1">
      <c r="A8" s="140" t="s">
        <v>202</v>
      </c>
      <c r="B8" s="122" t="s">
        <v>176</v>
      </c>
      <c r="C8" s="137">
        <v>1</v>
      </c>
      <c r="D8" s="138">
        <v>500</v>
      </c>
      <c r="E8" s="141" t="s">
        <v>207</v>
      </c>
      <c r="F8" s="45"/>
      <c r="G8" s="45"/>
      <c r="K8" s="43"/>
      <c r="L8" s="33" t="str">
        <f t="shared" si="0"/>
        <v>ТР</v>
      </c>
    </row>
    <row r="9" spans="1:12">
      <c r="A9" s="157" t="s">
        <v>216</v>
      </c>
      <c r="B9" s="142" t="s">
        <v>176</v>
      </c>
      <c r="C9" s="133">
        <v>1</v>
      </c>
      <c r="D9" s="134">
        <v>10620</v>
      </c>
      <c r="E9" s="143" t="s">
        <v>208</v>
      </c>
      <c r="F9" s="44"/>
      <c r="G9" s="44"/>
      <c r="K9" s="43"/>
      <c r="L9" s="33" t="str">
        <f t="shared" si="0"/>
        <v>ТР</v>
      </c>
    </row>
    <row r="10" spans="1:12">
      <c r="A10" s="144" t="s">
        <v>209</v>
      </c>
      <c r="B10" s="145" t="s">
        <v>176</v>
      </c>
      <c r="C10" s="133">
        <v>1</v>
      </c>
      <c r="D10" s="134">
        <v>6486.84</v>
      </c>
      <c r="E10" s="146" t="s">
        <v>210</v>
      </c>
      <c r="L10" s="33" t="str">
        <f t="shared" si="0"/>
        <v>ТР</v>
      </c>
    </row>
    <row r="11" spans="1:12" ht="94.5">
      <c r="A11" s="147" t="s">
        <v>203</v>
      </c>
      <c r="B11" s="148" t="s">
        <v>176</v>
      </c>
      <c r="C11" s="149">
        <v>1</v>
      </c>
      <c r="D11" s="150">
        <v>1257</v>
      </c>
      <c r="E11" s="151" t="s">
        <v>211</v>
      </c>
      <c r="F11" s="110" t="s">
        <v>193</v>
      </c>
      <c r="G11" s="110"/>
      <c r="L11" s="33" t="str">
        <f t="shared" si="0"/>
        <v>ТР</v>
      </c>
    </row>
    <row r="12" spans="1:12" ht="31.5">
      <c r="A12" s="152" t="s">
        <v>212</v>
      </c>
      <c r="B12" s="153" t="s">
        <v>176</v>
      </c>
      <c r="C12" s="154">
        <v>1</v>
      </c>
      <c r="D12" s="155">
        <v>3540</v>
      </c>
      <c r="E12" s="156" t="s">
        <v>213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30"/>
      <c r="F13" s="111" t="s">
        <v>183</v>
      </c>
      <c r="G13" s="112">
        <v>15000</v>
      </c>
      <c r="L13" s="33">
        <f t="shared" si="0"/>
        <v>0</v>
      </c>
    </row>
    <row r="14" spans="1:12" ht="31.5">
      <c r="A14" s="30"/>
      <c r="F14" s="111" t="s">
        <v>182</v>
      </c>
      <c r="G14" s="113">
        <v>12000</v>
      </c>
      <c r="L14" s="33">
        <f t="shared" si="0"/>
        <v>0</v>
      </c>
    </row>
    <row r="15" spans="1:12" ht="15.75">
      <c r="A15" s="30"/>
      <c r="F15" s="124" t="s">
        <v>185</v>
      </c>
      <c r="G15" s="113">
        <v>25000</v>
      </c>
      <c r="L15" s="33">
        <f t="shared" si="0"/>
        <v>0</v>
      </c>
    </row>
    <row r="16" spans="1:12" ht="15.75">
      <c r="A16" s="30"/>
      <c r="F16" s="125" t="s">
        <v>186</v>
      </c>
      <c r="G16" s="126">
        <v>5000</v>
      </c>
      <c r="L16" s="33">
        <f t="shared" si="0"/>
        <v>0</v>
      </c>
    </row>
    <row r="17" spans="1:12" ht="15.75">
      <c r="A17" s="30"/>
      <c r="F17" s="124" t="s">
        <v>187</v>
      </c>
      <c r="G17" s="113">
        <v>90000</v>
      </c>
      <c r="L17" s="33">
        <f t="shared" si="0"/>
        <v>0</v>
      </c>
    </row>
    <row r="18" spans="1:12" ht="15.75">
      <c r="A18" s="30"/>
      <c r="F18" s="124" t="s">
        <v>188</v>
      </c>
      <c r="G18" s="113">
        <v>20000</v>
      </c>
      <c r="L18" s="33">
        <f t="shared" si="0"/>
        <v>0</v>
      </c>
    </row>
    <row r="19" spans="1:12" ht="15.75">
      <c r="A19" s="30"/>
      <c r="F19" s="124" t="s">
        <v>189</v>
      </c>
      <c r="G19" s="113">
        <v>210000</v>
      </c>
      <c r="L19" s="33">
        <f t="shared" si="0"/>
        <v>0</v>
      </c>
    </row>
    <row r="20" spans="1:12" ht="15.75">
      <c r="A20" s="30"/>
      <c r="F20" s="124" t="s">
        <v>190</v>
      </c>
      <c r="G20" s="113">
        <v>560000</v>
      </c>
      <c r="L20" s="33">
        <f t="shared" si="0"/>
        <v>0</v>
      </c>
    </row>
    <row r="21" spans="1:12" ht="15.75">
      <c r="F21" s="124"/>
      <c r="G21" s="113"/>
      <c r="L21" s="33">
        <f t="shared" si="0"/>
        <v>0</v>
      </c>
    </row>
    <row r="22" spans="1:12" ht="15.75">
      <c r="F22" s="124"/>
      <c r="G22" s="113"/>
      <c r="L22" s="33">
        <f t="shared" si="0"/>
        <v>0</v>
      </c>
    </row>
    <row r="23" spans="1:12" ht="15.75">
      <c r="F23" s="124"/>
      <c r="G23" s="113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267660.24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267660.24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156135.12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156135.12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87361.319999999992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87361.319999999992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71252.160000000003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71252.160000000003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21685.439999999999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21685.439999999999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112144.68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112144.68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179</v>
      </c>
      <c r="B46" s="117">
        <v>238539.84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238539.84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9E+DqP3SGQZ/KW/iJxLj1lsIwAYjH86F7pHPMpsjHtSjEYUA4HRwxtoSR73J43+YI3AdusMvs/WOdD6Jp3MTAw==" saltValue="oHznr5rksh4fpUspJpPi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83" sqref="E8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181</v>
      </c>
      <c r="F1" s="59">
        <v>5181.8999999999996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328368.74200000009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1270464.6120000002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975718.14000000013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294746.47199999995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1330472.1600000001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1330472.1600000001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1330472.1600000001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268361.19400000013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89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89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89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89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8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8"/>
      <c r="N26" s="62"/>
    </row>
    <row r="27" spans="1:15" ht="18.75" customHeight="1">
      <c r="A27" s="69" t="s">
        <v>104</v>
      </c>
      <c r="B27" s="74" t="s">
        <v>4</v>
      </c>
      <c r="C27" s="85">
        <v>122922.69</v>
      </c>
      <c r="D27" s="80" t="s">
        <v>60</v>
      </c>
      <c r="E27" s="63"/>
      <c r="F27" s="63"/>
      <c r="G27" s="63"/>
      <c r="H27" s="63"/>
      <c r="I27" s="63"/>
      <c r="J27" s="63"/>
      <c r="M27" s="188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8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8"/>
      <c r="N29" s="62"/>
    </row>
    <row r="30" spans="1:15" ht="18.75" customHeight="1">
      <c r="A30" s="69" t="s">
        <v>107</v>
      </c>
      <c r="B30" s="74" t="s">
        <v>18</v>
      </c>
      <c r="C30" s="85">
        <v>121486.28</v>
      </c>
      <c r="D30" s="80" t="s">
        <v>66</v>
      </c>
      <c r="E30" s="63"/>
      <c r="F30" s="63"/>
      <c r="G30" s="63"/>
      <c r="H30" s="63"/>
      <c r="I30" s="63"/>
      <c r="J30" s="63"/>
      <c r="M30" s="188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8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8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8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8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70242.87999999999</v>
      </c>
      <c r="F37" s="93" t="s">
        <v>166</v>
      </c>
      <c r="G37" s="65"/>
      <c r="H37" s="65"/>
      <c r="I37" s="65"/>
      <c r="L37" s="62"/>
      <c r="M37" s="187"/>
      <c r="N37" s="62"/>
      <c r="O37" s="62"/>
    </row>
    <row r="38" spans="1:15" ht="18.75" customHeight="1">
      <c r="A38" s="69" t="s">
        <v>112</v>
      </c>
      <c r="B38" s="77" t="s">
        <v>37</v>
      </c>
      <c r="C38" s="89">
        <v>61616.561403508771</v>
      </c>
      <c r="D38" s="93" t="s">
        <v>164</v>
      </c>
      <c r="E38" s="67"/>
      <c r="G38" s="66"/>
      <c r="H38" s="66"/>
      <c r="L38" s="62"/>
      <c r="M38" s="187"/>
      <c r="N38" s="62"/>
      <c r="O38" s="62"/>
    </row>
    <row r="39" spans="1:15" ht="18.75" customHeight="1">
      <c r="A39" s="69" t="s">
        <v>113</v>
      </c>
      <c r="B39" s="77" t="s">
        <v>38</v>
      </c>
      <c r="C39" s="90">
        <v>74836.39</v>
      </c>
      <c r="D39" s="93" t="s">
        <v>165</v>
      </c>
      <c r="E39" s="67"/>
      <c r="G39" s="66"/>
      <c r="H39" s="66"/>
      <c r="L39" s="62"/>
      <c r="M39" s="187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87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70242.87999999999</v>
      </c>
      <c r="D41" s="79" t="s">
        <v>59</v>
      </c>
      <c r="E41" s="67"/>
      <c r="G41" s="66"/>
      <c r="H41" s="66"/>
      <c r="L41" s="62"/>
      <c r="M41" s="187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70242.87999999999</v>
      </c>
      <c r="D42" s="79" t="s">
        <v>59</v>
      </c>
      <c r="E42" s="67"/>
      <c r="G42" s="66"/>
      <c r="H42" s="66"/>
      <c r="L42" s="62"/>
      <c r="M42" s="187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7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7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204446.97000000003</v>
      </c>
      <c r="F45" s="93" t="s">
        <v>166</v>
      </c>
      <c r="G45" s="65"/>
      <c r="H45" s="65"/>
      <c r="L45" s="62"/>
      <c r="M45" s="187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15110.640798226166</v>
      </c>
      <c r="D46" s="93" t="s">
        <v>167</v>
      </c>
      <c r="E46" s="67"/>
      <c r="G46" s="66"/>
      <c r="H46" s="66"/>
      <c r="L46" s="62"/>
      <c r="M46" s="187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200676.18</v>
      </c>
      <c r="D47" s="93" t="s">
        <v>165</v>
      </c>
      <c r="E47" s="67"/>
      <c r="G47" s="66"/>
      <c r="H47" s="66"/>
      <c r="L47" s="62"/>
      <c r="M47" s="187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3770.7900000000373</v>
      </c>
      <c r="D48" s="79" t="s">
        <v>59</v>
      </c>
      <c r="E48" s="67"/>
      <c r="G48" s="66"/>
      <c r="H48" s="66"/>
      <c r="L48" s="62"/>
      <c r="M48" s="187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204446.97000000003</v>
      </c>
      <c r="D49" s="79" t="s">
        <v>59</v>
      </c>
      <c r="E49" s="67"/>
      <c r="G49" s="66"/>
      <c r="H49" s="66"/>
      <c r="L49" s="62"/>
      <c r="M49" s="187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204446.97000000003</v>
      </c>
      <c r="D50" s="79" t="s">
        <v>59</v>
      </c>
      <c r="E50" s="67"/>
      <c r="G50" s="66"/>
      <c r="H50" s="66"/>
      <c r="L50" s="62"/>
      <c r="M50" s="187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7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7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237841.93</v>
      </c>
      <c r="F53" s="93" t="s">
        <v>166</v>
      </c>
      <c r="G53" s="65"/>
      <c r="H53" s="65"/>
      <c r="L53" s="62"/>
      <c r="M53" s="187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15414.253402462735</v>
      </c>
      <c r="D54" s="93" t="s">
        <v>167</v>
      </c>
      <c r="E54" s="68"/>
      <c r="F54" s="88"/>
      <c r="G54" s="63"/>
      <c r="H54" s="63"/>
      <c r="L54" s="62"/>
      <c r="M54" s="187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230595.22000000003</v>
      </c>
      <c r="D55" s="93" t="s">
        <v>165</v>
      </c>
      <c r="E55" s="68"/>
      <c r="G55" s="63"/>
      <c r="H55" s="63"/>
      <c r="L55" s="62"/>
      <c r="M55" s="187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7246.7099999999627</v>
      </c>
      <c r="D56" s="79" t="s">
        <v>59</v>
      </c>
      <c r="E56" s="68"/>
      <c r="G56" s="63"/>
      <c r="H56" s="63"/>
      <c r="L56" s="62"/>
      <c r="M56" s="187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237841.93</v>
      </c>
      <c r="D57" s="79" t="s">
        <v>59</v>
      </c>
      <c r="E57" s="68"/>
      <c r="G57" s="63"/>
      <c r="H57" s="63"/>
      <c r="L57" s="62"/>
      <c r="M57" s="187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237841.93</v>
      </c>
      <c r="D58" s="79" t="s">
        <v>59</v>
      </c>
      <c r="E58" s="68"/>
      <c r="G58" s="63"/>
      <c r="H58" s="63"/>
      <c r="L58" s="62"/>
      <c r="M58" s="187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7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7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1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79543.520000000004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2021-03-15T03:12:15Z</dcterms:modified>
</cp:coreProperties>
</file>