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9" i="1" l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<sst xmlns="http://schemas.openxmlformats.org/spreadsheetml/2006/main" count="540" uniqueCount="194">
  <si>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</si>
  <si>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</si>
  <si>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</si>
  <si>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</si>
  <si>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</si>
  <si>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</si>
  <si>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</si>
  <si>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</si>
  <si>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</si>
  <si>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</si>
  <si>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</si>
  <si>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</si>
  <si>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</si>
  <si>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</si>
  <si>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</si>
  <si>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</si>
  <si>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</si>
  <si>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</si>
  <si>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</si>
  <si>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</si>
  <si>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</si>
  <si>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</si>
  <si>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</si>
  <si>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</si>
  <si>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</si>
  <si>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</si>
  <si>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</si>
  <si>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</si>
  <si>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</si>
  <si>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</si>
  <si>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</si>
  <si>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</si>
  <si>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</si>
  <si>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</si>
  <si>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</si>
  <si>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</si>
  <si>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</si>
  <si>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</si>
  <si>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</si>
  <si>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</si>
  <si>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</si>
  <si>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</si>
  <si>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</si>
  <si>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</si>
  <si>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</si>
  <si>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</si>
  <si>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</si>
  <si>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</si>
  <si>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</si>
  <si>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</si>
  <si>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</si>
  <si>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</si>
  <si>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</si>
  <si>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</si>
  <si>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</si>
  <si>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</si>
  <si>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</si>
  <si>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</si>
  <si>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</si>
  <si>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</si>
  <si>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</si>
  <si>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</si>
  <si>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</si>
  <si>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</si>
  <si>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</si>
  <si>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</si>
  <si>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</si>
  <si>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</si>
  <si>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</si>
  <si>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</si>
  <si>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</si>
  <si>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</si>
  <si>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</si>
  <si>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</si>
  <si>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</si>
  <si>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</si>
  <si>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</si>
  <si>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</si>
  <si>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</si>
  <si>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</si>
  <si>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</si>
  <si>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</si>
  <si>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</si>
  <si>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</si>
  <si>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</si>
  <si>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</si>
  <si>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</si>
  <si>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</si>
  <si>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</si>
  <si>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</si>
  <si>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</si>
  <si>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</si>
  <si>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</si>
  <si>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</si>
  <si>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</si>
  <si>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</si>
  <si>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</si>
  <si>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</si>
  <si>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</si>
  <si>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</si>
  <si>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</si>
  <si>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</si>
  <si>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</si>
  <si>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</si>
  <si>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</si>
  <si>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</si>
  <si>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</si>
  <si>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</si>
  <si>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</si>
  <si>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</si>
  <si>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</si>
  <si>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</si>
  <si>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</si>
  <si>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</si>
  <si>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</si>
  <si>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</si>
  <si>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</si>
  <si>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</si>
  <si>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</si>
  <si>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</si>
  <si>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</si>
  <si>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</si>
  <si>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</si>
  <si>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</si>
  <si>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</si>
  <si>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</si>
  <si>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</si>
  <si>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</si>
  <si>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</si>
  <si>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</si>
  <si>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</si>
  <si>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</si>
  <si>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</si>
  <si>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</si>
  <si>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</si>
  <si>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</si>
  <si>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</si>
  <si>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</si>
  <si>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</si>
  <si>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</si>
  <si>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</si>
  <si>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</si>
  <si>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</si>
  <si>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</si>
  <si>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</si>
  <si>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</si>
  <si>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</si>
  <si>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</si>
  <si>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</si>
  <si>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</si>
  <si>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</si>
  <si>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</si>
  <si>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</si>
  <si>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</si>
  <si>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</si>
  <si>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</si>
  <si>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</si>
  <si>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</si>
  <si>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</si>
  <si>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</si>
  <si>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</si>
  <si>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</si>
  <si>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</si>
  <si>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</si>
  <si>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</si>
  <si>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</si>
  <si>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</si>
  <si>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</si>
  <si>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</si>
  <si>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</si>
  <si>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</si>
  <si>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</si>
  <si>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</si>
  <si>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</si>
  <si>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87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</si>
  <si>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</si>
  <si>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</si>
  <si>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</si>
  <si>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</si>
  <si>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87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</si>
  <si>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</si>
  <si>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</si>
  <si>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</si>
  <si>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</si>
  <si>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</si>
  <si>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Приобретение и установка таблички по пожарной безопасности.</t>
  </si>
  <si>
    <t>разово</t>
  </si>
  <si>
    <t>Замена прибора учета ХВС.</t>
  </si>
  <si>
    <t>АВР 2/20 от 06.08.2020, счет №474 от 17.07.2020</t>
  </si>
  <si>
    <t>Замена прибора учета электрической энергии.</t>
  </si>
  <si>
    <t>АВР 3/20 от 03.07.2020</t>
  </si>
  <si>
    <t>АВР 1/20 от 07.12.2020, счет от 12.03.2020</t>
  </si>
  <si>
    <t xml:space="preserve">  -  установка системы видеонаблюдения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</si>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</sst>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  <xf numFmtId="0" fontId="1" fillId="0" borderId="0"/>
  </cellStyleXfs>
  <cellXfs count="170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Fill="1" applyBorder="1" applyAlignment="1"/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4" applyFont="1" applyFill="1" applyBorder="1" applyAlignment="1">
      <alignment horizontal="center"/>
    </xf>
    <xf numFmtId="0" fontId="1" fillId="0" borderId="0" xfId="8" applyFont="1" applyFill="1" applyBorder="1" applyAlignment="1"/>
    <xf numFmtId="0" fontId="1" fillId="0" borderId="0" xfId="8" applyFont="1" applyFill="1" applyBorder="1" applyAlignment="1">
      <alignment horizontal="center"/>
    </xf>
    <xf numFmtId="0" fontId="19" fillId="0" borderId="0" xfId="8" applyFont="1" applyFill="1" applyBorder="1" applyAlignment="1">
      <alignment horizontal="center"/>
    </xf>
    <xf numFmtId="4" fontId="19" fillId="0" borderId="0" xfId="8" applyNumberFormat="1" applyFont="1" applyFill="1" applyBorder="1" applyAlignment="1"/>
    <xf numFmtId="4" fontId="19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4 2" xfId="8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3" sqref="K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0" t="s">
        <v>174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2"/>
      <c r="L8" s="161"/>
      <c r="M8" s="112"/>
      <c r="N8" s="112"/>
      <c r="O8" s="72" t="s">
        <v>81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2"/>
      <c r="L9" s="161"/>
      <c r="M9" s="112"/>
      <c r="N9" s="112"/>
      <c r="O9" s="72" t="s">
        <v>82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45476.97</v>
      </c>
      <c r="K10" s="112"/>
      <c r="L10" s="161"/>
      <c r="M10" s="112"/>
      <c r="N10" s="112"/>
      <c r="O10" s="72" t="s">
        <v>83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272146.20999999996</v>
      </c>
      <c r="K11" s="112"/>
      <c r="L11" s="161"/>
      <c r="M11" s="112"/>
      <c r="N11" s="112"/>
      <c r="O11" s="72" t="s">
        <v>84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134338.91</v>
      </c>
      <c r="K12" s="112"/>
      <c r="L12" s="161"/>
      <c r="M12" s="112"/>
      <c r="N12" s="112"/>
      <c r="O12" s="72" t="s">
        <v>85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71678.399999999994</v>
      </c>
      <c r="K13" s="112"/>
      <c r="L13" s="161"/>
      <c r="M13" s="112"/>
      <c r="N13" s="112"/>
      <c r="O13" s="72" t="s">
        <v>86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66128.899999999994</v>
      </c>
      <c r="K14" s="112"/>
      <c r="L14" s="161"/>
      <c r="M14" s="112"/>
      <c r="N14" s="112"/>
      <c r="O14" s="72" t="s">
        <v>87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266873.92000000004</v>
      </c>
      <c r="K15" s="112"/>
      <c r="L15" s="161"/>
      <c r="M15" s="112"/>
      <c r="N15" s="112"/>
      <c r="O15" s="72" t="s">
        <v>88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266873.92000000004</v>
      </c>
      <c r="K16" s="112"/>
      <c r="L16" s="161"/>
      <c r="M16" s="112"/>
      <c r="N16" s="112"/>
      <c r="O16" s="72" t="s">
        <v>89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2"/>
      <c r="L17" s="161"/>
      <c r="M17" s="112"/>
      <c r="N17" s="112"/>
      <c r="O17" s="72" t="s">
        <v>90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2"/>
      <c r="L18" s="161"/>
      <c r="M18" s="112"/>
      <c r="N18" s="112"/>
      <c r="O18" s="72" t="s">
        <v>91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2"/>
      <c r="L19" s="161"/>
      <c r="M19" s="112"/>
      <c r="N19" s="112"/>
      <c r="O19" s="72" t="s">
        <v>92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2"/>
      <c r="L20" s="161"/>
      <c r="M20" s="112"/>
      <c r="N20" s="112"/>
      <c r="O20" s="72" t="s">
        <v>93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266873.92000000004</v>
      </c>
      <c r="K21" s="112"/>
      <c r="L21" s="161"/>
      <c r="M21" s="112"/>
      <c r="N21" s="112"/>
      <c r="O21" s="72" t="s">
        <v>94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2"/>
      <c r="L22" s="161"/>
      <c r="M22" s="112"/>
      <c r="N22" s="112"/>
      <c r="O22" s="72" t="s">
        <v>95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2"/>
      <c r="L23" s="161"/>
      <c r="M23" s="112"/>
      <c r="N23" s="112"/>
      <c r="O23" s="72" t="s">
        <v>96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50749.259999999893</v>
      </c>
      <c r="K24" s="112"/>
      <c r="L24" s="161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4" t="s">
        <v>19</v>
      </c>
      <c r="B27" s="144"/>
      <c r="C27" s="144"/>
      <c r="D27" s="144"/>
      <c r="E27" s="144"/>
      <c r="F27" s="144" t="s">
        <v>20</v>
      </c>
      <c r="G27" s="144"/>
      <c r="H27" s="5" t="s">
        <v>57</v>
      </c>
      <c r="I27" s="144" t="s">
        <v>21</v>
      </c>
      <c r="J27" s="144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39">
        <f>VLOOKUP(A28,ПТО!$A$39:$D$53,2,FALSE)</f>
        <v>53397.120000000003</v>
      </c>
      <c r="G28" s="139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38">
        <f>ПТО!A40</f>
        <v>0</v>
      </c>
      <c r="B29" s="138"/>
      <c r="C29" s="138"/>
      <c r="D29" s="138"/>
      <c r="E29" s="138"/>
      <c r="F29" s="139" t="e">
        <f>VLOOKUP(A29,ПТО!$A$39:$D$53,2,FALSE)</f>
        <v>#N/A</v>
      </c>
      <c r="G29" s="139"/>
      <c r="H29" s="42" t="e">
        <f>VLOOKUP(A29,ПТО!$A$39:$D$53,3,FALSE)</f>
        <v>#N/A</v>
      </c>
      <c r="I29" s="140" t="e">
        <f>VLOOKUP(A29,ПТО!$A$39:$D$53,4,FALSE)</f>
        <v>#N/A</v>
      </c>
      <c r="J29" s="140"/>
      <c r="K29" s="112"/>
      <c r="L29" s="162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39">
        <f>VLOOKUP(A30,ПТО!$A$39:$D$53,2,FALSE)</f>
        <v>27882.240000000002</v>
      </c>
      <c r="G30" s="139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62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39">
        <f>VLOOKUP(A31,ПТО!$A$39:$D$53,2,FALSE)</f>
        <v>15519.36</v>
      </c>
      <c r="G31" s="139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39" t="e">
        <f>VLOOKUP(A32,ПТО!$A$39:$D$53,2,FALSE)</f>
        <v>#N/A</v>
      </c>
      <c r="G32" s="139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62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39">
        <f>VLOOKUP(A33,ПТО!$A$39:$D$53,2,FALSE)</f>
        <v>6576</v>
      </c>
      <c r="G33" s="139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39">
        <f>VLOOKUP(A34,ПТО!$A$39:$D$53,2,FALSE)</f>
        <v>29460.48</v>
      </c>
      <c r="G34" s="139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38">
        <f>ПТО!A46</f>
        <v>0</v>
      </c>
      <c r="B35" s="138"/>
      <c r="C35" s="138"/>
      <c r="D35" s="138"/>
      <c r="E35" s="138"/>
      <c r="F35" s="139" t="e">
        <f>VLOOKUP(A35,ПТО!$A$39:$D$53,2,FALSE)</f>
        <v>#N/A</v>
      </c>
      <c r="G35" s="139"/>
      <c r="H35" s="42" t="e">
        <f>VLOOKUP(A35,ПТО!$A$39:$D$53,3,FALSE)</f>
        <v>#N/A</v>
      </c>
      <c r="I35" s="140" t="e">
        <f>VLOOKUP(A35,ПТО!$A$39:$D$53,4,FALSE)</f>
        <v>#N/A</v>
      </c>
      <c r="J35" s="140"/>
      <c r="K35" s="112"/>
      <c r="L35" s="162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39" t="e">
        <f>VLOOKUP(A36,ПТО!$A$39:$D$53,2,FALSE)</f>
        <v>#N/A</v>
      </c>
      <c r="G36" s="139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62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39" t="e">
        <f>VLOOKUP(A37,ПТО!$A$39:$D$53,2,FALSE)</f>
        <v>#N/A</v>
      </c>
      <c r="G37" s="139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62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39" t="e">
        <f>VLOOKUP(A38,ПТО!$A$39:$D$53,2,FALSE)</f>
        <v>#N/A</v>
      </c>
      <c r="G38" s="139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62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39" t="e">
        <f>VLOOKUP(A39,ПТО!$A$39:$D$53,2,FALSE)</f>
        <v>#N/A</v>
      </c>
      <c r="G39" s="139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62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39" t="e">
        <f>VLOOKUP(A40,ПТО!$A$39:$D$53,2,FALSE)</f>
        <v>#N/A</v>
      </c>
      <c r="G40" s="139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62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39" t="e">
        <f>VLOOKUP(A41,ПТО!$A$39:$D$53,2,FALSE)</f>
        <v>#N/A</v>
      </c>
      <c r="G41" s="139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62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39" t="e">
        <f>VLOOKUP(A42,ПТО!$A$39:$D$53,2,FALSE)</f>
        <v>#N/A</v>
      </c>
      <c r="G42" s="139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62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39">
        <f>VLOOKUP(A43,ПТО!$A$2:$D$31,4,FALSE)</f>
        <v>5400</v>
      </c>
      <c r="G43" s="139"/>
      <c r="H43" s="19" t="str">
        <f>VLOOKUP(A43,ПТО!$A$2:$D$31,2,FALSE)</f>
        <v>ежемесячно</v>
      </c>
      <c r="I43" s="140">
        <f>VLOOKUP(A43,ПТО!$A$2:$D$31,3,FALSE)</f>
        <v>12</v>
      </c>
      <c r="J43" s="140"/>
      <c r="K43" s="112"/>
      <c r="L43" s="162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8" t="str">
        <f>ПТО!A3</f>
        <v>Приобретение и установка таблички по пожарной безопасности.</v>
      </c>
      <c r="B44" s="138"/>
      <c r="C44" s="138"/>
      <c r="D44" s="138"/>
      <c r="E44" s="138"/>
      <c r="F44" s="139">
        <f>VLOOKUP(A44,ПТО!$A$2:$D$31,4,FALSE)</f>
        <v>250</v>
      </c>
      <c r="G44" s="139"/>
      <c r="H44" s="25" t="str">
        <f>VLOOKUP(A44,ПТО!$A$2:$D$31,2,FALSE)</f>
        <v>разово</v>
      </c>
      <c r="I44" s="140">
        <f>VLOOKUP(A44,ПТО!$A$2:$D$31,3,FALSE)</f>
        <v>1</v>
      </c>
      <c r="J44" s="140"/>
      <c r="K44" s="112"/>
      <c r="L44" s="162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38" t="str">
        <f>ПТО!A4</f>
        <v>Замена прибора учета ХВС.</v>
      </c>
      <c r="B45" s="138"/>
      <c r="C45" s="138"/>
      <c r="D45" s="138"/>
      <c r="E45" s="138"/>
      <c r="F45" s="139">
        <f>VLOOKUP(A45,ПТО!$A$2:$D$31,4,FALSE)</f>
        <v>2195</v>
      </c>
      <c r="G45" s="139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62"/>
      <c r="M45" s="119"/>
      <c r="N45" s="112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38" t="str">
        <f>ПТО!A5</f>
        <v>Замена прибора учета электрической энергии.</v>
      </c>
      <c r="B46" s="138"/>
      <c r="C46" s="138"/>
      <c r="D46" s="138"/>
      <c r="E46" s="138"/>
      <c r="F46" s="139">
        <f>VLOOKUP(A46,ПТО!$A$2:$D$31,4,FALSE)</f>
        <v>7209</v>
      </c>
      <c r="G46" s="139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62"/>
      <c r="M46" s="119"/>
      <c r="N46" s="112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39" t="e">
        <f>VLOOKUP(A47,ПТО!$A$2:$D$31,4,FALSE)</f>
        <v>#N/A</v>
      </c>
      <c r="G47" s="139"/>
      <c r="H47" s="25" t="e">
        <f>VLOOKUP(A47,ПТО!$A$2:$D$31,2,FALSE)</f>
        <v>#N/A</v>
      </c>
      <c r="I47" s="140" t="e">
        <f>VLOOKUP(A47,ПТО!$A$2:$D$31,3,FALSE)</f>
        <v>#N/A</v>
      </c>
      <c r="J47" s="140"/>
      <c r="K47" s="112"/>
      <c r="L47" s="162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39" t="e">
        <f>VLOOKUP(A48,ПТО!$A$2:$D$31,4,FALSE)</f>
        <v>#N/A</v>
      </c>
      <c r="G48" s="139"/>
      <c r="H48" s="25" t="e">
        <f>VLOOKUP(A48,ПТО!$A$2:$D$31,2,FALSE)</f>
        <v>#N/A</v>
      </c>
      <c r="I48" s="140" t="e">
        <f>VLOOKUP(A48,ПТО!$A$2:$D$31,3,FALSE)</f>
        <v>#N/A</v>
      </c>
      <c r="J48" s="140"/>
      <c r="K48" s="112"/>
      <c r="L48" s="162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39" t="e">
        <f>VLOOKUP(A49,ПТО!$A$2:$D$31,4,FALSE)</f>
        <v>#N/A</v>
      </c>
      <c r="G49" s="139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62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39" t="e">
        <f>VLOOKUP(A50,ПТО!$A$2:$D$31,4,FALSE)</f>
        <v>#N/A</v>
      </c>
      <c r="G50" s="139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62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39" t="e">
        <f>VLOOKUP(A51,ПТО!$A$2:$D$31,4,FALSE)</f>
        <v>#N/A</v>
      </c>
      <c r="G51" s="139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62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39" t="e">
        <f>VLOOKUP(A52,ПТО!$A$2:$D$31,4,FALSE)</f>
        <v>#N/A</v>
      </c>
      <c r="G52" s="139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62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39" t="e">
        <f>VLOOKUP(A53,ПТО!$A$2:$D$31,4,FALSE)</f>
        <v>#N/A</v>
      </c>
      <c r="G53" s="139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62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39" t="e">
        <f>VLOOKUP(A54,ПТО!$A$2:$D$31,4,FALSE)</f>
        <v>#N/A</v>
      </c>
      <c r="G54" s="139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62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39" t="e">
        <f>VLOOKUP(A55,ПТО!$A$2:$D$31,4,FALSE)</f>
        <v>#N/A</v>
      </c>
      <c r="G55" s="139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62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39" t="e">
        <f>VLOOKUP(A56,ПТО!$A$2:$D$31,4,FALSE)</f>
        <v>#N/A</v>
      </c>
      <c r="G56" s="139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62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39" t="e">
        <f>VLOOKUP(A57,ПТО!$A$2:$D$31,4,FALSE)</f>
        <v>#N/A</v>
      </c>
      <c r="G57" s="139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62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39" t="e">
        <f>VLOOKUP(A58,ПТО!$A$2:$D$31,4,FALSE)</f>
        <v>#N/A</v>
      </c>
      <c r="G58" s="139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62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39" t="e">
        <f>VLOOKUP(A59,ПТО!$A$2:$D$31,4,FALSE)</f>
        <v>#N/A</v>
      </c>
      <c r="G59" s="139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62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39" t="e">
        <f>VLOOKUP(A60,ПТО!$A$2:$D$31,4,FALSE)</f>
        <v>#N/A</v>
      </c>
      <c r="G60" s="139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62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39" t="e">
        <f>VLOOKUP(A61,ПТО!$A$2:$D$31,4,FALSE)</f>
        <v>#N/A</v>
      </c>
      <c r="G61" s="139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62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39" t="e">
        <f>VLOOKUP(A62,ПТО!$A$2:$D$31,4,FALSE)</f>
        <v>#N/A</v>
      </c>
      <c r="G62" s="139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62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39" t="e">
        <f>VLOOKUP(A63,ПТО!$A$2:$D$31,4,FALSE)</f>
        <v>#N/A</v>
      </c>
      <c r="G63" s="139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62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39" t="e">
        <f>VLOOKUP(A64,ПТО!$A$2:$D$31,4,FALSE)</f>
        <v>#N/A</v>
      </c>
      <c r="G64" s="139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62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39" t="e">
        <f>VLOOKUP(A65,ПТО!$A$2:$D$31,4,FALSE)</f>
        <v>#N/A</v>
      </c>
      <c r="G65" s="139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62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39" t="e">
        <f>VLOOKUP(A66,ПТО!$A$2:$D$31,4,FALSE)</f>
        <v>#N/A</v>
      </c>
      <c r="G66" s="139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62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39" t="e">
        <f>VLOOKUP(A67,ПТО!$A$2:$D$31,4,FALSE)</f>
        <v>#N/A</v>
      </c>
      <c r="G67" s="139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62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39" t="e">
        <f>VLOOKUP(A68,ПТО!$A$2:$D$31,4,FALSE)</f>
        <v>#N/A</v>
      </c>
      <c r="G68" s="139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62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39" t="e">
        <f>VLOOKUP(A69,ПТО!$A$2:$D$31,4,FALSE)</f>
        <v>#N/A</v>
      </c>
      <c r="G69" s="139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62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39" t="e">
        <f>VLOOKUP(A70,ПТО!$A$2:$D$31,4,FALSE)</f>
        <v>#N/A</v>
      </c>
      <c r="G70" s="139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62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39" t="e">
        <f>VLOOKUP(A71,ПТО!$A$2:$D$31,4,FALSE)</f>
        <v>#N/A</v>
      </c>
      <c r="G71" s="139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9"/>
      <c r="L71" s="162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39" t="e">
        <f>VLOOKUP(A72,ПТО!$A$2:$D$31,4,FALSE)</f>
        <v>#N/A</v>
      </c>
      <c r="G72" s="139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62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45"/>
      <c r="M75" s="112"/>
      <c r="N75" s="112"/>
      <c r="O75" s="72" t="s">
        <v>98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45"/>
      <c r="M76" s="112"/>
      <c r="N76" s="112"/>
      <c r="O76" s="72" t="s">
        <v>99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45"/>
      <c r="M77" s="112"/>
      <c r="N77" s="112"/>
      <c r="O77" s="72" t="s">
        <v>100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45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9">
        <f t="shared" ref="J81:J90" si="2">VLOOKUP(O81,АО,3,FALSE)</f>
        <v>0</v>
      </c>
      <c r="K81" s="112"/>
      <c r="L81" s="163"/>
      <c r="M81" s="112"/>
      <c r="N81" s="112"/>
      <c r="O81" s="72" t="s">
        <v>102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9">
        <f t="shared" si="2"/>
        <v>0</v>
      </c>
      <c r="K82" s="112"/>
      <c r="L82" s="163"/>
      <c r="M82" s="112"/>
      <c r="N82" s="112"/>
      <c r="O82" s="72" t="s">
        <v>103</v>
      </c>
    </row>
    <row r="83" spans="1:15" outlineLevel="1">
      <c r="A83" s="153" t="s">
        <v>4</v>
      </c>
      <c r="B83" s="154"/>
      <c r="C83" s="154"/>
      <c r="D83" s="154"/>
      <c r="E83" s="154"/>
      <c r="F83" s="154"/>
      <c r="G83" s="154"/>
      <c r="H83" s="154"/>
      <c r="I83" s="155"/>
      <c r="J83" s="99">
        <f t="shared" si="2"/>
        <v>4116.63</v>
      </c>
      <c r="K83" s="112"/>
      <c r="L83" s="163"/>
      <c r="M83" s="112"/>
      <c r="N83" s="112"/>
      <c r="O83" s="72" t="s">
        <v>104</v>
      </c>
    </row>
    <row r="84" spans="1:15" outlineLevel="1">
      <c r="A84" s="153" t="s">
        <v>16</v>
      </c>
      <c r="B84" s="154"/>
      <c r="C84" s="154"/>
      <c r="D84" s="154"/>
      <c r="E84" s="154"/>
      <c r="F84" s="154"/>
      <c r="G84" s="154"/>
      <c r="H84" s="154"/>
      <c r="I84" s="155"/>
      <c r="J84" s="99">
        <f t="shared" si="2"/>
        <v>0</v>
      </c>
      <c r="K84" s="112"/>
      <c r="L84" s="163"/>
      <c r="M84" s="112"/>
      <c r="N84" s="112"/>
      <c r="O84" s="72" t="s">
        <v>105</v>
      </c>
    </row>
    <row r="85" spans="1:15" outlineLevel="1">
      <c r="A85" s="153" t="s">
        <v>17</v>
      </c>
      <c r="B85" s="154"/>
      <c r="C85" s="154"/>
      <c r="D85" s="154"/>
      <c r="E85" s="154"/>
      <c r="F85" s="154"/>
      <c r="G85" s="154"/>
      <c r="H85" s="154"/>
      <c r="I85" s="155"/>
      <c r="J85" s="99">
        <f t="shared" si="2"/>
        <v>0</v>
      </c>
      <c r="K85" s="112"/>
      <c r="L85" s="163"/>
      <c r="M85" s="112"/>
      <c r="N85" s="112"/>
      <c r="O85" s="72" t="s">
        <v>106</v>
      </c>
    </row>
    <row r="86" spans="1:15" outlineLevel="1">
      <c r="A86" s="153" t="s">
        <v>18</v>
      </c>
      <c r="B86" s="154"/>
      <c r="C86" s="154"/>
      <c r="D86" s="154"/>
      <c r="E86" s="154"/>
      <c r="F86" s="154"/>
      <c r="G86" s="154"/>
      <c r="H86" s="154"/>
      <c r="I86" s="155"/>
      <c r="J86" s="99">
        <f t="shared" si="2"/>
        <v>29588.58</v>
      </c>
      <c r="K86" s="112"/>
      <c r="L86" s="163"/>
      <c r="M86" s="112"/>
      <c r="N86" s="112"/>
      <c r="O86" s="72" t="s">
        <v>107</v>
      </c>
    </row>
    <row r="87" spans="1:15" ht="18.75" customHeight="1" outlineLevel="1">
      <c r="A87" s="153" t="s">
        <v>27</v>
      </c>
      <c r="B87" s="154"/>
      <c r="C87" s="154"/>
      <c r="D87" s="154"/>
      <c r="E87" s="154"/>
      <c r="F87" s="154"/>
      <c r="G87" s="154"/>
      <c r="H87" s="154"/>
      <c r="I87" s="155"/>
      <c r="J87" s="8">
        <f t="shared" si="2"/>
        <v>0</v>
      </c>
      <c r="K87" s="112"/>
      <c r="L87" s="163"/>
      <c r="M87" s="112"/>
      <c r="N87" s="112"/>
      <c r="O87" s="72" t="s">
        <v>108</v>
      </c>
    </row>
    <row r="88" spans="1:15" ht="18.75" customHeight="1" outlineLevel="1">
      <c r="A88" s="153" t="s">
        <v>28</v>
      </c>
      <c r="B88" s="154"/>
      <c r="C88" s="154"/>
      <c r="D88" s="154"/>
      <c r="E88" s="154"/>
      <c r="F88" s="154"/>
      <c r="G88" s="154"/>
      <c r="H88" s="154"/>
      <c r="I88" s="155"/>
      <c r="J88" s="8">
        <f t="shared" si="2"/>
        <v>0</v>
      </c>
      <c r="K88" s="112"/>
      <c r="L88" s="163"/>
      <c r="M88" s="112"/>
      <c r="N88" s="112"/>
      <c r="O88" s="72" t="s">
        <v>109</v>
      </c>
    </row>
    <row r="89" spans="1:15" ht="18.75" customHeight="1" outlineLevel="1">
      <c r="A89" s="153" t="s">
        <v>29</v>
      </c>
      <c r="B89" s="154"/>
      <c r="C89" s="154"/>
      <c r="D89" s="154"/>
      <c r="E89" s="154"/>
      <c r="F89" s="154"/>
      <c r="G89" s="154"/>
      <c r="H89" s="154"/>
      <c r="I89" s="155"/>
      <c r="J89" s="8">
        <f t="shared" si="2"/>
        <v>0</v>
      </c>
      <c r="K89" s="112"/>
      <c r="L89" s="163"/>
      <c r="M89" s="112"/>
      <c r="N89" s="112"/>
      <c r="O89" s="72" t="s">
        <v>110</v>
      </c>
    </row>
    <row r="90" spans="1:15" ht="18.75" customHeight="1" outlineLevel="1">
      <c r="A90" s="153" t="s">
        <v>30</v>
      </c>
      <c r="B90" s="154"/>
      <c r="C90" s="154"/>
      <c r="D90" s="154"/>
      <c r="E90" s="154"/>
      <c r="F90" s="154"/>
      <c r="G90" s="154"/>
      <c r="H90" s="154"/>
      <c r="I90" s="155"/>
      <c r="J90" s="99">
        <f t="shared" si="2"/>
        <v>0</v>
      </c>
      <c r="K90" s="112"/>
      <c r="L90" s="163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7" t="s">
        <v>48</v>
      </c>
      <c r="B93" s="147"/>
      <c r="C93" s="147"/>
      <c r="D93" s="150" t="s">
        <v>49</v>
      </c>
      <c r="E93" s="150"/>
      <c r="F93" s="10" t="s">
        <v>50</v>
      </c>
      <c r="G93" s="147" t="s">
        <v>51</v>
      </c>
      <c r="H93" s="147"/>
      <c r="I93" s="147"/>
      <c r="J93" s="147"/>
      <c r="K93" s="112"/>
      <c r="L93" s="112"/>
      <c r="M93" s="112"/>
      <c r="N93" s="112"/>
    </row>
    <row r="94" spans="1:15" outlineLevel="1">
      <c r="A94" s="151" t="str">
        <f>IF(VLOOKUP("эл",АО,3,FALSE)&gt;0,"Электроснабжение",0)</f>
        <v>Электроснабжение</v>
      </c>
      <c r="B94" s="151"/>
      <c r="C94" s="151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48">
        <f>VLOOKUP("эл",АО,5,FALSE)</f>
        <v>19942.440000000002</v>
      </c>
      <c r="H94" s="149"/>
      <c r="I94" s="149"/>
      <c r="J94" s="149"/>
      <c r="K94" s="1" t="str">
        <f>VLOOKUP("эл",АО,2,FALSE)</f>
        <v>Электроснабжение</v>
      </c>
      <c r="L94" s="164"/>
    </row>
    <row r="95" spans="1:15" outlineLevel="2">
      <c r="A95" s="152" t="str">
        <f>IF(VLOOKUP("эл",АО,3,FALSE)&gt;0,VLOOKUP("эл1",АО,2,FALSE),0)</f>
        <v>Общий объем потребления, нат. показ.</v>
      </c>
      <c r="B95" s="152"/>
      <c r="C95" s="152"/>
      <c r="D95" s="152"/>
      <c r="E95" s="152"/>
      <c r="F95" s="152"/>
      <c r="G95" s="152"/>
      <c r="H95" s="152"/>
      <c r="I95" s="152"/>
      <c r="J95" s="18">
        <f t="shared" ref="J95:J101" si="3">VLOOKUP(O95,АО,3,FALSE)</f>
        <v>17493.368421052633</v>
      </c>
      <c r="L95" s="164"/>
      <c r="O95" s="1" t="s">
        <v>112</v>
      </c>
    </row>
    <row r="96" spans="1:15" outlineLevel="2">
      <c r="A96" s="152" t="str">
        <f>IF(VLOOKUP("эл",АО,3,FALSE)&gt;0,VLOOKUP("эл2",АО,2,FALSE),0)</f>
        <v>Оплачено потребителями, руб.</v>
      </c>
      <c r="B96" s="152"/>
      <c r="C96" s="152"/>
      <c r="D96" s="152"/>
      <c r="E96" s="152"/>
      <c r="F96" s="152"/>
      <c r="G96" s="152"/>
      <c r="H96" s="152"/>
      <c r="I96" s="152"/>
      <c r="J96" s="18">
        <f t="shared" si="3"/>
        <v>19582.219999999998</v>
      </c>
      <c r="L96" s="164"/>
      <c r="O96" s="1" t="s">
        <v>113</v>
      </c>
    </row>
    <row r="97" spans="1:15" outlineLevel="2">
      <c r="A97" s="152" t="str">
        <f>IF(VLOOKUP("эл",АО,3,FALSE)&gt;0,VLOOKUP("эл3",АО,2,FALSE),0)</f>
        <v>Задолженность потребителей, руб.</v>
      </c>
      <c r="B97" s="152"/>
      <c r="C97" s="152"/>
      <c r="D97" s="152"/>
      <c r="E97" s="152"/>
      <c r="F97" s="152"/>
      <c r="G97" s="152"/>
      <c r="H97" s="152"/>
      <c r="I97" s="152"/>
      <c r="J97" s="18">
        <f t="shared" si="3"/>
        <v>360.2200000000048</v>
      </c>
      <c r="L97" s="164"/>
      <c r="O97" s="1" t="s">
        <v>114</v>
      </c>
    </row>
    <row r="98" spans="1:15" ht="37.5" customHeight="1" outlineLevel="2">
      <c r="A98" s="152" t="str">
        <f>IF(VLOOKUP("эл",АО,3,FALSE)&gt;0,VLOOKUP("эл4",АО,2,FALSE),0)</f>
        <v>Начислено поставщиком (поставщиками) коммунального ресурса, руб.</v>
      </c>
      <c r="B98" s="152"/>
      <c r="C98" s="152"/>
      <c r="D98" s="152"/>
      <c r="E98" s="152"/>
      <c r="F98" s="152"/>
      <c r="G98" s="152"/>
      <c r="H98" s="152"/>
      <c r="I98" s="152"/>
      <c r="J98" s="18">
        <f t="shared" si="3"/>
        <v>19942.440000000002</v>
      </c>
      <c r="L98" s="164"/>
      <c r="O98" s="1" t="s">
        <v>115</v>
      </c>
    </row>
    <row r="99" spans="1:15" outlineLevel="2">
      <c r="A99" s="152" t="str">
        <f>IF(VLOOKUP("эл",АО,3,FALSE)&gt;0,VLOOKUP("эл5",АО,2,FALSE),0)</f>
        <v>Оплачено поставщику (поставщикам) коммунального ресурса, руб.</v>
      </c>
      <c r="B99" s="152"/>
      <c r="C99" s="152"/>
      <c r="D99" s="152"/>
      <c r="E99" s="152"/>
      <c r="F99" s="152"/>
      <c r="G99" s="152"/>
      <c r="H99" s="152"/>
      <c r="I99" s="152"/>
      <c r="J99" s="18">
        <f t="shared" si="3"/>
        <v>19942.440000000002</v>
      </c>
      <c r="L99" s="164"/>
      <c r="O99" s="1" t="s">
        <v>116</v>
      </c>
    </row>
    <row r="100" spans="1:15" ht="39" customHeight="1" outlineLevel="2">
      <c r="A100" s="15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2"/>
      <c r="C100" s="152"/>
      <c r="D100" s="152"/>
      <c r="E100" s="152"/>
      <c r="F100" s="152"/>
      <c r="G100" s="152"/>
      <c r="H100" s="152"/>
      <c r="I100" s="152"/>
      <c r="J100" s="18">
        <f t="shared" si="3"/>
        <v>0</v>
      </c>
      <c r="L100" s="164"/>
      <c r="O100" s="1" t="s">
        <v>117</v>
      </c>
    </row>
    <row r="101" spans="1:15" ht="34.5" customHeight="1" outlineLevel="2">
      <c r="A101" s="15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2"/>
      <c r="C101" s="152"/>
      <c r="D101" s="152"/>
      <c r="E101" s="152"/>
      <c r="F101" s="152"/>
      <c r="G101" s="152"/>
      <c r="H101" s="152"/>
      <c r="I101" s="152"/>
      <c r="J101" s="18">
        <f t="shared" si="3"/>
        <v>0</v>
      </c>
      <c r="L101" s="164"/>
      <c r="O101" s="1" t="s">
        <v>118</v>
      </c>
    </row>
    <row r="102" spans="1:15" ht="28.5" customHeight="1" outlineLevel="1">
      <c r="A102" s="151" t="str">
        <f>IF(VLOOKUP("хвс",АО,3,FALSE)&gt;0,"Холодное водоснабжение",0)</f>
        <v>Холодное водоснабжение</v>
      </c>
      <c r="B102" s="151"/>
      <c r="C102" s="151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48">
        <f>VLOOKUP("хвс",АО,5,FALSE)</f>
        <v>55610.61</v>
      </c>
      <c r="H102" s="149"/>
      <c r="I102" s="149"/>
      <c r="J102" s="149"/>
      <c r="L102" s="164"/>
    </row>
    <row r="103" spans="1:15" outlineLevel="2">
      <c r="A103" s="152" t="str">
        <f t="shared" ref="A103:A109" si="4">IF(VLOOKUP("хвс",АО,3,FALSE)&gt;0,VLOOKUP(O103,АО,2,FALSE),0)</f>
        <v>Общий объем потребления, нат. показ.</v>
      </c>
      <c r="B103" s="152"/>
      <c r="C103" s="152"/>
      <c r="D103" s="152"/>
      <c r="E103" s="152"/>
      <c r="F103" s="152"/>
      <c r="G103" s="152"/>
      <c r="H103" s="152"/>
      <c r="I103" s="152"/>
      <c r="J103" s="18">
        <f t="shared" ref="J103:J109" si="5">VLOOKUP(O103,АО,3,FALSE)</f>
        <v>4110.1707317073169</v>
      </c>
      <c r="L103" s="164"/>
      <c r="O103" s="1" t="s">
        <v>121</v>
      </c>
    </row>
    <row r="104" spans="1:15" ht="18.75" customHeight="1" outlineLevel="2">
      <c r="A104" s="152" t="str">
        <f t="shared" si="4"/>
        <v>Оплачено потребителями, руб.</v>
      </c>
      <c r="B104" s="152"/>
      <c r="C104" s="152"/>
      <c r="D104" s="152"/>
      <c r="E104" s="152"/>
      <c r="F104" s="152"/>
      <c r="G104" s="152"/>
      <c r="H104" s="152"/>
      <c r="I104" s="152"/>
      <c r="J104" s="18">
        <f t="shared" si="5"/>
        <v>43621.630000000005</v>
      </c>
      <c r="L104" s="164"/>
      <c r="O104" s="1" t="s">
        <v>122</v>
      </c>
    </row>
    <row r="105" spans="1:15" ht="18.75" customHeight="1" outlineLevel="2">
      <c r="A105" s="152" t="str">
        <f t="shared" si="4"/>
        <v>Задолженность потребителей, руб.</v>
      </c>
      <c r="B105" s="152"/>
      <c r="C105" s="152"/>
      <c r="D105" s="152"/>
      <c r="E105" s="152"/>
      <c r="F105" s="152"/>
      <c r="G105" s="152"/>
      <c r="H105" s="152"/>
      <c r="I105" s="152"/>
      <c r="J105" s="18">
        <f t="shared" si="5"/>
        <v>11988.979999999996</v>
      </c>
      <c r="L105" s="164"/>
      <c r="O105" s="1" t="s">
        <v>123</v>
      </c>
    </row>
    <row r="106" spans="1:15" ht="36.75" customHeight="1" outlineLevel="2">
      <c r="A106" s="152" t="str">
        <f t="shared" si="4"/>
        <v>Начислено поставщиком (поставщиками) коммунального ресурса, руб.</v>
      </c>
      <c r="B106" s="152"/>
      <c r="C106" s="152"/>
      <c r="D106" s="152"/>
      <c r="E106" s="152"/>
      <c r="F106" s="152"/>
      <c r="G106" s="152"/>
      <c r="H106" s="152"/>
      <c r="I106" s="152"/>
      <c r="J106" s="18">
        <f t="shared" si="5"/>
        <v>55610.61</v>
      </c>
      <c r="L106" s="164"/>
      <c r="O106" s="1" t="s">
        <v>124</v>
      </c>
    </row>
    <row r="107" spans="1:15" ht="18.75" customHeight="1" outlineLevel="2">
      <c r="A107" s="152" t="str">
        <f t="shared" si="4"/>
        <v>Оплачено поставщику (поставщикам) коммунального ресурса, руб.</v>
      </c>
      <c r="B107" s="152"/>
      <c r="C107" s="152"/>
      <c r="D107" s="152"/>
      <c r="E107" s="152"/>
      <c r="F107" s="152"/>
      <c r="G107" s="152"/>
      <c r="H107" s="152"/>
      <c r="I107" s="152"/>
      <c r="J107" s="18">
        <f t="shared" si="5"/>
        <v>55610.61</v>
      </c>
      <c r="L107" s="164"/>
      <c r="O107" s="1" t="s">
        <v>125</v>
      </c>
    </row>
    <row r="108" spans="1:15" ht="37.5" customHeight="1" outlineLevel="2">
      <c r="A108" s="152" t="str">
        <f t="shared" si="4"/>
        <v>Задолженность перед поставщиком (поставщиками) коммунального ресурса, руб.</v>
      </c>
      <c r="B108" s="152"/>
      <c r="C108" s="152"/>
      <c r="D108" s="152"/>
      <c r="E108" s="152"/>
      <c r="F108" s="152"/>
      <c r="G108" s="152"/>
      <c r="H108" s="152"/>
      <c r="I108" s="152"/>
      <c r="J108" s="18">
        <f t="shared" si="5"/>
        <v>0</v>
      </c>
      <c r="L108" s="164"/>
      <c r="O108" s="1" t="s">
        <v>126</v>
      </c>
    </row>
    <row r="109" spans="1:15" ht="39.75" customHeight="1" outlineLevel="2">
      <c r="A109" s="152" t="str">
        <f t="shared" si="4"/>
        <v>Размер пени и штрафов, уплаченных поставщику (поставщикам) коммунального ресурса, руб.</v>
      </c>
      <c r="B109" s="152"/>
      <c r="C109" s="152"/>
      <c r="D109" s="152"/>
      <c r="E109" s="152"/>
      <c r="F109" s="152"/>
      <c r="G109" s="152"/>
      <c r="H109" s="152"/>
      <c r="I109" s="152"/>
      <c r="J109" s="18">
        <f t="shared" si="5"/>
        <v>0</v>
      </c>
      <c r="L109" s="164"/>
      <c r="O109" s="1" t="s">
        <v>127</v>
      </c>
    </row>
    <row r="110" spans="1:15" ht="27" customHeight="1" outlineLevel="1">
      <c r="A110" s="151" t="str">
        <f>IF(VLOOKUP("воо",АО,3,FALSE)&gt;0,"Водоотведение",0)</f>
        <v>Водоотведение</v>
      </c>
      <c r="B110" s="151"/>
      <c r="C110" s="151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48">
        <f>VLOOKUP("воо",АО,5,FALSE)</f>
        <v>64028.99000000002</v>
      </c>
      <c r="H110" s="149"/>
      <c r="I110" s="149"/>
      <c r="J110" s="149"/>
      <c r="L110" s="164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4149.6429034348685</v>
      </c>
      <c r="L111" s="164"/>
      <c r="O111" s="1" t="s">
        <v>129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49523.670000000006</v>
      </c>
      <c r="L112" s="164"/>
      <c r="O112" s="1" t="s">
        <v>130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14505.320000000014</v>
      </c>
      <c r="L113" s="164"/>
      <c r="O113" s="1" t="s">
        <v>131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64028.99000000002</v>
      </c>
      <c r="L114" s="164"/>
      <c r="O114" s="1" t="s">
        <v>132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64028.99000000002</v>
      </c>
      <c r="L115" s="164"/>
      <c r="O115" s="1" t="s">
        <v>133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64"/>
      <c r="O116" s="1" t="s">
        <v>134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64"/>
      <c r="O117" s="1" t="s">
        <v>135</v>
      </c>
    </row>
    <row r="118" spans="1:15" ht="32.25" hidden="1" customHeight="1" outlineLevel="1">
      <c r="A118" s="151">
        <f>IF(VLOOKUP("тко",АО,3,FALSE)&gt;0,"Обращение с ТКО",0)</f>
        <v>0</v>
      </c>
      <c r="B118" s="151"/>
      <c r="C118" s="151"/>
      <c r="D118" s="149">
        <f>IF(VLOOKUP("тко",АО,3,FALSE)&gt;0,VLOOKUP("тко",АО,3,FALSE),0)</f>
        <v>0</v>
      </c>
      <c r="E118" s="149"/>
      <c r="F118" s="13">
        <f>IF(VLOOKUP("тко",АО,3,FALSE)&gt;0,VLOOKUP("тко",АО,4,FALSE),0)</f>
        <v>0</v>
      </c>
      <c r="G118" s="148">
        <f>VLOOKUP("тко",АО,5,FALSE)</f>
        <v>0</v>
      </c>
      <c r="H118" s="149"/>
      <c r="I118" s="149"/>
      <c r="J118" s="149"/>
      <c r="L118" s="49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1">
        <f>IF(VLOOKUP("гвс",АО,3,FALSE)&gt;0,"Горячее водоснабжение",0)</f>
        <v>0</v>
      </c>
      <c r="B126" s="151"/>
      <c r="C126" s="151"/>
      <c r="D126" s="149">
        <f>IF(VLOOKUP("гвс",АО,3,FALSE)&gt;0,VLOOKUP("гвс",АО,3,FALSE),0)</f>
        <v>0</v>
      </c>
      <c r="E126" s="149"/>
      <c r="F126" s="13">
        <f>IF(VLOOKUP("гвс",АО,3,FALSE)&gt;0,VLOOKUP("гвс",АО,4,FALSE),0)</f>
        <v>0</v>
      </c>
      <c r="G126" s="148">
        <f>VLOOKUP("гвс",АО,5,FALSE)</f>
        <v>0</v>
      </c>
      <c r="H126" s="149"/>
      <c r="I126" s="149"/>
      <c r="J126" s="149"/>
      <c r="L126" s="49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1">
        <f>IF(VLOOKUP("отопление",АО,3,FALSE)&gt;0,"Отопление",0)</f>
        <v>0</v>
      </c>
      <c r="B134" s="151"/>
      <c r="C134" s="151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9"/>
      <c r="I134" s="149"/>
      <c r="J134" s="149"/>
      <c r="L134" s="49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1</v>
      </c>
      <c r="O144" t="s">
        <v>169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6" t="s">
        <v>172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11751.06</v>
      </c>
      <c r="O146" t="s">
        <v>171</v>
      </c>
    </row>
    <row r="149" spans="1:15" ht="52.5" customHeight="1">
      <c r="A149" s="142" t="s">
        <v>179</v>
      </c>
      <c r="B149" s="142"/>
      <c r="C149" s="142"/>
      <c r="D149" s="142"/>
      <c r="E149" s="142"/>
      <c r="F149" s="142"/>
      <c r="G149" s="142"/>
      <c r="H149" s="142"/>
      <c r="I149" s="142"/>
      <c r="J149" s="142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1" t="s">
        <v>180</v>
      </c>
      <c r="B154" s="141"/>
      <c r="C154" s="141"/>
      <c r="D154" s="141"/>
      <c r="E154" s="27">
        <f>ПТО!G1</f>
        <v>49267.43</v>
      </c>
    </row>
    <row r="155" spans="1:15" ht="34.5" customHeight="1">
      <c r="A155" s="143" t="s">
        <v>184</v>
      </c>
      <c r="B155" s="143"/>
      <c r="C155" s="143"/>
      <c r="D155" s="143"/>
      <c r="E155" s="28">
        <f>J13</f>
        <v>71678.399999999994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19</v>
      </c>
      <c r="B157" s="144"/>
      <c r="C157" s="144"/>
      <c r="D157" s="144"/>
      <c r="E157" s="144"/>
      <c r="F157" s="144" t="s">
        <v>20</v>
      </c>
      <c r="G157" s="144"/>
      <c r="H157" s="20" t="s">
        <v>57</v>
      </c>
      <c r="I157" s="144" t="s">
        <v>21</v>
      </c>
      <c r="J157" s="144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39">
        <f t="shared" ref="F158:F163" si="15">IF(ISERROR(VLOOKUP(A158,$A$28:$J$72,6,FALSE)),0,VLOOKUP(A158,$A$28:$J$72,6,FALSE))</f>
        <v>5400</v>
      </c>
      <c r="G158" s="139"/>
      <c r="H158" s="24" t="str">
        <f t="shared" ref="H158:H187" si="16">VLOOKUP(A158,$A$28:$J$72,8,FALSE)</f>
        <v>ежемесячно</v>
      </c>
      <c r="I158" s="140">
        <f t="shared" ref="I158:I161" si="17">VLOOKUP(A158,$A$28:$J$72,9,FALSE)</f>
        <v>12</v>
      </c>
      <c r="J158" s="14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Приобретение и установка таблички по пожарной безопасности.</v>
      </c>
      <c r="B159" s="138"/>
      <c r="C159" s="138"/>
      <c r="D159" s="138"/>
      <c r="E159" s="138"/>
      <c r="F159" s="139">
        <f t="shared" si="15"/>
        <v>250</v>
      </c>
      <c r="G159" s="139"/>
      <c r="H159" s="24" t="str">
        <f t="shared" si="16"/>
        <v>разово</v>
      </c>
      <c r="I159" s="140">
        <f t="shared" si="17"/>
        <v>1</v>
      </c>
      <c r="J159" s="140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38" t="str">
        <f t="shared" si="14"/>
        <v>Замена прибора учета ХВС.</v>
      </c>
      <c r="B160" s="138"/>
      <c r="C160" s="138"/>
      <c r="D160" s="138"/>
      <c r="E160" s="138"/>
      <c r="F160" s="139">
        <f t="shared" si="15"/>
        <v>2195</v>
      </c>
      <c r="G160" s="139"/>
      <c r="H160" s="24" t="str">
        <f t="shared" si="16"/>
        <v>разово</v>
      </c>
      <c r="I160" s="140">
        <f t="shared" si="17"/>
        <v>1</v>
      </c>
      <c r="J160" s="140"/>
      <c r="M160" s="22" t="s">
        <v>72</v>
      </c>
      <c r="N160" s="1" t="str">
        <v>Замена прибора учета ХВС.</v>
      </c>
    </row>
    <row r="161" spans="1:14" ht="28.5" customHeight="1">
      <c r="A161" s="138" t="str">
        <f>IF(N161&gt;0,N161,0)</f>
        <v>Замена прибора учета электрической энергии.</v>
      </c>
      <c r="B161" s="138"/>
      <c r="C161" s="138"/>
      <c r="D161" s="138"/>
      <c r="E161" s="138"/>
      <c r="F161" s="139">
        <f t="shared" si="15"/>
        <v>7209</v>
      </c>
      <c r="G161" s="139"/>
      <c r="H161" s="24" t="str">
        <f t="shared" si="16"/>
        <v>разово</v>
      </c>
      <c r="I161" s="140">
        <f t="shared" si="17"/>
        <v>1</v>
      </c>
      <c r="J161" s="140"/>
      <c r="M161" s="22" t="s">
        <v>72</v>
      </c>
      <c r="N161" s="1" t="str">
        <v>Замена прибора учета электрической энергии.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39">
        <f t="shared" si="15"/>
        <v>0</v>
      </c>
      <c r="G162" s="139"/>
      <c r="H162" s="24" t="e">
        <f t="shared" si="16"/>
        <v>#N/A</v>
      </c>
      <c r="I162" s="140" t="e">
        <f>VLOOKUP(A162,$A$28:$J$72,9,FALSE)</f>
        <v>#N/A</v>
      </c>
      <c r="J162" s="140"/>
      <c r="M162" s="22" t="s">
        <v>72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39">
        <f t="shared" si="15"/>
        <v>0</v>
      </c>
      <c r="G163" s="139"/>
      <c r="H163" s="24" t="e">
        <f t="shared" si="16"/>
        <v>#N/A</v>
      </c>
      <c r="I163" s="140" t="e">
        <f>VLOOKUP(A163,$A$28:$J$72,9,FALSE)</f>
        <v>#N/A</v>
      </c>
      <c r="J163" s="140"/>
      <c r="M163" s="22" t="s">
        <v>72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39">
        <f t="shared" ref="F164:F187" si="19">IF(ISERROR(VLOOKUP(A164,$A$28:$J$72,6,FALSE)),0,VLOOKUP(A164,$A$28:$J$72,6,FALSE))</f>
        <v>0</v>
      </c>
      <c r="G164" s="139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72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39">
        <f t="shared" si="19"/>
        <v>0</v>
      </c>
      <c r="G165" s="139"/>
      <c r="H165" s="29" t="e">
        <f t="shared" si="16"/>
        <v>#N/A</v>
      </c>
      <c r="I165" s="140" t="e">
        <f t="shared" si="20"/>
        <v>#N/A</v>
      </c>
      <c r="J165" s="140"/>
      <c r="M165" s="22" t="s">
        <v>72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39">
        <f t="shared" si="19"/>
        <v>0</v>
      </c>
      <c r="G166" s="139"/>
      <c r="H166" s="29" t="e">
        <f t="shared" si="16"/>
        <v>#N/A</v>
      </c>
      <c r="I166" s="140" t="e">
        <f t="shared" si="20"/>
        <v>#N/A</v>
      </c>
      <c r="J166" s="140"/>
      <c r="M166" s="22" t="s">
        <v>72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39">
        <f t="shared" si="19"/>
        <v>0</v>
      </c>
      <c r="G167" s="139"/>
      <c r="H167" s="29" t="e">
        <f t="shared" si="16"/>
        <v>#N/A</v>
      </c>
      <c r="I167" s="140" t="e">
        <f t="shared" si="20"/>
        <v>#N/A</v>
      </c>
      <c r="J167" s="140"/>
      <c r="M167" s="22" t="s">
        <v>72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39">
        <f t="shared" si="19"/>
        <v>0</v>
      </c>
      <c r="G168" s="139"/>
      <c r="H168" s="29" t="e">
        <f t="shared" si="16"/>
        <v>#N/A</v>
      </c>
      <c r="I168" s="140" t="e">
        <f t="shared" si="20"/>
        <v>#N/A</v>
      </c>
      <c r="J168" s="140"/>
      <c r="M168" s="22" t="s">
        <v>72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39">
        <f t="shared" si="19"/>
        <v>0</v>
      </c>
      <c r="G169" s="139"/>
      <c r="H169" s="29" t="e">
        <f t="shared" si="16"/>
        <v>#N/A</v>
      </c>
      <c r="I169" s="140" t="e">
        <f t="shared" si="20"/>
        <v>#N/A</v>
      </c>
      <c r="J169" s="140"/>
      <c r="M169" s="22" t="s">
        <v>72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39">
        <f t="shared" si="19"/>
        <v>0</v>
      </c>
      <c r="G170" s="139"/>
      <c r="H170" s="29" t="e">
        <f t="shared" si="16"/>
        <v>#N/A</v>
      </c>
      <c r="I170" s="140" t="e">
        <f t="shared" si="20"/>
        <v>#N/A</v>
      </c>
      <c r="J170" s="140"/>
      <c r="M170" s="22" t="s">
        <v>72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39">
        <f t="shared" si="19"/>
        <v>0</v>
      </c>
      <c r="G171" s="139"/>
      <c r="H171" s="29" t="e">
        <f t="shared" si="16"/>
        <v>#N/A</v>
      </c>
      <c r="I171" s="140" t="e">
        <f t="shared" si="20"/>
        <v>#N/A</v>
      </c>
      <c r="J171" s="140"/>
      <c r="M171" s="22" t="s">
        <v>72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39">
        <f t="shared" si="19"/>
        <v>0</v>
      </c>
      <c r="G172" s="139"/>
      <c r="H172" s="29" t="e">
        <f t="shared" si="16"/>
        <v>#N/A</v>
      </c>
      <c r="I172" s="140" t="e">
        <f t="shared" si="20"/>
        <v>#N/A</v>
      </c>
      <c r="J172" s="140"/>
      <c r="M172" s="22" t="s">
        <v>72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39">
        <f t="shared" si="19"/>
        <v>0</v>
      </c>
      <c r="G173" s="139"/>
      <c r="H173" s="29" t="e">
        <f t="shared" si="16"/>
        <v>#N/A</v>
      </c>
      <c r="I173" s="140" t="e">
        <f t="shared" si="20"/>
        <v>#N/A</v>
      </c>
      <c r="J173" s="140"/>
      <c r="M173" s="22" t="s">
        <v>72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39">
        <f t="shared" si="19"/>
        <v>0</v>
      </c>
      <c r="G174" s="139"/>
      <c r="H174" s="29" t="e">
        <f t="shared" si="16"/>
        <v>#N/A</v>
      </c>
      <c r="I174" s="140" t="e">
        <f t="shared" si="20"/>
        <v>#N/A</v>
      </c>
      <c r="J174" s="140"/>
      <c r="M174" s="22" t="s">
        <v>72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39">
        <f t="shared" si="19"/>
        <v>0</v>
      </c>
      <c r="G175" s="139"/>
      <c r="H175" s="29" t="e">
        <f t="shared" si="16"/>
        <v>#N/A</v>
      </c>
      <c r="I175" s="140" t="e">
        <f t="shared" si="20"/>
        <v>#N/A</v>
      </c>
      <c r="J175" s="140"/>
      <c r="M175" s="22" t="s">
        <v>72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39">
        <f t="shared" si="19"/>
        <v>0</v>
      </c>
      <c r="G176" s="139"/>
      <c r="H176" s="29" t="e">
        <f t="shared" si="16"/>
        <v>#N/A</v>
      </c>
      <c r="I176" s="140" t="e">
        <f t="shared" si="20"/>
        <v>#N/A</v>
      </c>
      <c r="J176" s="140"/>
      <c r="M176" s="22" t="s">
        <v>72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39">
        <f t="shared" si="19"/>
        <v>0</v>
      </c>
      <c r="G177" s="139"/>
      <c r="H177" s="29" t="e">
        <f t="shared" si="16"/>
        <v>#N/A</v>
      </c>
      <c r="I177" s="140" t="e">
        <f t="shared" si="20"/>
        <v>#N/A</v>
      </c>
      <c r="J177" s="140"/>
      <c r="M177" s="22" t="s">
        <v>72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39">
        <f t="shared" si="19"/>
        <v>0</v>
      </c>
      <c r="G178" s="139"/>
      <c r="H178" s="29" t="e">
        <f t="shared" si="16"/>
        <v>#N/A</v>
      </c>
      <c r="I178" s="140" t="e">
        <f t="shared" si="20"/>
        <v>#N/A</v>
      </c>
      <c r="J178" s="140"/>
      <c r="M178" s="22" t="s">
        <v>72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39">
        <f t="shared" si="19"/>
        <v>0</v>
      </c>
      <c r="G179" s="139"/>
      <c r="H179" s="29" t="e">
        <f t="shared" si="16"/>
        <v>#N/A</v>
      </c>
      <c r="I179" s="140" t="e">
        <f t="shared" si="20"/>
        <v>#N/A</v>
      </c>
      <c r="J179" s="140"/>
      <c r="M179" s="22" t="s">
        <v>72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39">
        <f t="shared" si="19"/>
        <v>0</v>
      </c>
      <c r="G180" s="139"/>
      <c r="H180" s="29" t="e">
        <f t="shared" si="16"/>
        <v>#N/A</v>
      </c>
      <c r="I180" s="140" t="e">
        <f t="shared" si="20"/>
        <v>#N/A</v>
      </c>
      <c r="J180" s="140"/>
      <c r="M180" s="22" t="s">
        <v>72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39">
        <f t="shared" si="19"/>
        <v>0</v>
      </c>
      <c r="G181" s="139"/>
      <c r="H181" s="29" t="e">
        <f t="shared" si="16"/>
        <v>#N/A</v>
      </c>
      <c r="I181" s="140" t="e">
        <f t="shared" si="20"/>
        <v>#N/A</v>
      </c>
      <c r="J181" s="140"/>
      <c r="M181" s="22" t="s">
        <v>72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39">
        <f t="shared" si="19"/>
        <v>0</v>
      </c>
      <c r="G182" s="139"/>
      <c r="H182" s="29" t="e">
        <f t="shared" si="16"/>
        <v>#N/A</v>
      </c>
      <c r="I182" s="140" t="e">
        <f t="shared" si="20"/>
        <v>#N/A</v>
      </c>
      <c r="J182" s="140"/>
      <c r="M182" s="22" t="s">
        <v>72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39">
        <f t="shared" si="19"/>
        <v>0</v>
      </c>
      <c r="G183" s="139"/>
      <c r="H183" s="29" t="e">
        <f t="shared" si="16"/>
        <v>#N/A</v>
      </c>
      <c r="I183" s="140" t="e">
        <f t="shared" si="20"/>
        <v>#N/A</v>
      </c>
      <c r="J183" s="140"/>
      <c r="M183" s="22" t="s">
        <v>72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39">
        <f t="shared" si="19"/>
        <v>0</v>
      </c>
      <c r="G184" s="139"/>
      <c r="H184" s="29" t="e">
        <f t="shared" si="16"/>
        <v>#N/A</v>
      </c>
      <c r="I184" s="140" t="e">
        <f t="shared" si="20"/>
        <v>#N/A</v>
      </c>
      <c r="J184" s="140"/>
      <c r="M184" s="22" t="s">
        <v>72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39">
        <f t="shared" si="19"/>
        <v>0</v>
      </c>
      <c r="G185" s="139"/>
      <c r="H185" s="29" t="e">
        <f t="shared" si="16"/>
        <v>#N/A</v>
      </c>
      <c r="I185" s="140" t="e">
        <f t="shared" si="20"/>
        <v>#N/A</v>
      </c>
      <c r="J185" s="140"/>
      <c r="M185" s="22" t="s">
        <v>72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39">
        <f t="shared" si="19"/>
        <v>0</v>
      </c>
      <c r="G186" s="139"/>
      <c r="H186" s="29" t="e">
        <f t="shared" si="16"/>
        <v>#N/A</v>
      </c>
      <c r="I186" s="140" t="e">
        <f t="shared" si="20"/>
        <v>#N/A</v>
      </c>
      <c r="J186" s="140"/>
      <c r="M186" s="22" t="s">
        <v>72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39">
        <f t="shared" si="19"/>
        <v>0</v>
      </c>
      <c r="G187" s="139"/>
      <c r="H187" s="29" t="e">
        <f t="shared" si="16"/>
        <v>#N/A</v>
      </c>
      <c r="I187" s="140" t="e">
        <f t="shared" si="20"/>
        <v>#N/A</v>
      </c>
      <c r="J187" s="140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1" t="s">
        <v>183</v>
      </c>
      <c r="B190" s="141"/>
      <c r="C190" s="141"/>
      <c r="D190" s="141"/>
      <c r="E190" s="27">
        <f>SUM(F158:G187)</f>
        <v>15054</v>
      </c>
    </row>
    <row r="191" spans="1:14" ht="51.75" customHeight="1">
      <c r="A191" s="141" t="s">
        <v>182</v>
      </c>
      <c r="B191" s="141"/>
      <c r="C191" s="141"/>
      <c r="D191" s="141"/>
      <c r="E191" s="27">
        <f>E190+E154-E155</f>
        <v>-7356.9699999999939</v>
      </c>
    </row>
    <row r="192" spans="1:14">
      <c r="A192" s="107" t="s">
        <v>173</v>
      </c>
    </row>
    <row r="193" spans="1:10" ht="62.25" customHeight="1">
      <c r="A193" s="166" t="s">
        <v>181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5" t="str">
        <f>ПТО!F12</f>
        <v xml:space="preserve">  -  поверка (замена) манометров и термометров</v>
      </c>
      <c r="B194" s="165"/>
      <c r="C194" s="165"/>
      <c r="D194" s="165"/>
      <c r="E194" s="165"/>
      <c r="F194" s="165"/>
      <c r="G194" s="165"/>
      <c r="H194" s="51">
        <f>ПТО!G12</f>
        <v>1200</v>
      </c>
      <c r="I194" s="52" t="s">
        <v>74</v>
      </c>
    </row>
    <row r="195" spans="1:10" ht="18.75" customHeight="1">
      <c r="A195" s="165" t="str">
        <f>ПТО!F13</f>
        <v xml:space="preserve">  -  техническое обслуживание охранной сигнализации</v>
      </c>
      <c r="B195" s="165"/>
      <c r="C195" s="165"/>
      <c r="D195" s="165"/>
      <c r="E195" s="165"/>
      <c r="F195" s="165"/>
      <c r="G195" s="165"/>
      <c r="H195" s="51">
        <f>ПТО!G13</f>
        <v>5400</v>
      </c>
      <c r="I195" s="52" t="s">
        <v>74</v>
      </c>
    </row>
    <row r="196" spans="1:10" ht="33.75" customHeight="1">
      <c r="A196" s="165" t="str">
        <f>ПТО!F14</f>
        <v xml:space="preserve">  -  установка системы видеонаблюдения</v>
      </c>
      <c r="B196" s="165"/>
      <c r="C196" s="165"/>
      <c r="D196" s="165"/>
      <c r="E196" s="165"/>
      <c r="F196" s="165"/>
      <c r="G196" s="165"/>
      <c r="H196" s="51">
        <f>ПТО!G14</f>
        <v>40000</v>
      </c>
      <c r="I196" s="52" t="s">
        <v>74</v>
      </c>
    </row>
    <row r="197" spans="1:10" ht="18.75" customHeight="1">
      <c r="A197" s="165" t="str">
        <f>ПТО!F15</f>
        <v xml:space="preserve">  -  установка газонного ограждения</v>
      </c>
      <c r="B197" s="165"/>
      <c r="C197" s="165"/>
      <c r="D197" s="165"/>
      <c r="E197" s="165"/>
      <c r="F197" s="165"/>
      <c r="G197" s="165"/>
      <c r="H197" s="51">
        <f>ПТО!G15</f>
        <v>60000</v>
      </c>
      <c r="I197" s="52" t="s">
        <v>74</v>
      </c>
    </row>
    <row r="198" spans="1:10" ht="18.75" hidden="1" customHeight="1">
      <c r="A198" s="165">
        <f>ПТО!F16</f>
        <v>0</v>
      </c>
      <c r="B198" s="165"/>
      <c r="C198" s="165"/>
      <c r="D198" s="165"/>
      <c r="E198" s="165"/>
      <c r="F198" s="165"/>
      <c r="G198" s="165"/>
      <c r="H198" s="51">
        <f>ПТО!G16</f>
        <v>0</v>
      </c>
      <c r="I198" s="54" t="s">
        <v>74</v>
      </c>
    </row>
    <row r="199" spans="1:10" ht="18.75" hidden="1" customHeight="1">
      <c r="A199" s="165">
        <f>ПТО!F17</f>
        <v>0</v>
      </c>
      <c r="B199" s="165"/>
      <c r="C199" s="165"/>
      <c r="D199" s="165"/>
      <c r="E199" s="165"/>
      <c r="F199" s="165"/>
      <c r="G199" s="165"/>
      <c r="H199" s="51">
        <f>ПТО!G17</f>
        <v>0</v>
      </c>
      <c r="I199" s="52" t="s">
        <v>74</v>
      </c>
    </row>
    <row r="200" spans="1:10" hidden="1">
      <c r="A200" s="165">
        <f>ПТО!F18</f>
        <v>0</v>
      </c>
      <c r="B200" s="165"/>
      <c r="C200" s="165"/>
      <c r="D200" s="165"/>
      <c r="E200" s="165"/>
      <c r="F200" s="165"/>
      <c r="G200" s="165"/>
      <c r="H200" s="51">
        <f>ПТО!G18</f>
        <v>0</v>
      </c>
      <c r="I200" s="52" t="s">
        <v>74</v>
      </c>
    </row>
    <row r="201" spans="1:10" hidden="1">
      <c r="A201" s="165">
        <f>ПТО!F19</f>
        <v>0</v>
      </c>
      <c r="B201" s="165"/>
      <c r="C201" s="165"/>
      <c r="D201" s="165"/>
      <c r="E201" s="165"/>
      <c r="F201" s="165"/>
      <c r="G201" s="165"/>
      <c r="H201" s="51">
        <f>ПТО!G19</f>
        <v>0</v>
      </c>
      <c r="I201" s="52" t="s">
        <v>74</v>
      </c>
    </row>
    <row r="202" spans="1:10" hidden="1">
      <c r="A202" s="165">
        <f>ПТО!F20</f>
        <v>0</v>
      </c>
      <c r="B202" s="165"/>
      <c r="C202" s="165"/>
      <c r="D202" s="165"/>
      <c r="E202" s="165"/>
      <c r="F202" s="165"/>
      <c r="G202" s="165"/>
      <c r="H202" s="51">
        <f>ПТО!G20</f>
        <v>0</v>
      </c>
      <c r="I202" s="52" t="s">
        <v>74</v>
      </c>
    </row>
    <row r="203" spans="1:10" hidden="1">
      <c r="A203" s="165">
        <f>ПТО!F21</f>
        <v>0</v>
      </c>
      <c r="B203" s="165"/>
      <c r="C203" s="165"/>
      <c r="D203" s="165"/>
      <c r="E203" s="165"/>
      <c r="F203" s="165"/>
      <c r="G203" s="165"/>
      <c r="H203" s="51">
        <f>ПТО!G21</f>
        <v>0</v>
      </c>
      <c r="I203" s="52" t="s">
        <v>74</v>
      </c>
    </row>
    <row r="204" spans="1:10" hidden="1">
      <c r="A204" s="165">
        <f>ПТО!F22</f>
        <v>0</v>
      </c>
      <c r="B204" s="165"/>
      <c r="C204" s="165"/>
      <c r="D204" s="165"/>
      <c r="E204" s="165"/>
      <c r="F204" s="165"/>
      <c r="G204" s="165"/>
      <c r="H204" s="51">
        <f>ПТО!G22</f>
        <v>0</v>
      </c>
      <c r="I204" s="52" t="s">
        <v>74</v>
      </c>
    </row>
    <row r="205" spans="1:10" hidden="1">
      <c r="A205" s="165">
        <f>ПТО!F23</f>
        <v>0</v>
      </c>
      <c r="B205" s="165"/>
      <c r="C205" s="165"/>
      <c r="D205" s="165"/>
      <c r="E205" s="165"/>
      <c r="F205" s="165"/>
      <c r="G205" s="165"/>
      <c r="H205" s="51">
        <f>ПТО!G23</f>
        <v>0</v>
      </c>
      <c r="I205" s="52" t="s">
        <v>74</v>
      </c>
    </row>
    <row r="206" spans="1:10" hidden="1">
      <c r="A206" s="165">
        <f>ПТО!F24</f>
        <v>0</v>
      </c>
      <c r="B206" s="165"/>
      <c r="C206" s="165"/>
      <c r="D206" s="165"/>
      <c r="E206" s="165"/>
      <c r="F206" s="165"/>
      <c r="G206" s="165"/>
      <c r="H206" s="51">
        <f>ПТО!G24</f>
        <v>0</v>
      </c>
      <c r="I206" s="52" t="s">
        <v>74</v>
      </c>
    </row>
    <row r="207" spans="1:10" hidden="1">
      <c r="A207" s="165">
        <f>ПТО!F25</f>
        <v>0</v>
      </c>
      <c r="B207" s="165"/>
      <c r="C207" s="165"/>
      <c r="D207" s="165"/>
      <c r="E207" s="165"/>
      <c r="F207" s="165"/>
      <c r="G207" s="165"/>
      <c r="H207" s="51">
        <f>ПТО!G25</f>
        <v>0</v>
      </c>
      <c r="I207" s="52" t="s">
        <v>74</v>
      </c>
    </row>
    <row r="208" spans="1:10" hidden="1">
      <c r="A208" s="165">
        <f>ПТО!F26</f>
        <v>0</v>
      </c>
      <c r="B208" s="165"/>
      <c r="C208" s="165"/>
      <c r="D208" s="165"/>
      <c r="E208" s="165"/>
      <c r="F208" s="165"/>
      <c r="G208" s="165"/>
      <c r="H208" s="51">
        <f>ПТО!G26</f>
        <v>0</v>
      </c>
      <c r="I208" s="52" t="s">
        <v>74</v>
      </c>
    </row>
    <row r="209" spans="1:9" hidden="1">
      <c r="A209" s="165">
        <f>ПТО!F27</f>
        <v>0</v>
      </c>
      <c r="B209" s="165"/>
      <c r="C209" s="165"/>
      <c r="D209" s="165"/>
      <c r="E209" s="165"/>
      <c r="F209" s="165"/>
      <c r="G209" s="165"/>
      <c r="H209" s="51">
        <f>ПТО!G27</f>
        <v>0</v>
      </c>
      <c r="I209" s="52" t="s">
        <v>74</v>
      </c>
    </row>
    <row r="210" spans="1:9" hidden="1">
      <c r="A210" s="165">
        <f>ПТО!F28</f>
        <v>0</v>
      </c>
      <c r="B210" s="165"/>
      <c r="C210" s="165"/>
      <c r="D210" s="165"/>
      <c r="E210" s="165"/>
      <c r="F210" s="165"/>
      <c r="G210" s="165"/>
      <c r="H210" s="51">
        <f>ПТО!G28</f>
        <v>0</v>
      </c>
      <c r="I210" s="52" t="s">
        <v>74</v>
      </c>
    </row>
    <row r="211" spans="1:9" hidden="1">
      <c r="A211" s="165">
        <f>ПТО!F29</f>
        <v>0</v>
      </c>
      <c r="B211" s="165"/>
      <c r="C211" s="165"/>
      <c r="D211" s="165"/>
      <c r="E211" s="165"/>
      <c r="F211" s="165"/>
      <c r="G211" s="165"/>
      <c r="H211" s="51">
        <f>ПТО!G29</f>
        <v>0</v>
      </c>
      <c r="I211" s="52" t="s">
        <v>74</v>
      </c>
    </row>
    <row r="212" spans="1:9" hidden="1">
      <c r="A212" s="165">
        <f>ПТО!F30</f>
        <v>0</v>
      </c>
      <c r="B212" s="165"/>
      <c r="C212" s="165"/>
      <c r="D212" s="165"/>
      <c r="E212" s="165"/>
      <c r="F212" s="165"/>
      <c r="G212" s="165"/>
      <c r="H212" s="51">
        <f>ПТО!G30</f>
        <v>0</v>
      </c>
      <c r="I212" s="52" t="s">
        <v>74</v>
      </c>
    </row>
    <row r="213" spans="1:9" hidden="1">
      <c r="A213" s="165">
        <f>ПТО!F31</f>
        <v>0</v>
      </c>
      <c r="B213" s="165"/>
      <c r="C213" s="165"/>
      <c r="D213" s="165"/>
      <c r="E213" s="165"/>
      <c r="F213" s="165"/>
      <c r="G213" s="165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106600</v>
      </c>
      <c r="I214" s="58" t="s">
        <v>76</v>
      </c>
    </row>
  </sheetData>
  <sheetProtection algorithmName="SHA-512" hashValue="WsGxw56NZxXJTZUxuE77o1MaAW5QmNtCAljWZ/2fkfBOFl0u7kWFc1XDyMktiEtzwETG86YBoZ62mTShDgrZxg==" saltValue="X0FoLxpjmPSaR0rSQ4ZL5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180</v>
      </c>
      <c r="G1" s="104">
        <f>49267.43</f>
        <v>49267.43</v>
      </c>
    </row>
    <row r="2" spans="1:12" ht="18.75" customHeight="1">
      <c r="A2" s="123" t="s">
        <v>177</v>
      </c>
      <c r="B2" s="122" t="s">
        <v>175</v>
      </c>
      <c r="C2" s="122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185</v>
      </c>
      <c r="B3" s="133" t="s">
        <v>186</v>
      </c>
      <c r="C3" s="134">
        <v>1</v>
      </c>
      <c r="D3" s="135">
        <v>250</v>
      </c>
      <c r="E3" s="125" t="s">
        <v>191</v>
      </c>
      <c r="F3" s="30"/>
      <c r="G3" s="30"/>
      <c r="L3" s="33" t="str">
        <f t="shared" si="0"/>
        <v>ТР</v>
      </c>
    </row>
    <row r="4" spans="1:12" ht="18.75" customHeight="1">
      <c r="A4" s="46" t="s">
        <v>187</v>
      </c>
      <c r="B4" s="126" t="s">
        <v>186</v>
      </c>
      <c r="C4" s="43">
        <v>1</v>
      </c>
      <c r="D4" s="48">
        <v>2195</v>
      </c>
      <c r="E4" s="46" t="s">
        <v>188</v>
      </c>
      <c r="F4" s="30"/>
      <c r="G4" s="30"/>
      <c r="L4" s="33" t="str">
        <f t="shared" si="0"/>
        <v>ТР</v>
      </c>
    </row>
    <row r="5" spans="1:12" ht="18.75" customHeight="1">
      <c r="A5" s="127" t="s">
        <v>189</v>
      </c>
      <c r="B5" s="128" t="s">
        <v>186</v>
      </c>
      <c r="C5" s="129">
        <v>1</v>
      </c>
      <c r="D5" s="130">
        <v>7209</v>
      </c>
      <c r="E5" s="131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124"/>
      <c r="C6" s="43"/>
      <c r="D6" s="48"/>
      <c r="E6" s="125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181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178</v>
      </c>
      <c r="G13" s="116">
        <v>5400</v>
      </c>
      <c r="L13" s="33">
        <f t="shared" si="0"/>
        <v>0</v>
      </c>
    </row>
    <row r="14" spans="1:12" ht="15.75">
      <c r="A14" s="30"/>
      <c r="F14" s="136" t="s">
        <v>192</v>
      </c>
      <c r="G14" s="137">
        <v>40000</v>
      </c>
      <c r="L14" s="33">
        <f t="shared" si="0"/>
        <v>0</v>
      </c>
    </row>
    <row r="15" spans="1:12" ht="15.75">
      <c r="A15" s="30"/>
      <c r="F15" s="136" t="s">
        <v>193</v>
      </c>
      <c r="G15" s="137">
        <v>60000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53397.120000000003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53397.120000000003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27882.240000000002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27882.240000000002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15519.36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15519.36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6576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6576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29460.48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29460.48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jZewFiqwElJwHwkvLzLGdBPVueaamursLUR6Pfkv+befdtkrA/GcE+8v1mb3mDE9z+hXfOZpc1oZQLJzkibXKA==" saltValue="ZJDHz6XTzYhBv5H0lsxn1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69" sqref="E69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1096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45476.97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272146.20999999996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134338.91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71678.399999999994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66128.899999999994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266873.92000000004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266873.92000000004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266873.92000000004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50749.259999999893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9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9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9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9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8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8"/>
      <c r="N26" s="65"/>
    </row>
    <row r="27" spans="1:15" ht="18.75" customHeight="1">
      <c r="A27" s="72" t="s">
        <v>104</v>
      </c>
      <c r="B27" s="77" t="s">
        <v>4</v>
      </c>
      <c r="C27" s="88">
        <v>4116.63</v>
      </c>
      <c r="D27" s="83" t="s">
        <v>60</v>
      </c>
      <c r="E27" s="66"/>
      <c r="F27" s="66"/>
      <c r="G27" s="66"/>
      <c r="H27" s="66"/>
      <c r="I27" s="66"/>
      <c r="J27" s="66"/>
      <c r="M27" s="168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8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8"/>
      <c r="N29" s="65"/>
    </row>
    <row r="30" spans="1:15" ht="18.75" customHeight="1">
      <c r="A30" s="72" t="s">
        <v>107</v>
      </c>
      <c r="B30" s="77" t="s">
        <v>18</v>
      </c>
      <c r="C30" s="88">
        <v>29588.58</v>
      </c>
      <c r="D30" s="83" t="s">
        <v>66</v>
      </c>
      <c r="E30" s="66"/>
      <c r="F30" s="66"/>
      <c r="G30" s="66"/>
      <c r="H30" s="66"/>
      <c r="I30" s="66"/>
      <c r="J30" s="66"/>
      <c r="M30" s="168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8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8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8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8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19942.440000000002</v>
      </c>
      <c r="F37" s="96" t="s">
        <v>166</v>
      </c>
      <c r="G37" s="68"/>
      <c r="H37" s="68"/>
      <c r="I37" s="68"/>
      <c r="L37" s="65"/>
      <c r="M37" s="167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17493.368421052633</v>
      </c>
      <c r="D38" s="96" t="s">
        <v>164</v>
      </c>
      <c r="E38" s="70"/>
      <c r="G38" s="69"/>
      <c r="H38" s="69"/>
      <c r="L38" s="65"/>
      <c r="M38" s="167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19582.219999999998</v>
      </c>
      <c r="D39" s="96" t="s">
        <v>165</v>
      </c>
      <c r="E39" s="70"/>
      <c r="G39" s="69"/>
      <c r="H39" s="69"/>
      <c r="L39" s="65"/>
      <c r="M39" s="167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360.2200000000048</v>
      </c>
      <c r="D40" s="82" t="s">
        <v>59</v>
      </c>
      <c r="E40" s="70"/>
      <c r="G40" s="69"/>
      <c r="H40" s="69"/>
      <c r="L40" s="65"/>
      <c r="M40" s="167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19942.440000000002</v>
      </c>
      <c r="D41" s="82" t="s">
        <v>59</v>
      </c>
      <c r="E41" s="70"/>
      <c r="G41" s="69"/>
      <c r="H41" s="69"/>
      <c r="L41" s="65"/>
      <c r="M41" s="167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19942.440000000002</v>
      </c>
      <c r="D42" s="82" t="s">
        <v>59</v>
      </c>
      <c r="E42" s="70"/>
      <c r="G42" s="69"/>
      <c r="H42" s="69"/>
      <c r="L42" s="65"/>
      <c r="M42" s="167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7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7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55610.61</v>
      </c>
      <c r="F45" s="96" t="s">
        <v>166</v>
      </c>
      <c r="G45" s="68"/>
      <c r="H45" s="68"/>
      <c r="L45" s="65"/>
      <c r="M45" s="167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4110.1707317073169</v>
      </c>
      <c r="D46" s="96" t="s">
        <v>167</v>
      </c>
      <c r="E46" s="70"/>
      <c r="G46" s="69"/>
      <c r="H46" s="69"/>
      <c r="L46" s="65"/>
      <c r="M46" s="167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43621.630000000005</v>
      </c>
      <c r="D47" s="96" t="s">
        <v>165</v>
      </c>
      <c r="E47" s="70"/>
      <c r="G47" s="69"/>
      <c r="H47" s="69"/>
      <c r="L47" s="65"/>
      <c r="M47" s="167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11988.979999999996</v>
      </c>
      <c r="D48" s="82" t="s">
        <v>59</v>
      </c>
      <c r="E48" s="70"/>
      <c r="G48" s="69"/>
      <c r="H48" s="69"/>
      <c r="L48" s="65"/>
      <c r="M48" s="167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55610.61</v>
      </c>
      <c r="D49" s="82" t="s">
        <v>59</v>
      </c>
      <c r="E49" s="70"/>
      <c r="G49" s="69"/>
      <c r="H49" s="69"/>
      <c r="L49" s="65"/>
      <c r="M49" s="167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55610.61</v>
      </c>
      <c r="D50" s="82" t="s">
        <v>59</v>
      </c>
      <c r="E50" s="70"/>
      <c r="G50" s="69"/>
      <c r="H50" s="69"/>
      <c r="L50" s="65"/>
      <c r="M50" s="167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7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7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64028.99000000002</v>
      </c>
      <c r="F53" s="96" t="s">
        <v>166</v>
      </c>
      <c r="G53" s="68"/>
      <c r="H53" s="68"/>
      <c r="L53" s="65"/>
      <c r="M53" s="167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4149.6429034348685</v>
      </c>
      <c r="D54" s="96" t="s">
        <v>167</v>
      </c>
      <c r="E54" s="71"/>
      <c r="F54" s="91"/>
      <c r="G54" s="66"/>
      <c r="H54" s="66"/>
      <c r="L54" s="65"/>
      <c r="M54" s="167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49523.670000000006</v>
      </c>
      <c r="D55" s="96" t="s">
        <v>165</v>
      </c>
      <c r="E55" s="71"/>
      <c r="G55" s="66"/>
      <c r="H55" s="66"/>
      <c r="L55" s="65"/>
      <c r="M55" s="167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14505.320000000014</v>
      </c>
      <c r="D56" s="82" t="s">
        <v>59</v>
      </c>
      <c r="E56" s="71"/>
      <c r="G56" s="66"/>
      <c r="H56" s="66"/>
      <c r="L56" s="65"/>
      <c r="M56" s="167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64028.99000000002</v>
      </c>
      <c r="D57" s="82" t="s">
        <v>59</v>
      </c>
      <c r="E57" s="71"/>
      <c r="G57" s="66"/>
      <c r="H57" s="66"/>
      <c r="L57" s="65"/>
      <c r="M57" s="167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64028.99000000002</v>
      </c>
      <c r="D58" s="82" t="s">
        <v>59</v>
      </c>
      <c r="E58" s="71"/>
      <c r="G58" s="66"/>
      <c r="H58" s="66"/>
      <c r="L58" s="65"/>
      <c r="M58" s="167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7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7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11751.06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2021-03-26T07:23:51Z</dcterms:modified>
</cp:coreProperties>
</file>