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15" i="2" l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2" i="1" l="1"/>
  <c r="A118" i="1"/>
  <c r="A123" i="1"/>
  <c r="D118" i="1"/>
  <c r="A119" i="1"/>
  <c r="A114" i="1"/>
  <c r="A120" i="1"/>
  <c r="A125" i="1"/>
  <c r="A10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8" i="1" s="1"/>
  <c r="A168" i="1" s="1"/>
  <c r="I168" i="1" s="1"/>
  <c r="O28" i="1"/>
  <c r="N182" i="1" l="1"/>
  <c r="A182" i="1" s="1"/>
  <c r="I182" i="1" s="1"/>
  <c r="N172" i="1"/>
  <c r="A172" i="1" s="1"/>
  <c r="I172" i="1" s="1"/>
  <c r="N160" i="1"/>
  <c r="A160" i="1" s="1"/>
  <c r="N161" i="1"/>
  <c r="A161" i="1" s="1"/>
  <c r="N178" i="1"/>
  <c r="A178" i="1" s="1"/>
  <c r="I178" i="1" s="1"/>
  <c r="N184" i="1"/>
  <c r="A184" i="1" s="1"/>
  <c r="I184" i="1" s="1"/>
  <c r="N169" i="1"/>
  <c r="A169" i="1" s="1"/>
  <c r="I169" i="1" s="1"/>
  <c r="N171" i="1"/>
  <c r="A171" i="1" s="1"/>
  <c r="I171" i="1" s="1"/>
  <c r="N174" i="1"/>
  <c r="A174" i="1" s="1"/>
  <c r="I174" i="1" s="1"/>
  <c r="N180" i="1"/>
  <c r="A180" i="1" s="1"/>
  <c r="I180" i="1" s="1"/>
  <c r="N165" i="1"/>
  <c r="A165" i="1" s="1"/>
  <c r="I165" i="1" s="1"/>
  <c r="N166" i="1"/>
  <c r="A166" i="1" s="1"/>
  <c r="I166" i="1" s="1"/>
  <c r="N185" i="1"/>
  <c r="A185" i="1" s="1"/>
  <c r="I185" i="1" s="1"/>
  <c r="N187" i="1"/>
  <c r="A187" i="1" s="1"/>
  <c r="I187" i="1" s="1"/>
  <c r="N175" i="1"/>
  <c r="A175" i="1" s="1"/>
  <c r="I175" i="1" s="1"/>
  <c r="N162" i="1"/>
  <c r="A162" i="1" s="1"/>
  <c r="N181" i="1"/>
  <c r="A181" i="1" s="1"/>
  <c r="I181" i="1" s="1"/>
  <c r="N167" i="1"/>
  <c r="A167" i="1" s="1"/>
  <c r="I167" i="1" s="1"/>
  <c r="N186" i="1"/>
  <c r="A186" i="1" s="1"/>
  <c r="I186" i="1" s="1"/>
  <c r="N176" i="1"/>
  <c r="A176" i="1" s="1"/>
  <c r="I176" i="1" s="1"/>
  <c r="N177" i="1"/>
  <c r="A177" i="1" s="1"/>
  <c r="I177" i="1" s="1"/>
  <c r="N179" i="1"/>
  <c r="A179" i="1" s="1"/>
  <c r="I179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F168" i="1"/>
  <c r="H168" i="1"/>
  <c r="E155" i="1"/>
  <c r="F178" i="1" l="1"/>
  <c r="F177" i="1"/>
  <c r="H185" i="1"/>
  <c r="H187" i="1"/>
  <c r="F185" i="1"/>
  <c r="H174" i="1"/>
  <c r="F182" i="1"/>
  <c r="H178" i="1"/>
  <c r="F181" i="1"/>
  <c r="H177" i="1"/>
  <c r="H182" i="1"/>
  <c r="F174" i="1"/>
  <c r="H181" i="1"/>
  <c r="H186" i="1"/>
  <c r="F175" i="1"/>
  <c r="F169" i="1"/>
  <c r="F186" i="1"/>
  <c r="F183" i="1"/>
  <c r="F187" i="1"/>
  <c r="F167" i="1"/>
  <c r="H172" i="1"/>
  <c r="H167" i="1"/>
  <c r="F179" i="1"/>
  <c r="F172" i="1"/>
  <c r="H165" i="1"/>
  <c r="H175" i="1"/>
  <c r="H184" i="1"/>
  <c r="H171" i="1"/>
  <c r="F180" i="1"/>
  <c r="H183" i="1"/>
  <c r="H179" i="1"/>
  <c r="H180" i="1"/>
  <c r="F184" i="1"/>
  <c r="H166" i="1"/>
  <c r="H169" i="1"/>
  <c r="F176" i="1"/>
  <c r="F166" i="1"/>
  <c r="F171" i="1"/>
  <c r="F165" i="1"/>
  <c r="H164" i="1"/>
  <c r="F173" i="1"/>
  <c r="H176" i="1"/>
  <c r="H173" i="1"/>
  <c r="F170" i="1"/>
  <c r="F164" i="1"/>
  <c r="H170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<sst xmlns="http://schemas.openxmlformats.org/spreadsheetml/2006/main" count="588" uniqueCount="227">
  <si>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</si>
  <si>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</si>
  <si>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</si>
  <si>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</si>
  <si>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</si>
  <si>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</si>
  <si>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</si>
  <si>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</si>
  <si>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</si>
  <si>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</si>
  <si>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</si>
  <si>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</si>
  <si>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</si>
  <si>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</si>
  <si>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</si>
  <si>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</si>
  <si>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</si>
  <si>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</si>
  <si>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</si>
  <si>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</si>
  <si>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</si>
  <si>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</si>
  <si>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</si>
  <si>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</si>
  <si>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</si>
  <si>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</si>
  <si>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</si>
  <si>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</si>
  <si>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</si>
  <si>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</si>
  <si>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</si>
  <si>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</si>
  <si>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</si>
  <si>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</si>
  <si>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</si>
  <si>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</si>
  <si>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</si>
  <si>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</si>
  <si>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</si>
  <si>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</si>
  <si>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</si>
  <si>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</si>
  <si>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</si>
  <si>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</si>
  <si>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</si>
  <si>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</si>
  <si>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</si>
  <si>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</si>
  <si>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</si>
  <si>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</si>
  <si>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</si>
  <si>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</si>
  <si>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</si>
  <si>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</si>
  <si>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</si>
  <si>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</si>
  <si>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</si>
  <si>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</si>
  <si>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</si>
  <si>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</si>
  <si>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</si>
  <si>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</si>
  <si>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</si>
  <si>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</si>
  <si>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</si>
  <si>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</si>
  <si>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</si>
  <si>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</si>
  <si>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</si>
  <si>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</si>
  <si>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</si>
  <si>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</si>
  <si>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</si>
  <si>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</si>
  <si>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</si>
  <si>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</si>
  <si>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</si>
  <si>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</si>
  <si>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</si>
  <si>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</si>
  <si>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</si>
  <si>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</si>
  <si>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</si>
  <si>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</si>
  <si>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</si>
  <si>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</si>
  <si>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</si>
  <si>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</si>
  <si>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</si>
  <si>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</si>
  <si>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</si>
  <si>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</si>
  <si>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</si>
  <si>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</si>
  <si>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</si>
  <si>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</si>
  <si>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</si>
  <si>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</si>
  <si>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</si>
  <si>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</si>
  <si>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</si>
  <si>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</si>
  <si>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</si>
  <si>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</si>
  <si>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</si>
  <si>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</si>
  <si>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</si>
  <si>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</si>
  <si>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</si>
  <si>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</si>
  <si>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</si>
  <si>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</si>
  <si>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</si>
  <si>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</si>
  <si>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</si>
  <si>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</si>
  <si>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</si>
  <si>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</si>
  <si>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</si>
  <si>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</si>
  <si>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</si>
  <si>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</si>
  <si>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</si>
  <si>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</si>
  <si>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</si>
  <si>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</si>
  <si>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</si>
  <si>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</si>
  <si>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</si>
  <si>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</si>
  <si>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</si>
  <si>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</si>
  <si>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</si>
  <si>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</si>
  <si>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</si>
  <si>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</si>
  <si>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</si>
  <si>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</si>
  <si>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</si>
  <si>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</si>
  <si>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</si>
  <si>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</si>
  <si>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</si>
  <si>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</si>
  <si>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</si>
  <si>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</si>
  <si>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</si>
  <si>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</si>
  <si>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</si>
  <si>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</si>
  <si>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</si>
  <si>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</si>
  <si>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</si>
  <si>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</si>
  <si>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</si>
  <si>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</si>
  <si>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</si>
  <si>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</si>
  <si>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</si>
  <si>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</si>
  <si>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</si>
  <si>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</si>
  <si>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</si>
  <si>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</si>
  <si>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</si>
  <si>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</si>
  <si>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</si>
  <si>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</si>
  <si>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</si>
  <si>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</si>
  <si>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</si>
  <si>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</si>
  <si>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</si>
  <si>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</si>
  <si>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</si>
  <si>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</si>
  <si>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</si>
  <si>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140/3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</si>
  <si>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</si>
  <si>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</si>
  <si>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</si>
  <si>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</si>
  <si>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</si>
  <si>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Изготовление и монтаж тамбурных дверей.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</si>
  <si>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</si>
  <si>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</si>
  <si>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140/3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</si>
  <si>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</si>
  <si>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</si>
  <si>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</si>
  <si>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</si>
  <si>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</si>
  <si>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дополнительного видеонаблюдения.</t>
  </si>
  <si>
    <t>АВР 3/20 от 21.02.2020, Решение, счет №12 от 06.02.2020</t>
  </si>
  <si>
    <t xml:space="preserve">Благоустройство придомовой территории (приобретение семян цветов). </t>
  </si>
  <si>
    <t>Приобретение искусственной ели, проведение новогоднего праздника.</t>
  </si>
  <si>
    <t>АВР 1/20 от 20.01.2020</t>
  </si>
  <si>
    <t>АВР 2/20 от 20.01.2020, Решение, счет №145 от 13.12.2019</t>
  </si>
  <si>
    <t>Изготовление и монтаж козырька над подъездом.</t>
  </si>
  <si>
    <t>АВР 5/20 от 16.03.2020, Решение, Калькуляция</t>
  </si>
  <si>
    <t>Приобретение краски и малярного инструмента для ремонта подъезда (1 этаж).</t>
  </si>
  <si>
    <t>Изготовление и монтаж дополнительного козырька над подъездом.</t>
  </si>
  <si>
    <t>Приобретение и установка таблички по пожарной безопасности.</t>
  </si>
  <si>
    <t>АВР 4/20 от 05.03.2020, счет от 12.03.2020</t>
  </si>
  <si>
    <t>Благоустройство придомовой территории (приобретение чернозема).</t>
  </si>
  <si>
    <t>АВР 6/20 от 12.05.2020</t>
  </si>
  <si>
    <t>Приобретение сгона и штуцера для летнего водопровода.</t>
  </si>
  <si>
    <t>АВР 7/20 от 25.04.2020</t>
  </si>
  <si>
    <t xml:space="preserve">Благоустройство придомовой территории (приобретение хозяйственного инвентаря). </t>
  </si>
  <si>
    <t>АВР 9/20 от 13.03.2020, Решение, счет №107 от 13.03.2020</t>
  </si>
  <si>
    <t>Приобретение малярного инструмента для ремонта подъезда (1 этаж).</t>
  </si>
  <si>
    <t>АВР 10/20 от 09.06.2020</t>
  </si>
  <si>
    <t>Приобретение энерго.ламп, четверника, краски и лены малярной.</t>
  </si>
  <si>
    <t>Замена прибора учета электрической энергии.</t>
  </si>
  <si>
    <t>АВР 8/20 от 25.05.2020</t>
  </si>
  <si>
    <t>Частичный ремонт подъезда.</t>
  </si>
  <si>
    <t>Аварийный ремонт теплообменника отопления в ИТП.</t>
  </si>
  <si>
    <t>АВР 11/20 от 06.08.2020</t>
  </si>
  <si>
    <t>АВР 12/20 от 07.12.2020, чеки от 27.01.2020</t>
  </si>
  <si>
    <t>АВР 13/20 от 07.12.2020, Решение</t>
  </si>
  <si>
    <t>АВР 14/20 от 07.12.2020, Решение</t>
  </si>
  <si>
    <t>АВР 15/20 от 07.12.2020, чеки от 12.06.2020 и 09.06.2020</t>
  </si>
  <si>
    <t>АВР 17/20 от 07.12.2020, счет №18 от 18.02.2020, Калькуляция</t>
  </si>
  <si>
    <t>Услуги и работы по управлению МКД</t>
  </si>
  <si>
    <t>АВР 16/20 от 31.12.2020</t>
  </si>
  <si>
    <t>АВР 18/20 от 31.12.2020</t>
  </si>
  <si>
    <t xml:space="preserve">  -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</si>
</sst>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32" fillId="0" borderId="0"/>
    <xf numFmtId="0" fontId="10" fillId="0" borderId="0"/>
  </cellStyleXfs>
  <cellXfs count="19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0" fontId="31" fillId="0" borderId="0" xfId="5" applyFont="1" applyFill="1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0" fontId="17" fillId="0" borderId="0" xfId="5" applyFill="1" applyBorder="1" applyAlignment="1"/>
    <xf numFmtId="0" fontId="31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/>
    <xf numFmtId="0" fontId="15" fillId="0" borderId="0" xfId="5" applyFont="1" applyFill="1" applyBorder="1" applyAlignment="1"/>
    <xf numFmtId="0" fontId="24" fillId="0" borderId="0" xfId="0" applyFont="1" applyBorder="1" applyAlignment="1"/>
    <xf numFmtId="4" fontId="24" fillId="0" borderId="0" xfId="0" applyNumberFormat="1" applyFont="1" applyBorder="1" applyAlignment="1"/>
    <xf numFmtId="0" fontId="16" fillId="0" borderId="0" xfId="4" applyFont="1" applyFill="1" applyBorder="1" applyAlignment="1">
      <alignment horizontal="center"/>
    </xf>
    <xf numFmtId="0" fontId="18" fillId="0" borderId="0" xfId="4" applyFill="1" applyBorder="1" applyAlignment="1">
      <alignment horizontal="center"/>
    </xf>
    <xf numFmtId="0" fontId="14" fillId="0" borderId="0" xfId="5" applyFont="1" applyFill="1" applyBorder="1" applyAlignment="1"/>
    <xf numFmtId="0" fontId="14" fillId="0" borderId="0" xfId="5" applyFont="1" applyFill="1" applyBorder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0" fontId="10" fillId="0" borderId="0" xfId="7" applyFont="1" applyFill="1" applyBorder="1" applyAlignment="1"/>
    <xf numFmtId="0" fontId="10" fillId="0" borderId="0" xfId="7" applyFont="1" applyFill="1" applyBorder="1" applyAlignment="1">
      <alignment horizontal="center"/>
    </xf>
    <xf numFmtId="1" fontId="10" fillId="0" borderId="0" xfId="7" applyNumberFormat="1" applyFill="1" applyBorder="1" applyAlignment="1">
      <alignment horizontal="center"/>
    </xf>
    <xf numFmtId="4" fontId="10" fillId="0" borderId="0" xfId="7" applyNumberFormat="1" applyFill="1" applyBorder="1" applyAlignment="1"/>
    <xf numFmtId="0" fontId="10" fillId="0" borderId="0" xfId="7" applyFont="1" applyFill="1" applyBorder="1"/>
    <xf numFmtId="0" fontId="9" fillId="0" borderId="0" xfId="4" applyFont="1" applyFill="1" applyBorder="1" applyAlignment="1">
      <alignment horizontal="center"/>
    </xf>
    <xf numFmtId="0" fontId="1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17" fillId="0" borderId="0" xfId="5" applyFill="1" applyBorder="1" applyAlignment="1">
      <alignment horizontal="center" vertical="center"/>
    </xf>
    <xf numFmtId="4" fontId="17" fillId="0" borderId="0" xfId="5" applyNumberFormat="1" applyFill="1" applyBorder="1" applyAlignment="1"/>
    <xf numFmtId="0" fontId="6" fillId="0" borderId="0" xfId="5" applyFont="1" applyFill="1" applyBorder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4" fillId="0" borderId="0" xfId="5" applyNumberFormat="1" applyFont="1" applyFill="1" applyBorder="1" applyAlignment="1"/>
    <xf numFmtId="0" fontId="4" fillId="0" borderId="0" xfId="5" applyFont="1" applyFill="1" applyBorder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1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11" fillId="0" borderId="0" xfId="4" applyFont="1" applyFill="1" applyBorder="1" applyAlignment="1"/>
    <xf numFmtId="4" fontId="0" fillId="0" borderId="0" xfId="0" applyNumberFormat="1" applyFill="1"/>
    <xf numFmtId="0" fontId="1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5" xfId="5"/>
    <cellStyle name="Обычный 5 4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4" t="s">
        <v>177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8" t="s">
        <v>2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5"/>
      <c r="M8" s="109"/>
      <c r="N8" s="109"/>
      <c r="O8" s="70" t="s">
        <v>83</v>
      </c>
      <c r="R8" s="16"/>
    </row>
    <row r="9" spans="1:18" ht="18.75" customHeight="1" outlineLevel="1">
      <c r="A9" s="178" t="s">
        <v>3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5"/>
      <c r="M9" s="109"/>
      <c r="N9" s="109"/>
      <c r="O9" s="70" t="s">
        <v>84</v>
      </c>
    </row>
    <row r="10" spans="1:18" ht="18.75" customHeight="1" outlineLevel="1">
      <c r="A10" s="178" t="s">
        <v>4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313822.37000000011</v>
      </c>
      <c r="K10" s="109"/>
      <c r="L10" s="185"/>
      <c r="M10" s="109"/>
      <c r="N10" s="109"/>
      <c r="O10" s="70" t="s">
        <v>85</v>
      </c>
    </row>
    <row r="11" spans="1:18" outlineLevel="1">
      <c r="A11" s="178" t="s">
        <v>5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993065.73000000021</v>
      </c>
      <c r="K11" s="109"/>
      <c r="L11" s="185"/>
      <c r="M11" s="109"/>
      <c r="N11" s="109"/>
      <c r="O11" s="70" t="s">
        <v>86</v>
      </c>
    </row>
    <row r="12" spans="1:18" ht="18.75" customHeight="1" outlineLevel="1">
      <c r="A12" s="178" t="s">
        <v>6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590557.92000000016</v>
      </c>
      <c r="K12" s="109"/>
      <c r="L12" s="185"/>
      <c r="M12" s="109"/>
      <c r="N12" s="109"/>
      <c r="O12" s="70" t="s">
        <v>87</v>
      </c>
    </row>
    <row r="13" spans="1:18" ht="18.75" customHeight="1" outlineLevel="1">
      <c r="A13" s="178" t="s">
        <v>7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221028</v>
      </c>
      <c r="K13" s="109"/>
      <c r="L13" s="185"/>
      <c r="M13" s="109"/>
      <c r="N13" s="109"/>
      <c r="O13" s="70" t="s">
        <v>88</v>
      </c>
    </row>
    <row r="14" spans="1:18" ht="18.75" customHeight="1" outlineLevel="1">
      <c r="A14" s="178" t="s">
        <v>8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181479.81</v>
      </c>
      <c r="K14" s="109"/>
      <c r="L14" s="185"/>
      <c r="M14" s="109"/>
      <c r="N14" s="109"/>
      <c r="O14" s="70" t="s">
        <v>89</v>
      </c>
    </row>
    <row r="15" spans="1:18" ht="18.75" customHeight="1" outlineLevel="1">
      <c r="A15" s="178" t="s">
        <v>9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932700.82999999984</v>
      </c>
      <c r="K15" s="109"/>
      <c r="L15" s="185"/>
      <c r="M15" s="109"/>
      <c r="N15" s="109"/>
      <c r="O15" s="70" t="s">
        <v>90</v>
      </c>
    </row>
    <row r="16" spans="1:18" ht="18.75" customHeight="1" outlineLevel="1">
      <c r="A16" s="178" t="s">
        <v>10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932700.82999999984</v>
      </c>
      <c r="K16" s="109"/>
      <c r="L16" s="185"/>
      <c r="M16" s="109"/>
      <c r="N16" s="109"/>
      <c r="O16" s="70" t="s">
        <v>91</v>
      </c>
    </row>
    <row r="17" spans="1:23" ht="18.75" customHeight="1" outlineLevel="1">
      <c r="A17" s="178" t="s">
        <v>11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5"/>
      <c r="M17" s="109"/>
      <c r="N17" s="109"/>
      <c r="O17" s="70" t="s">
        <v>92</v>
      </c>
    </row>
    <row r="18" spans="1:23" ht="18.75" customHeight="1" outlineLevel="1">
      <c r="A18" s="178" t="s">
        <v>12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5"/>
      <c r="M18" s="109"/>
      <c r="N18" s="109"/>
      <c r="O18" s="70" t="s">
        <v>93</v>
      </c>
    </row>
    <row r="19" spans="1:23" ht="18.75" customHeight="1" outlineLevel="1">
      <c r="A19" s="178" t="s">
        <v>13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5"/>
      <c r="M19" s="109"/>
      <c r="N19" s="109"/>
      <c r="O19" s="70" t="s">
        <v>94</v>
      </c>
    </row>
    <row r="20" spans="1:23" ht="18.75" customHeight="1" outlineLevel="1">
      <c r="A20" s="178" t="s">
        <v>14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5"/>
      <c r="M20" s="109"/>
      <c r="N20" s="109"/>
      <c r="O20" s="70" t="s">
        <v>95</v>
      </c>
    </row>
    <row r="21" spans="1:23" ht="18.75" customHeight="1" outlineLevel="1">
      <c r="A21" s="178" t="s">
        <v>15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932700.82999999984</v>
      </c>
      <c r="K21" s="109"/>
      <c r="L21" s="185"/>
      <c r="M21" s="109"/>
      <c r="N21" s="109"/>
      <c r="O21" s="70" t="s">
        <v>96</v>
      </c>
    </row>
    <row r="22" spans="1:23" ht="18.75" customHeight="1" outlineLevel="1">
      <c r="A22" s="178" t="s">
        <v>16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5"/>
      <c r="M22" s="109"/>
      <c r="N22" s="109"/>
      <c r="O22" s="70" t="s">
        <v>97</v>
      </c>
    </row>
    <row r="23" spans="1:23" ht="18.75" customHeight="1" outlineLevel="1">
      <c r="A23" s="178" t="s">
        <v>17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5"/>
      <c r="M23" s="109"/>
      <c r="N23" s="109"/>
      <c r="O23" s="70" t="s">
        <v>98</v>
      </c>
    </row>
    <row r="24" spans="1:23" ht="18.75" customHeight="1" outlineLevel="1">
      <c r="A24" s="178" t="s">
        <v>18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374187.27000000048</v>
      </c>
      <c r="K24" s="109"/>
      <c r="L24" s="18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7" t="s">
        <v>19</v>
      </c>
      <c r="B27" s="177"/>
      <c r="C27" s="177"/>
      <c r="D27" s="177"/>
      <c r="E27" s="177"/>
      <c r="F27" s="177" t="s">
        <v>20</v>
      </c>
      <c r="G27" s="177"/>
      <c r="H27" s="5" t="s">
        <v>57</v>
      </c>
      <c r="I27" s="177" t="s">
        <v>21</v>
      </c>
      <c r="J27" s="177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4">
        <f>VLOOKUP(A28,ПТО!$A$39:$D$53,2,FALSE)</f>
        <v>238038.6</v>
      </c>
      <c r="G28" s="174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4">
        <f>VLOOKUP(A29,ПТО!$A$39:$D$53,2,FALSE)</f>
        <v>68076.36</v>
      </c>
      <c r="G29" s="174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4">
        <f>VLOOKUP(A30,ПТО!$A$39:$D$53,2,FALSE)</f>
        <v>76757.16</v>
      </c>
      <c r="G30" s="174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4">
        <f>VLOOKUP(A31,ПТО!$A$39:$D$53,2,FALSE)</f>
        <v>54826.559999999998</v>
      </c>
      <c r="G31" s="174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4" t="e">
        <f>VLOOKUP(A32,ПТО!$A$39:$D$53,2,FALSE)</f>
        <v>#N/A</v>
      </c>
      <c r="G32" s="174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8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4">
        <f>VLOOKUP(A33,ПТО!$A$39:$D$53,2,FALSE)</f>
        <v>21930.6</v>
      </c>
      <c r="G33" s="174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4">
        <f>VLOOKUP(A34,ПТО!$A$39:$D$53,2,FALSE)</f>
        <v>134325.12</v>
      </c>
      <c r="G34" s="174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9" t="str">
        <f>ПТО!A46</f>
        <v>Услуги и работы по управлению МКД</v>
      </c>
      <c r="B35" s="169"/>
      <c r="C35" s="169"/>
      <c r="D35" s="169"/>
      <c r="E35" s="169"/>
      <c r="F35" s="174">
        <f>VLOOKUP(A35,ПТО!$A$39:$D$53,2,FALSE)</f>
        <v>182755.20000000001</v>
      </c>
      <c r="G35" s="174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86"/>
      <c r="M35" s="115"/>
      <c r="N35" s="109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4" t="e">
        <f>VLOOKUP(A36,ПТО!$A$39:$D$53,2,FALSE)</f>
        <v>#N/A</v>
      </c>
      <c r="G36" s="174"/>
      <c r="H36" s="42" t="e">
        <f>VLOOKUP(A36,ПТО!$A$39:$D$53,3,FALSE)</f>
        <v>#N/A</v>
      </c>
      <c r="I36" s="170" t="e">
        <f>VLOOKUP(A36,ПТО!$A$39:$D$53,4,FALSE)</f>
        <v>#N/A</v>
      </c>
      <c r="J36" s="170"/>
      <c r="K36" s="109"/>
      <c r="L36" s="18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4" t="e">
        <f>VLOOKUP(A37,ПТО!$A$39:$D$53,2,FALSE)</f>
        <v>#N/A</v>
      </c>
      <c r="G37" s="174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8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4" t="e">
        <f>VLOOKUP(A38,ПТО!$A$39:$D$53,2,FALSE)</f>
        <v>#N/A</v>
      </c>
      <c r="G38" s="174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8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4" t="e">
        <f>VLOOKUP(A39,ПТО!$A$39:$D$53,2,FALSE)</f>
        <v>#N/A</v>
      </c>
      <c r="G39" s="174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8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4" t="e">
        <f>VLOOKUP(A40,ПТО!$A$39:$D$53,2,FALSE)</f>
        <v>#N/A</v>
      </c>
      <c r="G40" s="174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8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4" t="e">
        <f>VLOOKUP(A41,ПТО!$A$39:$D$53,2,FALSE)</f>
        <v>#N/A</v>
      </c>
      <c r="G41" s="174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8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4" t="e">
        <f>VLOOKUP(A42,ПТО!$A$39:$D$53,2,FALSE)</f>
        <v>#N/A</v>
      </c>
      <c r="G42" s="174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8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9" t="str">
        <f>ПТО!A2</f>
        <v>Техническое освидетельствование лифта.</v>
      </c>
      <c r="B43" s="169"/>
      <c r="C43" s="169"/>
      <c r="D43" s="169"/>
      <c r="E43" s="169"/>
      <c r="F43" s="174">
        <f>VLOOKUP(A43,ПТО!$A$2:$D$31,4,FALSE)</f>
        <v>8100</v>
      </c>
      <c r="G43" s="174"/>
      <c r="H43" s="19" t="str">
        <f>VLOOKUP(A43,ПТО!$A$2:$D$31,2,FALSE)</f>
        <v>ежегодно</v>
      </c>
      <c r="I43" s="170">
        <f>VLOOKUP(A43,ПТО!$A$2:$D$31,3,FALSE)</f>
        <v>1</v>
      </c>
      <c r="J43" s="170"/>
      <c r="K43" s="109"/>
      <c r="L43" s="18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9" t="str">
        <f>ПТО!A3</f>
        <v>Техническое обслуживание охранной сигнализации.</v>
      </c>
      <c r="B44" s="169"/>
      <c r="C44" s="169"/>
      <c r="D44" s="169"/>
      <c r="E44" s="169"/>
      <c r="F44" s="174">
        <f>VLOOKUP(A44,ПТО!$A$2:$D$31,4,FALSE)</f>
        <v>3999.96</v>
      </c>
      <c r="G44" s="174"/>
      <c r="H44" s="25" t="str">
        <f>VLOOKUP(A44,ПТО!$A$2:$D$31,2,FALSE)</f>
        <v>ежемесячно</v>
      </c>
      <c r="I44" s="170">
        <f>VLOOKUP(A44,ПТО!$A$2:$D$31,3,FALSE)</f>
        <v>12</v>
      </c>
      <c r="J44" s="170"/>
      <c r="K44" s="109"/>
      <c r="L44" s="186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9" t="str">
        <f>ПТО!A4</f>
        <v>Приобретение искусственной ели, проведение новогоднего праздника.</v>
      </c>
      <c r="B45" s="169"/>
      <c r="C45" s="169"/>
      <c r="D45" s="169"/>
      <c r="E45" s="169"/>
      <c r="F45" s="174">
        <f>VLOOKUP(A45,ПТО!$A$2:$D$31,4,FALSE)</f>
        <v>4000</v>
      </c>
      <c r="G45" s="174"/>
      <c r="H45" s="25" t="str">
        <f>VLOOKUP(A45,ПТО!$A$2:$D$31,2,FALSE)</f>
        <v>разово</v>
      </c>
      <c r="I45" s="170">
        <f>VLOOKUP(A45,ПТО!$A$2:$D$31,3,FALSE)</f>
        <v>1</v>
      </c>
      <c r="J45" s="170"/>
      <c r="K45" s="109"/>
      <c r="L45" s="186"/>
      <c r="M45" s="115"/>
      <c r="N45" s="109"/>
      <c r="O45" s="23" t="str">
        <f t="shared" si="1"/>
        <v>Приобретение искусственной ели, проведение новогоднего праздника.</v>
      </c>
      <c r="R45" s="22" t="s">
        <v>72</v>
      </c>
    </row>
    <row r="46" spans="1:18" ht="51" customHeight="1" outlineLevel="1">
      <c r="A46" s="169" t="str">
        <f>ПТО!A5</f>
        <v>Изготовление и монтаж тамбурных дверей.</v>
      </c>
      <c r="B46" s="169"/>
      <c r="C46" s="169"/>
      <c r="D46" s="169"/>
      <c r="E46" s="169"/>
      <c r="F46" s="174">
        <f>VLOOKUP(A46,ПТО!$A$2:$D$31,4,FALSE)</f>
        <v>72370.69</v>
      </c>
      <c r="G46" s="174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86"/>
      <c r="M46" s="115"/>
      <c r="N46" s="109"/>
      <c r="O46" s="23" t="str">
        <f t="shared" si="1"/>
        <v>Изготовление и монтаж тамбурных дверей.</v>
      </c>
      <c r="R46" s="22" t="s">
        <v>72</v>
      </c>
    </row>
    <row r="47" spans="1:18" ht="51" customHeight="1" outlineLevel="1">
      <c r="A47" s="169" t="str">
        <f>ПТО!A6</f>
        <v>Приобретение и установка дополнительного видеонаблюдения.</v>
      </c>
      <c r="B47" s="169"/>
      <c r="C47" s="169"/>
      <c r="D47" s="169"/>
      <c r="E47" s="169"/>
      <c r="F47" s="174">
        <f>VLOOKUP(A47,ПТО!$A$2:$D$31,4,FALSE)</f>
        <v>53992</v>
      </c>
      <c r="G47" s="174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86"/>
      <c r="M47" s="115"/>
      <c r="N47" s="109"/>
      <c r="O47" s="23" t="str">
        <f t="shared" si="1"/>
        <v>Приобретение и установка дополнительного видеонаблюдения.</v>
      </c>
      <c r="R47" s="22" t="s">
        <v>72</v>
      </c>
    </row>
    <row r="48" spans="1:18" ht="51" customHeight="1" outlineLevel="1">
      <c r="A48" s="169" t="str">
        <f>ПТО!A7</f>
        <v>Приобретение и установка таблички по пожарной безопасности.</v>
      </c>
      <c r="B48" s="169"/>
      <c r="C48" s="169"/>
      <c r="D48" s="169"/>
      <c r="E48" s="169"/>
      <c r="F48" s="174">
        <f>VLOOKUP(A48,ПТО!$A$2:$D$31,4,FALSE)</f>
        <v>250</v>
      </c>
      <c r="G48" s="174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86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69" t="str">
        <f>ПТО!A8</f>
        <v>Изготовление и монтаж козырька над подъездом.</v>
      </c>
      <c r="B49" s="169"/>
      <c r="C49" s="169"/>
      <c r="D49" s="169"/>
      <c r="E49" s="169"/>
      <c r="F49" s="174">
        <f>VLOOKUP(A49,ПТО!$A$2:$D$31,4,FALSE)</f>
        <v>42645</v>
      </c>
      <c r="G49" s="174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86"/>
      <c r="M49" s="115"/>
      <c r="N49" s="109"/>
      <c r="O49" s="23" t="str">
        <f t="shared" si="1"/>
        <v>Изготовление и монтаж козырька над подъездом.</v>
      </c>
      <c r="R49" s="22" t="s">
        <v>72</v>
      </c>
    </row>
    <row r="50" spans="1:18" ht="51" customHeight="1" outlineLevel="1">
      <c r="A50" s="169" t="str">
        <f>ПТО!A9</f>
        <v>Благоустройство придомовой территории (приобретение чернозема).</v>
      </c>
      <c r="B50" s="169"/>
      <c r="C50" s="169"/>
      <c r="D50" s="169"/>
      <c r="E50" s="169"/>
      <c r="F50" s="174">
        <f>VLOOKUP(A50,ПТО!$A$2:$D$31,4,FALSE)</f>
        <v>4500</v>
      </c>
      <c r="G50" s="174"/>
      <c r="H50" s="25" t="str">
        <f>VLOOKUP(A50,ПТО!$A$2:$D$31,2,FALSE)</f>
        <v>разово</v>
      </c>
      <c r="I50" s="170">
        <f>VLOOKUP(A50,ПТО!$A$2:$D$31,3,FALSE)</f>
        <v>1</v>
      </c>
      <c r="J50" s="170"/>
      <c r="K50" s="109"/>
      <c r="L50" s="186"/>
      <c r="M50" s="115"/>
      <c r="N50" s="109"/>
      <c r="O50" s="23" t="str">
        <f t="shared" si="1"/>
        <v>Благоустройство придомовой территории (приобретение чернозема).</v>
      </c>
      <c r="R50" s="22" t="s">
        <v>72</v>
      </c>
    </row>
    <row r="51" spans="1:18" ht="51" customHeight="1" outlineLevel="1">
      <c r="A51" s="169" t="str">
        <f>ПТО!A10</f>
        <v>Приобретение сгона и штуцера для летнего водопровода.</v>
      </c>
      <c r="B51" s="169"/>
      <c r="C51" s="169"/>
      <c r="D51" s="169"/>
      <c r="E51" s="169"/>
      <c r="F51" s="174">
        <f>VLOOKUP(A51,ПТО!$A$2:$D$31,4,FALSE)</f>
        <v>245</v>
      </c>
      <c r="G51" s="174"/>
      <c r="H51" s="25" t="str">
        <f>VLOOKUP(A51,ПТО!$A$2:$D$31,2,FALSE)</f>
        <v>разово</v>
      </c>
      <c r="I51" s="170">
        <f>VLOOKUP(A51,ПТО!$A$2:$D$31,3,FALSE)</f>
        <v>1</v>
      </c>
      <c r="J51" s="170"/>
      <c r="K51" s="109"/>
      <c r="L51" s="186"/>
      <c r="M51" s="115"/>
      <c r="N51" s="109"/>
      <c r="O51" s="23" t="str">
        <f t="shared" si="1"/>
        <v>Приобретение сгона и штуцера для летнего водопровода.</v>
      </c>
      <c r="R51" s="22" t="s">
        <v>72</v>
      </c>
    </row>
    <row r="52" spans="1:18" ht="51" customHeight="1" outlineLevel="1">
      <c r="A52" s="169" t="str">
        <f>ПТО!A11</f>
        <v>Замена прибора учета электрической энергии.</v>
      </c>
      <c r="B52" s="169"/>
      <c r="C52" s="169"/>
      <c r="D52" s="169"/>
      <c r="E52" s="169"/>
      <c r="F52" s="174">
        <f>VLOOKUP(A52,ПТО!$A$2:$D$31,4,FALSE)</f>
        <v>18705</v>
      </c>
      <c r="G52" s="174"/>
      <c r="H52" s="25" t="str">
        <f>VLOOKUP(A52,ПТО!$A$2:$D$31,2,FALSE)</f>
        <v>разово</v>
      </c>
      <c r="I52" s="170">
        <f>VLOOKUP(A52,ПТО!$A$2:$D$31,3,FALSE)</f>
        <v>1</v>
      </c>
      <c r="J52" s="170"/>
      <c r="K52" s="109"/>
      <c r="L52" s="186"/>
      <c r="M52" s="115"/>
      <c r="N52" s="109"/>
      <c r="O52" s="23" t="str">
        <f t="shared" si="1"/>
        <v>Замена прибора учета электрической энергии.</v>
      </c>
      <c r="R52" s="22" t="s">
        <v>72</v>
      </c>
    </row>
    <row r="53" spans="1:18" ht="51" customHeight="1" outlineLevel="1">
      <c r="A53" s="169" t="str">
        <f>ПТО!A12</f>
        <v>Приобретение краски и малярного инструмента для ремонта подъезда (1 этаж).</v>
      </c>
      <c r="B53" s="169"/>
      <c r="C53" s="169"/>
      <c r="D53" s="169"/>
      <c r="E53" s="169"/>
      <c r="F53" s="174">
        <f>VLOOKUP(A53,ПТО!$A$2:$D$31,4,FALSE)</f>
        <v>13990</v>
      </c>
      <c r="G53" s="174"/>
      <c r="H53" s="25" t="str">
        <f>VLOOKUP(A53,ПТО!$A$2:$D$31,2,FALSE)</f>
        <v>разово</v>
      </c>
      <c r="I53" s="170">
        <f>VLOOKUP(A53,ПТО!$A$2:$D$31,3,FALSE)</f>
        <v>1</v>
      </c>
      <c r="J53" s="170"/>
      <c r="K53" s="109"/>
      <c r="L53" s="186"/>
      <c r="M53" s="115"/>
      <c r="N53" s="109"/>
      <c r="O53" s="23" t="str">
        <f t="shared" si="1"/>
        <v>Приобретение краски и малярного инструмента для ремонта подъезда (1 этаж).</v>
      </c>
      <c r="R53" s="22" t="s">
        <v>72</v>
      </c>
    </row>
    <row r="54" spans="1:18" ht="51" customHeight="1" outlineLevel="1">
      <c r="A54" s="169" t="str">
        <f>ПТО!A13</f>
        <v>Приобретение малярного инструмента для ремонта подъезда (1 этаж).</v>
      </c>
      <c r="B54" s="169"/>
      <c r="C54" s="169"/>
      <c r="D54" s="169"/>
      <c r="E54" s="169"/>
      <c r="F54" s="174">
        <f>VLOOKUP(A54,ПТО!$A$2:$D$31,4,FALSE)</f>
        <v>2950</v>
      </c>
      <c r="G54" s="174"/>
      <c r="H54" s="25" t="str">
        <f>VLOOKUP(A54,ПТО!$A$2:$D$31,2,FALSE)</f>
        <v>разово</v>
      </c>
      <c r="I54" s="170">
        <f>VLOOKUP(A54,ПТО!$A$2:$D$31,3,FALSE)</f>
        <v>1</v>
      </c>
      <c r="J54" s="170"/>
      <c r="K54" s="109"/>
      <c r="L54" s="186"/>
      <c r="M54" s="115"/>
      <c r="N54" s="109"/>
      <c r="O54" s="23" t="str">
        <f t="shared" si="1"/>
        <v>Приобретение малярного инструмента для ремонта подъезда (1 этаж).</v>
      </c>
      <c r="R54" s="22" t="s">
        <v>72</v>
      </c>
    </row>
    <row r="55" spans="1:18" ht="51" customHeight="1" outlineLevel="1">
      <c r="A55" s="169" t="str">
        <f>ПТО!A14</f>
        <v>Аварийный ремонт теплообменника отопления в ИТП.</v>
      </c>
      <c r="B55" s="169"/>
      <c r="C55" s="169"/>
      <c r="D55" s="169"/>
      <c r="E55" s="169"/>
      <c r="F55" s="174">
        <f>VLOOKUP(A55,ПТО!$A$2:$D$31,4,FALSE)</f>
        <v>37299.33</v>
      </c>
      <c r="G55" s="174"/>
      <c r="H55" s="25" t="str">
        <f>VLOOKUP(A55,ПТО!$A$2:$D$31,2,FALSE)</f>
        <v>разово</v>
      </c>
      <c r="I55" s="170">
        <f>VLOOKUP(A55,ПТО!$A$2:$D$31,3,FALSE)</f>
        <v>1</v>
      </c>
      <c r="J55" s="170"/>
      <c r="K55" s="109"/>
      <c r="L55" s="186"/>
      <c r="M55" s="115"/>
      <c r="N55" s="109"/>
      <c r="O55" s="23" t="str">
        <f t="shared" si="1"/>
        <v>Аварийный ремонт теплообменника отопления в ИТП.</v>
      </c>
      <c r="R55" s="22" t="s">
        <v>72</v>
      </c>
    </row>
    <row r="56" spans="1:18" ht="51" customHeight="1" outlineLevel="1">
      <c r="A56" s="169" t="str">
        <f>ПТО!A15</f>
        <v xml:space="preserve">Благоустройство придомовой территории (приобретение семян цветов). </v>
      </c>
      <c r="B56" s="169"/>
      <c r="C56" s="169"/>
      <c r="D56" s="169"/>
      <c r="E56" s="169"/>
      <c r="F56" s="174">
        <f>VLOOKUP(A56,ПТО!$A$2:$D$31,4,FALSE)</f>
        <v>253.8</v>
      </c>
      <c r="G56" s="174"/>
      <c r="H56" s="25" t="str">
        <f>VLOOKUP(A56,ПТО!$A$2:$D$31,2,FALSE)</f>
        <v>разово</v>
      </c>
      <c r="I56" s="170">
        <f>VLOOKUP(A56,ПТО!$A$2:$D$31,3,FALSE)</f>
        <v>1</v>
      </c>
      <c r="J56" s="170"/>
      <c r="K56" s="109"/>
      <c r="L56" s="186"/>
      <c r="M56" s="115"/>
      <c r="N56" s="109"/>
      <c r="O56" s="23" t="str">
        <f t="shared" si="1"/>
        <v xml:space="preserve">Благоустройство придомовой территории (приобретение семян цветов). </v>
      </c>
      <c r="R56" s="22" t="s">
        <v>72</v>
      </c>
    </row>
    <row r="57" spans="1:18" ht="51" customHeight="1" outlineLevel="1">
      <c r="A57" s="169" t="str">
        <f>ПТО!A16</f>
        <v xml:space="preserve">Благоустройство придомовой территории (приобретение хозяйственного инвентаря). </v>
      </c>
      <c r="B57" s="169"/>
      <c r="C57" s="169"/>
      <c r="D57" s="169"/>
      <c r="E57" s="169"/>
      <c r="F57" s="174">
        <f>VLOOKUP(A57,ПТО!$A$2:$D$31,4,FALSE)</f>
        <v>1900</v>
      </c>
      <c r="G57" s="174"/>
      <c r="H57" s="25" t="str">
        <f>VLOOKUP(A57,ПТО!$A$2:$D$31,2,FALSE)</f>
        <v>разово</v>
      </c>
      <c r="I57" s="170">
        <f>VLOOKUP(A57,ПТО!$A$2:$D$31,3,FALSE)</f>
        <v>1</v>
      </c>
      <c r="J57" s="170"/>
      <c r="K57" s="109"/>
      <c r="L57" s="186"/>
      <c r="M57" s="115"/>
      <c r="N57" s="109"/>
      <c r="O57" s="23" t="str">
        <f t="shared" si="1"/>
        <v xml:space="preserve">Благоустройство придомовой территории (приобретение хозяйственного инвентаря). </v>
      </c>
      <c r="R57" s="22" t="s">
        <v>72</v>
      </c>
    </row>
    <row r="58" spans="1:18" ht="51" customHeight="1" outlineLevel="1">
      <c r="A58" s="169" t="str">
        <f>ПТО!A17</f>
        <v>Частичный ремонт подъезда.</v>
      </c>
      <c r="B58" s="169"/>
      <c r="C58" s="169"/>
      <c r="D58" s="169"/>
      <c r="E58" s="169"/>
      <c r="F58" s="174">
        <f>VLOOKUP(A58,ПТО!$A$2:$D$31,4,FALSE)</f>
        <v>24959</v>
      </c>
      <c r="G58" s="174"/>
      <c r="H58" s="25" t="str">
        <f>VLOOKUP(A58,ПТО!$A$2:$D$31,2,FALSE)</f>
        <v>разово</v>
      </c>
      <c r="I58" s="170">
        <f>VLOOKUP(A58,ПТО!$A$2:$D$31,3,FALSE)</f>
        <v>1</v>
      </c>
      <c r="J58" s="170"/>
      <c r="K58" s="109"/>
      <c r="L58" s="186"/>
      <c r="M58" s="115"/>
      <c r="N58" s="109"/>
      <c r="O58" s="23" t="str">
        <f t="shared" si="1"/>
        <v>Частичный ремонт подъезда.</v>
      </c>
      <c r="R58" s="22" t="s">
        <v>72</v>
      </c>
    </row>
    <row r="59" spans="1:18" ht="51" customHeight="1" outlineLevel="1">
      <c r="A59" s="169" t="str">
        <f>ПТО!A18</f>
        <v>Приобретение энерго.ламп, четверника, краски и лены малярной.</v>
      </c>
      <c r="B59" s="169"/>
      <c r="C59" s="169"/>
      <c r="D59" s="169"/>
      <c r="E59" s="169"/>
      <c r="F59" s="174">
        <f>VLOOKUP(A59,ПТО!$A$2:$D$31,4,FALSE)</f>
        <v>4242</v>
      </c>
      <c r="G59" s="174"/>
      <c r="H59" s="25" t="str">
        <f>VLOOKUP(A59,ПТО!$A$2:$D$31,2,FALSE)</f>
        <v>разово</v>
      </c>
      <c r="I59" s="170">
        <f>VLOOKUP(A59,ПТО!$A$2:$D$31,3,FALSE)</f>
        <v>1</v>
      </c>
      <c r="J59" s="170"/>
      <c r="K59" s="109"/>
      <c r="L59" s="186"/>
      <c r="M59" s="115"/>
      <c r="N59" s="109"/>
      <c r="O59" s="23" t="str">
        <f t="shared" si="1"/>
        <v>Приобретение энерго.ламп, четверника, краски и лены малярной.</v>
      </c>
      <c r="R59" s="22" t="s">
        <v>72</v>
      </c>
    </row>
    <row r="60" spans="1:18" ht="51" customHeight="1" outlineLevel="1">
      <c r="A60" s="169" t="str">
        <f>ПТО!A19</f>
        <v>Изготовление и монтаж дополнительного козырька над подъездом.</v>
      </c>
      <c r="B60" s="169"/>
      <c r="C60" s="169"/>
      <c r="D60" s="169"/>
      <c r="E60" s="169"/>
      <c r="F60" s="174">
        <f>VLOOKUP(A60,ПТО!$A$2:$D$31,4,FALSE)</f>
        <v>19353</v>
      </c>
      <c r="G60" s="174"/>
      <c r="H60" s="25" t="str">
        <f>VLOOKUP(A60,ПТО!$A$2:$D$31,2,FALSE)</f>
        <v>разово</v>
      </c>
      <c r="I60" s="170">
        <f>VLOOKUP(A60,ПТО!$A$2:$D$31,3,FALSE)</f>
        <v>1</v>
      </c>
      <c r="J60" s="170"/>
      <c r="K60" s="109"/>
      <c r="L60" s="186"/>
      <c r="M60" s="115"/>
      <c r="N60" s="109"/>
      <c r="O60" s="23" t="str">
        <f t="shared" si="1"/>
        <v>Изготовление и монтаж дополнительного козырька над подъездом.</v>
      </c>
      <c r="R60" s="22" t="s">
        <v>72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4" t="e">
        <f>VLOOKUP(A61,ПТО!$A$2:$D$31,4,FALSE)</f>
        <v>#N/A</v>
      </c>
      <c r="G61" s="174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8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4" t="e">
        <f>VLOOKUP(A62,ПТО!$A$2:$D$31,4,FALSE)</f>
        <v>#N/A</v>
      </c>
      <c r="G62" s="174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8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4" t="e">
        <f>VLOOKUP(A63,ПТО!$A$2:$D$31,4,FALSE)</f>
        <v>#N/A</v>
      </c>
      <c r="G63" s="174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8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4" t="e">
        <f>VLOOKUP(A64,ПТО!$A$2:$D$31,4,FALSE)</f>
        <v>#N/A</v>
      </c>
      <c r="G64" s="174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8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4" t="e">
        <f>VLOOKUP(A65,ПТО!$A$2:$D$31,4,FALSE)</f>
        <v>#N/A</v>
      </c>
      <c r="G65" s="174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8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4" t="e">
        <f>VLOOKUP(A66,ПТО!$A$2:$D$31,4,FALSE)</f>
        <v>#N/A</v>
      </c>
      <c r="G66" s="174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8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4" t="e">
        <f>VLOOKUP(A67,ПТО!$A$2:$D$31,4,FALSE)</f>
        <v>#N/A</v>
      </c>
      <c r="G67" s="174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8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4" t="e">
        <f>VLOOKUP(A68,ПТО!$A$2:$D$31,4,FALSE)</f>
        <v>#N/A</v>
      </c>
      <c r="G68" s="174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8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4" t="e">
        <f>VLOOKUP(A69,ПТО!$A$2:$D$31,4,FALSE)</f>
        <v>#N/A</v>
      </c>
      <c r="G69" s="174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8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4" t="e">
        <f>VLOOKUP(A70,ПТО!$A$2:$D$31,4,FALSE)</f>
        <v>#N/A</v>
      </c>
      <c r="G70" s="174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8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4" t="e">
        <f>VLOOKUP(A71,ПТО!$A$2:$D$31,4,FALSE)</f>
        <v>#N/A</v>
      </c>
      <c r="G71" s="174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5"/>
      <c r="L71" s="18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4" t="e">
        <f>VLOOKUP(A72,ПТО!$A$2:$D$31,4,FALSE)</f>
        <v>#N/A</v>
      </c>
      <c r="G72" s="174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8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7" t="s">
        <v>27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89"/>
      <c r="M75" s="109"/>
      <c r="N75" s="109"/>
      <c r="O75" s="70" t="s">
        <v>100</v>
      </c>
    </row>
    <row r="76" spans="1:16384" ht="18.75" customHeight="1" outlineLevel="1">
      <c r="A76" s="187" t="s">
        <v>28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89"/>
      <c r="M76" s="109"/>
      <c r="N76" s="109"/>
      <c r="O76" s="70" t="s">
        <v>101</v>
      </c>
    </row>
    <row r="77" spans="1:16384" ht="21.75" customHeight="1" outlineLevel="1">
      <c r="A77" s="187" t="s">
        <v>29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89"/>
      <c r="M77" s="109"/>
      <c r="N77" s="109"/>
      <c r="O77" s="70" t="s">
        <v>102</v>
      </c>
    </row>
    <row r="78" spans="1:16384" ht="18.75" customHeight="1" outlineLevel="1">
      <c r="A78" s="187" t="s">
        <v>30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8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7" t="s">
        <v>2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104</v>
      </c>
    </row>
    <row r="82" spans="1:15" outlineLevel="1">
      <c r="A82" s="167" t="s">
        <v>3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75"/>
      <c r="M82" s="109"/>
      <c r="N82" s="109"/>
      <c r="O82" s="70" t="s">
        <v>105</v>
      </c>
    </row>
    <row r="83" spans="1:15" outlineLevel="1">
      <c r="A83" s="181" t="s">
        <v>4</v>
      </c>
      <c r="B83" s="182"/>
      <c r="C83" s="182"/>
      <c r="D83" s="182"/>
      <c r="E83" s="182"/>
      <c r="F83" s="182"/>
      <c r="G83" s="182"/>
      <c r="H83" s="182"/>
      <c r="I83" s="183"/>
      <c r="J83" s="97">
        <f t="shared" si="2"/>
        <v>454698.3</v>
      </c>
      <c r="K83" s="109"/>
      <c r="L83" s="175"/>
      <c r="M83" s="109"/>
      <c r="N83" s="109"/>
      <c r="O83" s="70" t="s">
        <v>106</v>
      </c>
    </row>
    <row r="84" spans="1:15" outlineLevel="1">
      <c r="A84" s="181" t="s">
        <v>16</v>
      </c>
      <c r="B84" s="182"/>
      <c r="C84" s="182"/>
      <c r="D84" s="182"/>
      <c r="E84" s="182"/>
      <c r="F84" s="182"/>
      <c r="G84" s="182"/>
      <c r="H84" s="182"/>
      <c r="I84" s="183"/>
      <c r="J84" s="97">
        <f t="shared" si="2"/>
        <v>0</v>
      </c>
      <c r="K84" s="109"/>
      <c r="L84" s="175"/>
      <c r="M84" s="109"/>
      <c r="N84" s="109"/>
      <c r="O84" s="70" t="s">
        <v>107</v>
      </c>
    </row>
    <row r="85" spans="1:15" outlineLevel="1">
      <c r="A85" s="181" t="s">
        <v>17</v>
      </c>
      <c r="B85" s="182"/>
      <c r="C85" s="182"/>
      <c r="D85" s="182"/>
      <c r="E85" s="182"/>
      <c r="F85" s="182"/>
      <c r="G85" s="182"/>
      <c r="H85" s="182"/>
      <c r="I85" s="183"/>
      <c r="J85" s="97">
        <f t="shared" si="2"/>
        <v>0</v>
      </c>
      <c r="K85" s="109"/>
      <c r="L85" s="175"/>
      <c r="M85" s="109"/>
      <c r="N85" s="109"/>
      <c r="O85" s="70" t="s">
        <v>108</v>
      </c>
    </row>
    <row r="86" spans="1:15" outlineLevel="1">
      <c r="A86" s="181" t="s">
        <v>18</v>
      </c>
      <c r="B86" s="182"/>
      <c r="C86" s="182"/>
      <c r="D86" s="182"/>
      <c r="E86" s="182"/>
      <c r="F86" s="182"/>
      <c r="G86" s="182"/>
      <c r="H86" s="182"/>
      <c r="I86" s="183"/>
      <c r="J86" s="97">
        <f t="shared" si="2"/>
        <v>596954.67000000004</v>
      </c>
      <c r="K86" s="109"/>
      <c r="L86" s="175"/>
      <c r="M86" s="109"/>
      <c r="N86" s="109"/>
      <c r="O86" s="70" t="s">
        <v>109</v>
      </c>
    </row>
    <row r="87" spans="1:15" ht="18.75" customHeight="1" outlineLevel="1">
      <c r="A87" s="181" t="s">
        <v>27</v>
      </c>
      <c r="B87" s="182"/>
      <c r="C87" s="182"/>
      <c r="D87" s="182"/>
      <c r="E87" s="182"/>
      <c r="F87" s="182"/>
      <c r="G87" s="182"/>
      <c r="H87" s="182"/>
      <c r="I87" s="183"/>
      <c r="J87" s="8">
        <f t="shared" si="2"/>
        <v>0</v>
      </c>
      <c r="K87" s="109"/>
      <c r="L87" s="175"/>
      <c r="M87" s="109"/>
      <c r="N87" s="109"/>
      <c r="O87" s="70" t="s">
        <v>110</v>
      </c>
    </row>
    <row r="88" spans="1:15" ht="18.75" customHeight="1" outlineLevel="1">
      <c r="A88" s="181" t="s">
        <v>28</v>
      </c>
      <c r="B88" s="182"/>
      <c r="C88" s="182"/>
      <c r="D88" s="182"/>
      <c r="E88" s="182"/>
      <c r="F88" s="182"/>
      <c r="G88" s="182"/>
      <c r="H88" s="182"/>
      <c r="I88" s="183"/>
      <c r="J88" s="8">
        <f t="shared" si="2"/>
        <v>0</v>
      </c>
      <c r="K88" s="109"/>
      <c r="L88" s="175"/>
      <c r="M88" s="109"/>
      <c r="N88" s="109"/>
      <c r="O88" s="70" t="s">
        <v>111</v>
      </c>
    </row>
    <row r="89" spans="1:15" ht="18.75" customHeight="1" outlineLevel="1">
      <c r="A89" s="181" t="s">
        <v>29</v>
      </c>
      <c r="B89" s="182"/>
      <c r="C89" s="182"/>
      <c r="D89" s="182"/>
      <c r="E89" s="182"/>
      <c r="F89" s="182"/>
      <c r="G89" s="182"/>
      <c r="H89" s="182"/>
      <c r="I89" s="183"/>
      <c r="J89" s="8">
        <f t="shared" si="2"/>
        <v>0</v>
      </c>
      <c r="K89" s="109"/>
      <c r="L89" s="175"/>
      <c r="M89" s="109"/>
      <c r="N89" s="109"/>
      <c r="O89" s="70" t="s">
        <v>112</v>
      </c>
    </row>
    <row r="90" spans="1:15" ht="18.75" customHeight="1" outlineLevel="1">
      <c r="A90" s="181" t="s">
        <v>30</v>
      </c>
      <c r="B90" s="182"/>
      <c r="C90" s="182"/>
      <c r="D90" s="182"/>
      <c r="E90" s="182"/>
      <c r="F90" s="182"/>
      <c r="G90" s="182"/>
      <c r="H90" s="182"/>
      <c r="I90" s="183"/>
      <c r="J90" s="97">
        <f t="shared" si="2"/>
        <v>0</v>
      </c>
      <c r="K90" s="109"/>
      <c r="L90" s="175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0" t="s">
        <v>48</v>
      </c>
      <c r="B93" s="190"/>
      <c r="C93" s="190"/>
      <c r="D93" s="191" t="s">
        <v>49</v>
      </c>
      <c r="E93" s="191"/>
      <c r="F93" s="10" t="s">
        <v>50</v>
      </c>
      <c r="G93" s="190" t="s">
        <v>51</v>
      </c>
      <c r="H93" s="190"/>
      <c r="I93" s="190"/>
      <c r="J93" s="190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72" t="str">
        <f>IF(VLOOKUP("эл",АО,3,FALSE)&gt;0,VLOOKUP("эл",АО,3,FALSE),0)</f>
        <v>Предоставляется</v>
      </c>
      <c r="E94" s="172"/>
      <c r="F94" s="13" t="str">
        <f>IF(VLOOKUP("эл",АО,3,FALSE)&gt;0,VLOOKUP("эл",АО,4,FALSE),0)</f>
        <v>кВт*ч</v>
      </c>
      <c r="G94" s="173">
        <f>VLOOKUP("эл",АО,5,FALSE)</f>
        <v>48171.979999999981</v>
      </c>
      <c r="H94" s="172"/>
      <c r="I94" s="172"/>
      <c r="J94" s="172"/>
      <c r="K94" s="1" t="str">
        <f>VLOOKUP("эл",АО,2,FALSE)</f>
        <v>Электроснабжение</v>
      </c>
      <c r="L94" s="176"/>
    </row>
    <row r="95" spans="1:15" outlineLevel="2">
      <c r="A95" s="188" t="str">
        <f>IF(VLOOKUP("эл",АО,3,FALSE)&gt;0,VLOOKUP("эл1",АО,2,FALSE),0)</f>
        <v>Общий объем потребления, нат. показ.</v>
      </c>
      <c r="B95" s="188"/>
      <c r="C95" s="188"/>
      <c r="D95" s="188"/>
      <c r="E95" s="188"/>
      <c r="F95" s="188"/>
      <c r="G95" s="188"/>
      <c r="H95" s="188"/>
      <c r="I95" s="188"/>
      <c r="J95" s="18">
        <f t="shared" ref="J95:J101" si="3">VLOOKUP(O95,АО,3,FALSE)</f>
        <v>42256.122807017528</v>
      </c>
      <c r="L95" s="176"/>
      <c r="O95" s="1" t="s">
        <v>114</v>
      </c>
    </row>
    <row r="96" spans="1:15" outlineLevel="2">
      <c r="A96" s="188" t="str">
        <f>IF(VLOOKUP("эл",АО,3,FALSE)&gt;0,VLOOKUP("эл2",АО,2,FALSE),0)</f>
        <v>Оплачено потребителями, руб.</v>
      </c>
      <c r="B96" s="188"/>
      <c r="C96" s="188"/>
      <c r="D96" s="188"/>
      <c r="E96" s="188"/>
      <c r="F96" s="188"/>
      <c r="G96" s="188"/>
      <c r="H96" s="188"/>
      <c r="I96" s="188"/>
      <c r="J96" s="18">
        <f t="shared" si="3"/>
        <v>44879.38</v>
      </c>
      <c r="L96" s="176"/>
      <c r="O96" s="1" t="s">
        <v>115</v>
      </c>
    </row>
    <row r="97" spans="1:15" outlineLevel="2">
      <c r="A97" s="188" t="str">
        <f>IF(VLOOKUP("эл",АО,3,FALSE)&gt;0,VLOOKUP("эл3",АО,2,FALSE),0)</f>
        <v>Задолженность потребителей, руб.</v>
      </c>
      <c r="B97" s="188"/>
      <c r="C97" s="188"/>
      <c r="D97" s="188"/>
      <c r="E97" s="188"/>
      <c r="F97" s="188"/>
      <c r="G97" s="188"/>
      <c r="H97" s="188"/>
      <c r="I97" s="188"/>
      <c r="J97" s="18">
        <f t="shared" si="3"/>
        <v>3292.599999999984</v>
      </c>
      <c r="L97" s="176"/>
      <c r="O97" s="1" t="s">
        <v>116</v>
      </c>
    </row>
    <row r="98" spans="1:15" ht="37.5" customHeight="1" outlineLevel="2">
      <c r="A98" s="188" t="str">
        <f>IF(VLOOKUP("эл",АО,3,FALSE)&gt;0,VLOOKUP("эл4",АО,2,FALSE),0)</f>
        <v>Начислено поставщиком (поставщиками) коммунального ресурса, руб.</v>
      </c>
      <c r="B98" s="188"/>
      <c r="C98" s="188"/>
      <c r="D98" s="188"/>
      <c r="E98" s="188"/>
      <c r="F98" s="188"/>
      <c r="G98" s="188"/>
      <c r="H98" s="188"/>
      <c r="I98" s="188"/>
      <c r="J98" s="18">
        <f t="shared" si="3"/>
        <v>48171.979999999981</v>
      </c>
      <c r="L98" s="176"/>
      <c r="O98" s="1" t="s">
        <v>117</v>
      </c>
    </row>
    <row r="99" spans="1:15" outlineLevel="2">
      <c r="A99" s="188" t="str">
        <f>IF(VLOOKUP("эл",АО,3,FALSE)&gt;0,VLOOKUP("эл5",АО,2,FALSE),0)</f>
        <v>Оплачено поставщику (поставщикам) коммунального ресурса, руб.</v>
      </c>
      <c r="B99" s="188"/>
      <c r="C99" s="188"/>
      <c r="D99" s="188"/>
      <c r="E99" s="188"/>
      <c r="F99" s="188"/>
      <c r="G99" s="188"/>
      <c r="H99" s="188"/>
      <c r="I99" s="188"/>
      <c r="J99" s="18">
        <f t="shared" si="3"/>
        <v>48171.979999999981</v>
      </c>
      <c r="L99" s="176"/>
      <c r="O99" s="1" t="s">
        <v>118</v>
      </c>
    </row>
    <row r="100" spans="1:15" ht="39" customHeight="1" outlineLevel="2">
      <c r="A100" s="18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8"/>
      <c r="C100" s="188"/>
      <c r="D100" s="188"/>
      <c r="E100" s="188"/>
      <c r="F100" s="188"/>
      <c r="G100" s="188"/>
      <c r="H100" s="188"/>
      <c r="I100" s="188"/>
      <c r="J100" s="18">
        <f t="shared" si="3"/>
        <v>0</v>
      </c>
      <c r="L100" s="176"/>
      <c r="O100" s="1" t="s">
        <v>119</v>
      </c>
    </row>
    <row r="101" spans="1:15" ht="34.5" customHeight="1" outlineLevel="2">
      <c r="A101" s="18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8"/>
      <c r="C101" s="188"/>
      <c r="D101" s="188"/>
      <c r="E101" s="188"/>
      <c r="F101" s="188"/>
      <c r="G101" s="188"/>
      <c r="H101" s="188"/>
      <c r="I101" s="188"/>
      <c r="J101" s="18">
        <f t="shared" si="3"/>
        <v>0</v>
      </c>
      <c r="L101" s="176"/>
      <c r="O101" s="1" t="s">
        <v>120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72" t="str">
        <f>IF(VLOOKUP("хвс",АО,3,FALSE)&gt;0,VLOOKUP("хвс",АО,3,FALSE),0)</f>
        <v>Предоставляется</v>
      </c>
      <c r="E102" s="172"/>
      <c r="F102" s="13" t="str">
        <f>IF(VLOOKUP("хвс",АО,3,FALSE)&gt;0,VLOOKUP("хвс",АО,4,FALSE),0)</f>
        <v>куб.м.</v>
      </c>
      <c r="G102" s="173">
        <f>VLOOKUP("хвс",АО,5,FALSE)</f>
        <v>133154.97</v>
      </c>
      <c r="H102" s="172"/>
      <c r="I102" s="172"/>
      <c r="J102" s="172"/>
      <c r="L102" s="176"/>
    </row>
    <row r="103" spans="1:15" outlineLevel="2">
      <c r="A103" s="188" t="str">
        <f t="shared" ref="A103:A109" si="4">IF(VLOOKUP("хвс",АО,3,FALSE)&gt;0,VLOOKUP(O103,АО,2,FALSE),0)</f>
        <v>Общий объем потребления, нат. показ.</v>
      </c>
      <c r="B103" s="188"/>
      <c r="C103" s="188"/>
      <c r="D103" s="188"/>
      <c r="E103" s="188"/>
      <c r="F103" s="188"/>
      <c r="G103" s="188"/>
      <c r="H103" s="188"/>
      <c r="I103" s="188"/>
      <c r="J103" s="18">
        <f t="shared" ref="J103:J109" si="5">VLOOKUP(O103,АО,3,FALSE)</f>
        <v>9841.4611973392475</v>
      </c>
      <c r="L103" s="176"/>
      <c r="O103" s="1" t="s">
        <v>123</v>
      </c>
    </row>
    <row r="104" spans="1:15" ht="18.75" customHeight="1" outlineLevel="2">
      <c r="A104" s="188" t="str">
        <f t="shared" si="4"/>
        <v>Оплачено потребителями, руб.</v>
      </c>
      <c r="B104" s="188"/>
      <c r="C104" s="188"/>
      <c r="D104" s="188"/>
      <c r="E104" s="188"/>
      <c r="F104" s="188"/>
      <c r="G104" s="188"/>
      <c r="H104" s="188"/>
      <c r="I104" s="188"/>
      <c r="J104" s="18">
        <f t="shared" si="5"/>
        <v>125843.66999999997</v>
      </c>
      <c r="L104" s="176"/>
      <c r="O104" s="1" t="s">
        <v>124</v>
      </c>
    </row>
    <row r="105" spans="1:15" ht="18.75" customHeight="1" outlineLevel="2">
      <c r="A105" s="188" t="str">
        <f t="shared" si="4"/>
        <v>Задолженность потребителей, руб.</v>
      </c>
      <c r="B105" s="188"/>
      <c r="C105" s="188"/>
      <c r="D105" s="188"/>
      <c r="E105" s="188"/>
      <c r="F105" s="188"/>
      <c r="G105" s="188"/>
      <c r="H105" s="188"/>
      <c r="I105" s="188"/>
      <c r="J105" s="18">
        <f t="shared" si="5"/>
        <v>7311.300000000032</v>
      </c>
      <c r="L105" s="176"/>
      <c r="O105" s="1" t="s">
        <v>125</v>
      </c>
    </row>
    <row r="106" spans="1:15" ht="36.75" customHeight="1" outlineLevel="2">
      <c r="A106" s="188" t="str">
        <f t="shared" si="4"/>
        <v>Начислено поставщиком (поставщиками) коммунального ресурса, руб.</v>
      </c>
      <c r="B106" s="188"/>
      <c r="C106" s="188"/>
      <c r="D106" s="188"/>
      <c r="E106" s="188"/>
      <c r="F106" s="188"/>
      <c r="G106" s="188"/>
      <c r="H106" s="188"/>
      <c r="I106" s="188"/>
      <c r="J106" s="18">
        <f t="shared" si="5"/>
        <v>133154.97</v>
      </c>
      <c r="L106" s="176"/>
      <c r="O106" s="1" t="s">
        <v>126</v>
      </c>
    </row>
    <row r="107" spans="1:15" ht="18.75" customHeight="1" outlineLevel="2">
      <c r="A107" s="188" t="str">
        <f t="shared" si="4"/>
        <v>Оплачено поставщику (поставщикам) коммунального ресурса, руб.</v>
      </c>
      <c r="B107" s="188"/>
      <c r="C107" s="188"/>
      <c r="D107" s="188"/>
      <c r="E107" s="188"/>
      <c r="F107" s="188"/>
      <c r="G107" s="188"/>
      <c r="H107" s="188"/>
      <c r="I107" s="188"/>
      <c r="J107" s="18">
        <f t="shared" si="5"/>
        <v>133154.97</v>
      </c>
      <c r="L107" s="176"/>
      <c r="O107" s="1" t="s">
        <v>127</v>
      </c>
    </row>
    <row r="108" spans="1:15" ht="37.5" customHeight="1" outlineLevel="2">
      <c r="A108" s="188" t="str">
        <f t="shared" si="4"/>
        <v>Задолженность перед поставщиком (поставщиками) коммунального ресурса, руб.</v>
      </c>
      <c r="B108" s="188"/>
      <c r="C108" s="188"/>
      <c r="D108" s="188"/>
      <c r="E108" s="188"/>
      <c r="F108" s="188"/>
      <c r="G108" s="188"/>
      <c r="H108" s="188"/>
      <c r="I108" s="188"/>
      <c r="J108" s="18">
        <f t="shared" si="5"/>
        <v>0</v>
      </c>
      <c r="L108" s="176"/>
      <c r="O108" s="1" t="s">
        <v>128</v>
      </c>
    </row>
    <row r="109" spans="1:15" ht="39.75" customHeight="1" outlineLevel="2">
      <c r="A109" s="188" t="str">
        <f t="shared" si="4"/>
        <v>Размер пени и штрафов, уплаченных поставщику (поставщикам) коммунального ресурса, руб.</v>
      </c>
      <c r="B109" s="188"/>
      <c r="C109" s="188"/>
      <c r="D109" s="188"/>
      <c r="E109" s="188"/>
      <c r="F109" s="188"/>
      <c r="G109" s="188"/>
      <c r="H109" s="188"/>
      <c r="I109" s="188"/>
      <c r="J109" s="18">
        <f t="shared" si="5"/>
        <v>0</v>
      </c>
      <c r="L109" s="176"/>
      <c r="O109" s="1" t="s">
        <v>129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72" t="str">
        <f>IF(VLOOKUP("воо",АО,3,FALSE)&gt;0,VLOOKUP("воо",АО,3,FALSE),0)</f>
        <v>Предоставляется</v>
      </c>
      <c r="E110" s="172"/>
      <c r="F110" s="13" t="str">
        <f>IF(VLOOKUP("воо",АО,3,FALSE)&gt;0,VLOOKUP("воо",АО,4,FALSE),0)</f>
        <v>куб.м.</v>
      </c>
      <c r="G110" s="173">
        <f>VLOOKUP("воо",АО,5,FALSE)</f>
        <v>154808.84999999989</v>
      </c>
      <c r="H110" s="172"/>
      <c r="I110" s="172"/>
      <c r="J110" s="172"/>
      <c r="L110" s="176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10032.977965003234</v>
      </c>
      <c r="L111" s="176"/>
      <c r="O111" s="1" t="s">
        <v>131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143094.61000000002</v>
      </c>
      <c r="L112" s="176"/>
      <c r="O112" s="1" t="s">
        <v>132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11714.239999999874</v>
      </c>
      <c r="L113" s="176"/>
      <c r="O113" s="1" t="s">
        <v>133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154808.84999999989</v>
      </c>
      <c r="L114" s="176"/>
      <c r="O114" s="1" t="s">
        <v>134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154808.84999999989</v>
      </c>
      <c r="L115" s="176"/>
      <c r="O115" s="1" t="s">
        <v>135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76"/>
      <c r="O116" s="1" t="s">
        <v>136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76"/>
      <c r="O117" s="1" t="s">
        <v>137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72" t="str">
        <f>IF(VLOOKUP("тко",АО,3,FALSE)&gt;0,VLOOKUP("тко",АО,3,FALSE),0)</f>
        <v>Предоставляется</v>
      </c>
      <c r="E118" s="172"/>
      <c r="F118" s="13" t="str">
        <f>IF(VLOOKUP("тко",АО,3,FALSE)&gt;0,VLOOKUP("тко",АО,4,FALSE),0)</f>
        <v>куб.м.</v>
      </c>
      <c r="G118" s="173">
        <f>VLOOKUP("тко",АО,5,FALSE)</f>
        <v>176562.86</v>
      </c>
      <c r="H118" s="172"/>
      <c r="I118" s="172"/>
      <c r="J118" s="172"/>
      <c r="L118" s="47"/>
    </row>
    <row r="119" spans="1:15" ht="32.25" customHeight="1" outlineLevel="2">
      <c r="A119" s="167" t="str">
        <f t="shared" ref="A119:A125" si="8">IF(VLOOKUP("тко",АО,3,FALSE)&gt;0,VLOOKUP(O119,АО,2,FALSE),0)</f>
        <v>Общий объем потребления, нат. показ.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311.44777830696228</v>
      </c>
      <c r="L119" s="47"/>
      <c r="O119" s="1" t="s">
        <v>139</v>
      </c>
    </row>
    <row r="120" spans="1:15" ht="32.25" customHeight="1" outlineLevel="2">
      <c r="A120" s="167" t="str">
        <f t="shared" si="8"/>
        <v>Оплачено потребителями, руб.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164677.36000000004</v>
      </c>
      <c r="L120" s="47"/>
      <c r="O120" s="1" t="s">
        <v>140</v>
      </c>
    </row>
    <row r="121" spans="1:15" ht="32.25" customHeight="1" outlineLevel="2">
      <c r="A121" s="167" t="str">
        <f t="shared" si="8"/>
        <v>Задолженность потребителей, руб.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11885.499999999942</v>
      </c>
      <c r="L121" s="47"/>
      <c r="O121" s="1" t="s">
        <v>141</v>
      </c>
    </row>
    <row r="122" spans="1:15" ht="32.25" customHeight="1" outlineLevel="2">
      <c r="A122" s="167" t="str">
        <f t="shared" si="8"/>
        <v>Начислено поставщиком (поставщиками) коммунального ресурса, руб.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176562.86</v>
      </c>
      <c r="L122" s="47"/>
      <c r="O122" s="1" t="s">
        <v>142</v>
      </c>
    </row>
    <row r="123" spans="1:15" ht="32.25" customHeight="1" outlineLevel="2">
      <c r="A123" s="167" t="str">
        <f t="shared" si="8"/>
        <v>Оплачено поставщику (поставщикам) коммунального ресурса, руб.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176562.86</v>
      </c>
      <c r="L123" s="47"/>
      <c r="O123" s="1" t="s">
        <v>143</v>
      </c>
    </row>
    <row r="124" spans="1:15" ht="32.25" customHeight="1" outlineLevel="2">
      <c r="A124" s="167" t="str">
        <f t="shared" si="8"/>
        <v>Задолженность перед поставщиком (поставщиками) коммунального ресурса, руб.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7" t="str">
        <f t="shared" si="8"/>
        <v>Размер пени и штрафов, уплаченных поставщику (поставщикам) коммунального ресурса, руб.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71" t="str">
        <f>IF(VLOOKUP("гвс",АО,3,FALSE)&gt;0,"Горячее водоснабжение",0)</f>
        <v>Горячее водоснабжение</v>
      </c>
      <c r="B126" s="171"/>
      <c r="C126" s="171"/>
      <c r="D126" s="172" t="str">
        <f>IF(VLOOKUP("гвс",АО,3,FALSE)&gt;0,VLOOKUP("гвс",АО,3,FALSE),0)</f>
        <v>Предоставляется</v>
      </c>
      <c r="E126" s="172"/>
      <c r="F126" s="13" t="str">
        <f>IF(VLOOKUP("гвс",АО,3,FALSE)&gt;0,VLOOKUP("гвс",АО,4,FALSE),0)</f>
        <v>куб.м.</v>
      </c>
      <c r="G126" s="173">
        <f>VLOOKUP("гвс",АО,5,FALSE)</f>
        <v>298604.58</v>
      </c>
      <c r="H126" s="172"/>
      <c r="I126" s="172"/>
      <c r="J126" s="172"/>
      <c r="L126" s="47"/>
    </row>
    <row r="127" spans="1:15" ht="32.25" customHeight="1" outlineLevel="2">
      <c r="A127" s="167" t="str">
        <f t="shared" ref="A127:A133" si="10">IF(VLOOKUP("гвс",АО,3,FALSE)&gt;0,VLOOKUP(O127,АО,2,FALSE),0)</f>
        <v>Общий объем потребления, нат. показ.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3748.7306799272114</v>
      </c>
      <c r="L127" s="47"/>
      <c r="O127" s="1" t="s">
        <v>147</v>
      </c>
    </row>
    <row r="128" spans="1:15" ht="32.25" customHeight="1" outlineLevel="2">
      <c r="A128" s="167" t="str">
        <f t="shared" si="10"/>
        <v>Оплачено потребителями, руб.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278453.05999999994</v>
      </c>
      <c r="L128" s="47"/>
      <c r="O128" s="1" t="s">
        <v>148</v>
      </c>
    </row>
    <row r="129" spans="1:15" ht="32.25" customHeight="1" outlineLevel="2">
      <c r="A129" s="167" t="str">
        <f t="shared" si="10"/>
        <v>Задолженность потребителей, руб.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20151.520000000077</v>
      </c>
      <c r="L129" s="47"/>
      <c r="O129" s="1" t="s">
        <v>149</v>
      </c>
    </row>
    <row r="130" spans="1:15" ht="32.25" customHeight="1" outlineLevel="2">
      <c r="A130" s="167" t="str">
        <f t="shared" si="10"/>
        <v>Начислено поставщиком (поставщиками) коммунального ресурса, руб.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298604.58</v>
      </c>
      <c r="L130" s="47"/>
      <c r="O130" s="1" t="s">
        <v>150</v>
      </c>
    </row>
    <row r="131" spans="1:15" ht="32.25" customHeight="1" outlineLevel="2">
      <c r="A131" s="167" t="str">
        <f t="shared" si="10"/>
        <v>Оплачено поставщику (поставщикам) коммунального ресурса, руб.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298604.58</v>
      </c>
      <c r="L131" s="47"/>
      <c r="O131" s="1" t="s">
        <v>151</v>
      </c>
    </row>
    <row r="132" spans="1:15" ht="32.25" customHeight="1" outlineLevel="2">
      <c r="A132" s="167" t="str">
        <f t="shared" si="10"/>
        <v>Задолженность перед поставщиком (поставщиками) коммунального ресурса, руб.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7" t="str">
        <f t="shared" si="10"/>
        <v>Размер пени и штрафов, уплаченных поставщику (поставщикам) коммунального ресурса, руб.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71" t="str">
        <f>IF(VLOOKUP("отопление",АО,3,FALSE)&gt;0,"Отопление",0)</f>
        <v>Отопление</v>
      </c>
      <c r="B134" s="171"/>
      <c r="C134" s="171"/>
      <c r="D134" s="172" t="str">
        <f>IF(VLOOKUP("отопление",АО,3,FALSE)&gt;0,VLOOKUP("отопление",АО,3,FALSE),0)</f>
        <v>Предоставляется</v>
      </c>
      <c r="E134" s="172"/>
      <c r="F134" s="13" t="str">
        <f>IF(VLOOKUP("отопление",АО,3,FALSE)&gt;0,VLOOKUP("отопление",АО,4,FALSE),0)</f>
        <v>Гкал</v>
      </c>
      <c r="G134" s="173">
        <f>VLOOKUP("отопление",АО,5,FALSE)</f>
        <v>663712.68999999994</v>
      </c>
      <c r="H134" s="172"/>
      <c r="I134" s="172"/>
      <c r="J134" s="172"/>
      <c r="L134" s="47"/>
    </row>
    <row r="135" spans="1:15" ht="32.25" customHeight="1" outlineLevel="2">
      <c r="A135" s="167" t="str">
        <f t="shared" ref="A135:A141" si="12">IF(VLOOKUP("отопление",АО,3,FALSE)&gt;0,VLOOKUP(O135,АО,2,FALSE),0)</f>
        <v>Общий объем потребления, нат. показ.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464.19</v>
      </c>
      <c r="L135" s="47"/>
      <c r="O135" s="1" t="s">
        <v>155</v>
      </c>
    </row>
    <row r="136" spans="1:15" ht="32.25" customHeight="1" outlineLevel="2">
      <c r="A136" s="167" t="str">
        <f t="shared" si="12"/>
        <v>Оплачено потребителями, руб.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575811.47999999975</v>
      </c>
      <c r="L136" s="47"/>
      <c r="O136" s="1" t="s">
        <v>156</v>
      </c>
    </row>
    <row r="137" spans="1:15" ht="32.25" customHeight="1" outlineLevel="2">
      <c r="A137" s="167" t="str">
        <f t="shared" si="12"/>
        <v>Задолженность потребителей, руб.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87901.210000000196</v>
      </c>
      <c r="L137" s="47"/>
      <c r="O137" s="1" t="s">
        <v>157</v>
      </c>
    </row>
    <row r="138" spans="1:15" ht="32.25" customHeight="1" outlineLevel="2">
      <c r="A138" s="167" t="str">
        <f t="shared" si="12"/>
        <v>Начислено поставщиком (поставщиками) коммунального ресурса, руб.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663712.68999999994</v>
      </c>
      <c r="L138" s="47"/>
      <c r="O138" s="1" t="s">
        <v>158</v>
      </c>
    </row>
    <row r="139" spans="1:15" ht="32.25" customHeight="1" outlineLevel="2">
      <c r="A139" s="167" t="str">
        <f t="shared" si="12"/>
        <v>Оплачено поставщику (поставщикам) коммунального ресурса, руб.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663712.68999999994</v>
      </c>
      <c r="L139" s="47"/>
      <c r="O139" s="1" t="s">
        <v>159</v>
      </c>
    </row>
    <row r="140" spans="1:15" ht="32.25" customHeight="1" outlineLevel="2">
      <c r="A140" s="167" t="str">
        <f t="shared" si="12"/>
        <v>Задолженность перед поставщиком (поставщиками) коммунального ресурса, руб.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67" t="str">
        <f t="shared" si="12"/>
        <v>Размер пени и штрафов, уплаченных поставщику (поставщикам) коммунального ресурса, руб.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7" t="s">
        <v>45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1</v>
      </c>
      <c r="O144" t="s">
        <v>171</v>
      </c>
    </row>
    <row r="145" spans="1:15" ht="18.75" customHeight="1" outlineLevel="1">
      <c r="A145" s="167" t="s">
        <v>46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12</v>
      </c>
      <c r="L145" s="15"/>
      <c r="O145" t="s">
        <v>172</v>
      </c>
    </row>
    <row r="146" spans="1:15" ht="30" customHeight="1" outlineLevel="1">
      <c r="A146" s="167" t="s">
        <v>174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327450.67</v>
      </c>
      <c r="O146" t="s">
        <v>173</v>
      </c>
    </row>
    <row r="149" spans="1:15" ht="52.5" customHeight="1">
      <c r="A149" s="192" t="s">
        <v>186</v>
      </c>
      <c r="B149" s="192"/>
      <c r="C149" s="192"/>
      <c r="D149" s="192"/>
      <c r="E149" s="192"/>
      <c r="F149" s="192"/>
      <c r="G149" s="192"/>
      <c r="H149" s="192"/>
      <c r="I149" s="192"/>
      <c r="J149" s="19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94" t="s">
        <v>187</v>
      </c>
      <c r="B154" s="194"/>
      <c r="C154" s="194"/>
      <c r="D154" s="194"/>
      <c r="E154" s="27">
        <f>ПТО!G1</f>
        <v>-243527.43</v>
      </c>
    </row>
    <row r="155" spans="1:15" ht="34.5" customHeight="1">
      <c r="A155" s="193" t="s">
        <v>191</v>
      </c>
      <c r="B155" s="193"/>
      <c r="C155" s="193"/>
      <c r="D155" s="193"/>
      <c r="E155" s="28">
        <f>J13</f>
        <v>221028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19</v>
      </c>
      <c r="B157" s="177"/>
      <c r="C157" s="177"/>
      <c r="D157" s="177"/>
      <c r="E157" s="177"/>
      <c r="F157" s="177" t="s">
        <v>20</v>
      </c>
      <c r="G157" s="177"/>
      <c r="H157" s="20" t="s">
        <v>57</v>
      </c>
      <c r="I157" s="177" t="s">
        <v>21</v>
      </c>
      <c r="J157" s="177"/>
    </row>
    <row r="158" spans="1:15" ht="29.25" customHeight="1">
      <c r="A158" s="169" t="str">
        <f t="shared" ref="A158:A163" si="14">IF(N158&gt;0,N158,0)</f>
        <v>Техническое освидетельствование лифта.</v>
      </c>
      <c r="B158" s="169"/>
      <c r="C158" s="169"/>
      <c r="D158" s="169"/>
      <c r="E158" s="169"/>
      <c r="F158" s="174">
        <f t="shared" ref="F158:F163" si="15">IF(ISERROR(VLOOKUP(A158,$A$28:$J$72,6,FALSE)),0,VLOOKUP(A158,$A$28:$J$72,6,FALSE))</f>
        <v>8100</v>
      </c>
      <c r="G158" s="174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1</v>
      </c>
      <c r="J158" s="17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9" t="str">
        <f t="shared" si="14"/>
        <v>Техническое обслуживание охранной сигнализации.</v>
      </c>
      <c r="B159" s="169"/>
      <c r="C159" s="169"/>
      <c r="D159" s="169"/>
      <c r="E159" s="169"/>
      <c r="F159" s="174">
        <f t="shared" si="15"/>
        <v>3999.96</v>
      </c>
      <c r="G159" s="174"/>
      <c r="H159" s="24" t="str">
        <f t="shared" si="16"/>
        <v>ежемесячно</v>
      </c>
      <c r="I159" s="170">
        <f t="shared" si="17"/>
        <v>12</v>
      </c>
      <c r="J159" s="170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9" t="str">
        <f t="shared" si="14"/>
        <v>Приобретение искусственной ели, проведение новогоднего праздника.</v>
      </c>
      <c r="B160" s="169"/>
      <c r="C160" s="169"/>
      <c r="D160" s="169"/>
      <c r="E160" s="169"/>
      <c r="F160" s="174">
        <f t="shared" si="15"/>
        <v>4000</v>
      </c>
      <c r="G160" s="174"/>
      <c r="H160" s="24" t="str">
        <f t="shared" si="16"/>
        <v>разово</v>
      </c>
      <c r="I160" s="170">
        <f t="shared" si="17"/>
        <v>1</v>
      </c>
      <c r="J160" s="170"/>
      <c r="M160" s="22" t="s">
        <v>72</v>
      </c>
      <c r="N160" s="1" t="str">
        <v>Приобретение искусственной ели, проведение новогоднего праздника.</v>
      </c>
    </row>
    <row r="161" spans="1:14" ht="28.5" customHeight="1">
      <c r="A161" s="169" t="str">
        <f>IF(N161&gt;0,N161,0)</f>
        <v>Изготовление и монтаж тамбурных дверей.</v>
      </c>
      <c r="B161" s="169"/>
      <c r="C161" s="169"/>
      <c r="D161" s="169"/>
      <c r="E161" s="169"/>
      <c r="F161" s="174">
        <f t="shared" si="15"/>
        <v>72370.69</v>
      </c>
      <c r="G161" s="174"/>
      <c r="H161" s="24" t="str">
        <f t="shared" si="16"/>
        <v>разово</v>
      </c>
      <c r="I161" s="170">
        <f t="shared" si="17"/>
        <v>1</v>
      </c>
      <c r="J161" s="170"/>
      <c r="M161" s="22" t="s">
        <v>72</v>
      </c>
      <c r="N161" s="1" t="str">
        <v>Изготовление и монтаж тамбурных дверей.</v>
      </c>
    </row>
    <row r="162" spans="1:14" ht="28.5" customHeight="1">
      <c r="A162" s="169" t="str">
        <f t="shared" si="14"/>
        <v>Приобретение и установка дополнительного видеонаблюдения.</v>
      </c>
      <c r="B162" s="169"/>
      <c r="C162" s="169"/>
      <c r="D162" s="169"/>
      <c r="E162" s="169"/>
      <c r="F162" s="174">
        <f t="shared" si="15"/>
        <v>53992</v>
      </c>
      <c r="G162" s="174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72</v>
      </c>
      <c r="N162" s="1" t="str">
        <v>Приобретение и установка дополнительного видеонаблюдения.</v>
      </c>
    </row>
    <row r="163" spans="1:14" ht="28.5" customHeight="1">
      <c r="A163" s="169" t="str">
        <f t="shared" si="14"/>
        <v>Приобретение и установка таблички по пожарной безопасности.</v>
      </c>
      <c r="B163" s="169"/>
      <c r="C163" s="169"/>
      <c r="D163" s="169"/>
      <c r="E163" s="169"/>
      <c r="F163" s="174">
        <f t="shared" si="15"/>
        <v>250</v>
      </c>
      <c r="G163" s="174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69" t="str">
        <f t="shared" ref="A164:A187" si="18">IF(N164&gt;0,N164,0)</f>
        <v>Изготовление и монтаж козырька над подъездом.</v>
      </c>
      <c r="B164" s="169"/>
      <c r="C164" s="169"/>
      <c r="D164" s="169"/>
      <c r="E164" s="169"/>
      <c r="F164" s="174">
        <f t="shared" ref="F164:F187" si="19">IF(ISERROR(VLOOKUP(A164,$A$28:$J$72,6,FALSE)),0,VLOOKUP(A164,$A$28:$J$72,6,FALSE))</f>
        <v>42645</v>
      </c>
      <c r="G164" s="174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72</v>
      </c>
      <c r="N164" s="1" t="str">
        <v>Изготовление и монтаж козырька над подъездом.</v>
      </c>
    </row>
    <row r="165" spans="1:14" ht="28.5" customHeight="1">
      <c r="A165" s="169" t="str">
        <f t="shared" si="18"/>
        <v>Благоустройство придомовой территории (приобретение чернозема).</v>
      </c>
      <c r="B165" s="169"/>
      <c r="C165" s="169"/>
      <c r="D165" s="169"/>
      <c r="E165" s="169"/>
      <c r="F165" s="174">
        <f t="shared" si="19"/>
        <v>4500</v>
      </c>
      <c r="G165" s="174"/>
      <c r="H165" s="29" t="str">
        <f t="shared" si="16"/>
        <v>разово</v>
      </c>
      <c r="I165" s="170">
        <f t="shared" si="20"/>
        <v>1</v>
      </c>
      <c r="J165" s="170"/>
      <c r="M165" s="22" t="s">
        <v>72</v>
      </c>
      <c r="N165" s="1" t="str">
        <v>Благоустройство придомовой территории (приобретение чернозема).</v>
      </c>
    </row>
    <row r="166" spans="1:14" ht="28.5" customHeight="1">
      <c r="A166" s="169" t="str">
        <f t="shared" si="18"/>
        <v>Приобретение сгона и штуцера для летнего водопровода.</v>
      </c>
      <c r="B166" s="169"/>
      <c r="C166" s="169"/>
      <c r="D166" s="169"/>
      <c r="E166" s="169"/>
      <c r="F166" s="174">
        <f t="shared" si="19"/>
        <v>245</v>
      </c>
      <c r="G166" s="174"/>
      <c r="H166" s="29" t="str">
        <f t="shared" si="16"/>
        <v>разово</v>
      </c>
      <c r="I166" s="170">
        <f t="shared" si="20"/>
        <v>1</v>
      </c>
      <c r="J166" s="170"/>
      <c r="M166" s="22" t="s">
        <v>72</v>
      </c>
      <c r="N166" s="1" t="str">
        <v>Приобретение сгона и штуцера для летнего водопровода.</v>
      </c>
    </row>
    <row r="167" spans="1:14" ht="28.5" customHeight="1">
      <c r="A167" s="169" t="str">
        <f t="shared" si="18"/>
        <v>Замена прибора учета электрической энергии.</v>
      </c>
      <c r="B167" s="169"/>
      <c r="C167" s="169"/>
      <c r="D167" s="169"/>
      <c r="E167" s="169"/>
      <c r="F167" s="174">
        <f t="shared" si="19"/>
        <v>18705</v>
      </c>
      <c r="G167" s="174"/>
      <c r="H167" s="29" t="str">
        <f t="shared" si="16"/>
        <v>разово</v>
      </c>
      <c r="I167" s="170">
        <f t="shared" si="20"/>
        <v>1</v>
      </c>
      <c r="J167" s="170"/>
      <c r="M167" s="22" t="s">
        <v>72</v>
      </c>
      <c r="N167" s="1" t="str">
        <v>Замена прибора учета электрической энергии.</v>
      </c>
    </row>
    <row r="168" spans="1:14" ht="28.5" customHeight="1">
      <c r="A168" s="169" t="str">
        <f t="shared" si="18"/>
        <v>Приобретение краски и малярного инструмента для ремонта подъезда (1 этаж).</v>
      </c>
      <c r="B168" s="169"/>
      <c r="C168" s="169"/>
      <c r="D168" s="169"/>
      <c r="E168" s="169"/>
      <c r="F168" s="174">
        <f t="shared" si="19"/>
        <v>13990</v>
      </c>
      <c r="G168" s="174"/>
      <c r="H168" s="29" t="str">
        <f t="shared" si="16"/>
        <v>разово</v>
      </c>
      <c r="I168" s="170">
        <f t="shared" si="20"/>
        <v>1</v>
      </c>
      <c r="J168" s="170"/>
      <c r="M168" s="22" t="s">
        <v>72</v>
      </c>
      <c r="N168" s="1" t="str">
        <v>Приобретение краски и малярного инструмента для ремонта подъезда (1 этаж).</v>
      </c>
    </row>
    <row r="169" spans="1:14" ht="28.5" customHeight="1">
      <c r="A169" s="169" t="str">
        <f t="shared" si="18"/>
        <v>Приобретение малярного инструмента для ремонта подъезда (1 этаж).</v>
      </c>
      <c r="B169" s="169"/>
      <c r="C169" s="169"/>
      <c r="D169" s="169"/>
      <c r="E169" s="169"/>
      <c r="F169" s="174">
        <f t="shared" si="19"/>
        <v>2950</v>
      </c>
      <c r="G169" s="174"/>
      <c r="H169" s="29" t="str">
        <f t="shared" si="16"/>
        <v>разово</v>
      </c>
      <c r="I169" s="170">
        <f t="shared" si="20"/>
        <v>1</v>
      </c>
      <c r="J169" s="170"/>
      <c r="M169" s="22" t="s">
        <v>72</v>
      </c>
      <c r="N169" s="1" t="str">
        <v>Приобретение малярного инструмента для ремонта подъезда (1 этаж).</v>
      </c>
    </row>
    <row r="170" spans="1:14" ht="28.5" customHeight="1">
      <c r="A170" s="169" t="str">
        <f t="shared" si="18"/>
        <v>Аварийный ремонт теплообменника отопления в ИТП.</v>
      </c>
      <c r="B170" s="169"/>
      <c r="C170" s="169"/>
      <c r="D170" s="169"/>
      <c r="E170" s="169"/>
      <c r="F170" s="174">
        <f t="shared" si="19"/>
        <v>37299.33</v>
      </c>
      <c r="G170" s="174"/>
      <c r="H170" s="29" t="str">
        <f t="shared" si="16"/>
        <v>разово</v>
      </c>
      <c r="I170" s="170">
        <f t="shared" si="20"/>
        <v>1</v>
      </c>
      <c r="J170" s="170"/>
      <c r="M170" s="22" t="s">
        <v>72</v>
      </c>
      <c r="N170" s="1" t="str">
        <v>Аварийный ремонт теплообменника отопления в ИТП.</v>
      </c>
    </row>
    <row r="171" spans="1:14" ht="28.5" customHeight="1">
      <c r="A171" s="169" t="str">
        <f t="shared" si="18"/>
        <v xml:space="preserve">Благоустройство придомовой территории (приобретение семян цветов). </v>
      </c>
      <c r="B171" s="169"/>
      <c r="C171" s="169"/>
      <c r="D171" s="169"/>
      <c r="E171" s="169"/>
      <c r="F171" s="174">
        <f t="shared" si="19"/>
        <v>253.8</v>
      </c>
      <c r="G171" s="174"/>
      <c r="H171" s="29" t="str">
        <f t="shared" si="16"/>
        <v>разово</v>
      </c>
      <c r="I171" s="170">
        <f t="shared" si="20"/>
        <v>1</v>
      </c>
      <c r="J171" s="170"/>
      <c r="M171" s="22" t="s">
        <v>72</v>
      </c>
      <c r="N171" s="1" t="str">
        <v xml:space="preserve">Благоустройство придомовой территории (приобретение семян цветов). </v>
      </c>
    </row>
    <row r="172" spans="1:14" ht="28.5" customHeight="1">
      <c r="A172" s="169" t="str">
        <f t="shared" si="18"/>
        <v xml:space="preserve">Благоустройство придомовой территории (приобретение хозяйственного инвентаря). </v>
      </c>
      <c r="B172" s="169"/>
      <c r="C172" s="169"/>
      <c r="D172" s="169"/>
      <c r="E172" s="169"/>
      <c r="F172" s="174">
        <f t="shared" si="19"/>
        <v>1900</v>
      </c>
      <c r="G172" s="174"/>
      <c r="H172" s="29" t="str">
        <f t="shared" si="16"/>
        <v>разово</v>
      </c>
      <c r="I172" s="170">
        <f t="shared" si="20"/>
        <v>1</v>
      </c>
      <c r="J172" s="170"/>
      <c r="M172" s="22" t="s">
        <v>72</v>
      </c>
      <c r="N172" s="1" t="str">
        <v xml:space="preserve">Благоустройство придомовой территории (приобретение хозяйственного инвентаря). </v>
      </c>
    </row>
    <row r="173" spans="1:14" ht="28.5" customHeight="1">
      <c r="A173" s="169" t="str">
        <f t="shared" si="18"/>
        <v>Частичный ремонт подъезда.</v>
      </c>
      <c r="B173" s="169"/>
      <c r="C173" s="169"/>
      <c r="D173" s="169"/>
      <c r="E173" s="169"/>
      <c r="F173" s="174">
        <f t="shared" si="19"/>
        <v>24959</v>
      </c>
      <c r="G173" s="174"/>
      <c r="H173" s="29" t="str">
        <f t="shared" si="16"/>
        <v>разово</v>
      </c>
      <c r="I173" s="170">
        <f t="shared" si="20"/>
        <v>1</v>
      </c>
      <c r="J173" s="170"/>
      <c r="M173" s="22" t="s">
        <v>72</v>
      </c>
      <c r="N173" s="1" t="str">
        <v>Частичный ремонт подъезда.</v>
      </c>
    </row>
    <row r="174" spans="1:14" ht="28.5" customHeight="1">
      <c r="A174" s="169" t="str">
        <f t="shared" si="18"/>
        <v>Приобретение энерго.ламп, четверника, краски и лены малярной.</v>
      </c>
      <c r="B174" s="169"/>
      <c r="C174" s="169"/>
      <c r="D174" s="169"/>
      <c r="E174" s="169"/>
      <c r="F174" s="174">
        <f t="shared" si="19"/>
        <v>4242</v>
      </c>
      <c r="G174" s="174"/>
      <c r="H174" s="29" t="str">
        <f t="shared" si="16"/>
        <v>разово</v>
      </c>
      <c r="I174" s="170">
        <f t="shared" si="20"/>
        <v>1</v>
      </c>
      <c r="J174" s="170"/>
      <c r="M174" s="22" t="s">
        <v>72</v>
      </c>
      <c r="N174" s="1" t="str">
        <v>Приобретение энерго.ламп, четверника, краски и лены малярной.</v>
      </c>
    </row>
    <row r="175" spans="1:14" ht="28.5" customHeight="1">
      <c r="A175" s="169" t="str">
        <f t="shared" si="18"/>
        <v>Изготовление и монтаж дополнительного козырька над подъездом.</v>
      </c>
      <c r="B175" s="169"/>
      <c r="C175" s="169"/>
      <c r="D175" s="169"/>
      <c r="E175" s="169"/>
      <c r="F175" s="174">
        <f t="shared" si="19"/>
        <v>19353</v>
      </c>
      <c r="G175" s="174"/>
      <c r="H175" s="29" t="str">
        <f t="shared" si="16"/>
        <v>разово</v>
      </c>
      <c r="I175" s="170">
        <f t="shared" si="20"/>
        <v>1</v>
      </c>
      <c r="J175" s="170"/>
      <c r="M175" s="22" t="s">
        <v>72</v>
      </c>
      <c r="N175" s="1" t="str">
        <v>Изготовление и монтаж дополнительного козырька над подъездом.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4">
        <f t="shared" si="19"/>
        <v>0</v>
      </c>
      <c r="G176" s="174"/>
      <c r="H176" s="29" t="e">
        <f t="shared" si="16"/>
        <v>#N/A</v>
      </c>
      <c r="I176" s="170" t="e">
        <f t="shared" si="20"/>
        <v>#N/A</v>
      </c>
      <c r="J176" s="170"/>
      <c r="M176" s="22" t="s">
        <v>72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4">
        <f t="shared" si="19"/>
        <v>0</v>
      </c>
      <c r="G177" s="174"/>
      <c r="H177" s="29" t="e">
        <f t="shared" si="16"/>
        <v>#N/A</v>
      </c>
      <c r="I177" s="170" t="e">
        <f t="shared" si="20"/>
        <v>#N/A</v>
      </c>
      <c r="J177" s="170"/>
      <c r="M177" s="22" t="s">
        <v>72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4">
        <f t="shared" si="19"/>
        <v>0</v>
      </c>
      <c r="G178" s="174"/>
      <c r="H178" s="29" t="e">
        <f t="shared" si="16"/>
        <v>#N/A</v>
      </c>
      <c r="I178" s="170" t="e">
        <f t="shared" si="20"/>
        <v>#N/A</v>
      </c>
      <c r="J178" s="170"/>
      <c r="M178" s="22" t="s">
        <v>72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4">
        <f t="shared" si="19"/>
        <v>0</v>
      </c>
      <c r="G179" s="174"/>
      <c r="H179" s="29" t="e">
        <f t="shared" si="16"/>
        <v>#N/A</v>
      </c>
      <c r="I179" s="170" t="e">
        <f t="shared" si="20"/>
        <v>#N/A</v>
      </c>
      <c r="J179" s="170"/>
      <c r="M179" s="22" t="s">
        <v>72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4">
        <f t="shared" si="19"/>
        <v>0</v>
      </c>
      <c r="G180" s="174"/>
      <c r="H180" s="29" t="e">
        <f t="shared" si="16"/>
        <v>#N/A</v>
      </c>
      <c r="I180" s="170" t="e">
        <f t="shared" si="20"/>
        <v>#N/A</v>
      </c>
      <c r="J180" s="170"/>
      <c r="M180" s="22" t="s">
        <v>72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4">
        <f t="shared" si="19"/>
        <v>0</v>
      </c>
      <c r="G181" s="174"/>
      <c r="H181" s="29" t="e">
        <f t="shared" si="16"/>
        <v>#N/A</v>
      </c>
      <c r="I181" s="170" t="e">
        <f t="shared" si="20"/>
        <v>#N/A</v>
      </c>
      <c r="J181" s="170"/>
      <c r="M181" s="22" t="s">
        <v>72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4">
        <f t="shared" si="19"/>
        <v>0</v>
      </c>
      <c r="G182" s="174"/>
      <c r="H182" s="29" t="e">
        <f t="shared" si="16"/>
        <v>#N/A</v>
      </c>
      <c r="I182" s="170" t="e">
        <f t="shared" si="20"/>
        <v>#N/A</v>
      </c>
      <c r="J182" s="170"/>
      <c r="M182" s="22" t="s">
        <v>72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4">
        <f t="shared" si="19"/>
        <v>0</v>
      </c>
      <c r="G183" s="174"/>
      <c r="H183" s="29" t="e">
        <f t="shared" si="16"/>
        <v>#N/A</v>
      </c>
      <c r="I183" s="170" t="e">
        <f t="shared" si="20"/>
        <v>#N/A</v>
      </c>
      <c r="J183" s="170"/>
      <c r="M183" s="22" t="s">
        <v>72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4">
        <f t="shared" si="19"/>
        <v>0</v>
      </c>
      <c r="G184" s="174"/>
      <c r="H184" s="29" t="e">
        <f t="shared" si="16"/>
        <v>#N/A</v>
      </c>
      <c r="I184" s="170" t="e">
        <f t="shared" si="20"/>
        <v>#N/A</v>
      </c>
      <c r="J184" s="170"/>
      <c r="M184" s="22" t="s">
        <v>72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4">
        <f t="shared" si="19"/>
        <v>0</v>
      </c>
      <c r="G185" s="174"/>
      <c r="H185" s="29" t="e">
        <f t="shared" si="16"/>
        <v>#N/A</v>
      </c>
      <c r="I185" s="170" t="e">
        <f t="shared" si="20"/>
        <v>#N/A</v>
      </c>
      <c r="J185" s="170"/>
      <c r="M185" s="22" t="s">
        <v>72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4">
        <f t="shared" si="19"/>
        <v>0</v>
      </c>
      <c r="G186" s="174"/>
      <c r="H186" s="29" t="e">
        <f t="shared" si="16"/>
        <v>#N/A</v>
      </c>
      <c r="I186" s="170" t="e">
        <f t="shared" si="20"/>
        <v>#N/A</v>
      </c>
      <c r="J186" s="170"/>
      <c r="M186" s="22" t="s">
        <v>72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4">
        <f t="shared" si="19"/>
        <v>0</v>
      </c>
      <c r="G187" s="174"/>
      <c r="H187" s="29" t="e">
        <f t="shared" si="16"/>
        <v>#N/A</v>
      </c>
      <c r="I187" s="170" t="e">
        <f t="shared" si="20"/>
        <v>#N/A</v>
      </c>
      <c r="J187" s="170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4" t="s">
        <v>190</v>
      </c>
      <c r="B190" s="194"/>
      <c r="C190" s="194"/>
      <c r="D190" s="194"/>
      <c r="E190" s="27">
        <f>SUM(F158:G187)</f>
        <v>313754.77999999997</v>
      </c>
    </row>
    <row r="191" spans="1:14" ht="51.75" customHeight="1">
      <c r="A191" s="194" t="s">
        <v>189</v>
      </c>
      <c r="B191" s="194"/>
      <c r="C191" s="194"/>
      <c r="D191" s="194"/>
      <c r="E191" s="27">
        <f>E190+E154-E155</f>
        <v>-150800.65000000002</v>
      </c>
    </row>
    <row r="192" spans="1:14">
      <c r="A192" s="104" t="s">
        <v>175</v>
      </c>
    </row>
    <row r="193" spans="1:10" ht="62.25" customHeight="1">
      <c r="A193" s="168" t="s">
        <v>188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75</v>
      </c>
    </row>
    <row r="195" spans="1:10" ht="18.75" customHeight="1">
      <c r="A195" s="166" t="str">
        <f>ПТО!F13</f>
        <v xml:space="preserve">  -  техническое освидетельствование лифта</v>
      </c>
      <c r="B195" s="166"/>
      <c r="C195" s="166"/>
      <c r="D195" s="166"/>
      <c r="E195" s="166"/>
      <c r="F195" s="166"/>
      <c r="G195" s="166"/>
      <c r="H195" s="49">
        <f>ПТО!G13</f>
        <v>8100</v>
      </c>
      <c r="I195" s="50" t="s">
        <v>75</v>
      </c>
    </row>
    <row r="196" spans="1:10" ht="18.75" customHeight="1">
      <c r="A196" s="166" t="str">
        <f>ПТО!F14</f>
        <v xml:space="preserve">  -  техническое обслуживание охранной сигнализации</v>
      </c>
      <c r="B196" s="166"/>
      <c r="C196" s="166"/>
      <c r="D196" s="166"/>
      <c r="E196" s="166"/>
      <c r="F196" s="166"/>
      <c r="G196" s="166"/>
      <c r="H196" s="49">
        <f>ПТО!G14</f>
        <v>4000</v>
      </c>
      <c r="I196" s="50" t="s">
        <v>75</v>
      </c>
    </row>
    <row r="197" spans="1:10" ht="18.75" customHeight="1">
      <c r="A197" s="166" t="str">
        <f>ПТО!F15</f>
        <v xml:space="preserve">  -  ремонт подъезда</v>
      </c>
      <c r="B197" s="166"/>
      <c r="C197" s="166"/>
      <c r="D197" s="166"/>
      <c r="E197" s="166"/>
      <c r="F197" s="166"/>
      <c r="G197" s="166"/>
      <c r="H197" s="49">
        <f>ПТО!G15</f>
        <v>400000</v>
      </c>
      <c r="I197" s="50" t="s">
        <v>75</v>
      </c>
    </row>
    <row r="198" spans="1:10" ht="18.75" customHeight="1">
      <c r="A198" s="166" t="str">
        <f>ПТО!F16</f>
        <v xml:space="preserve">  - установка газонного ограждения</v>
      </c>
      <c r="B198" s="166"/>
      <c r="C198" s="166"/>
      <c r="D198" s="166"/>
      <c r="E198" s="166"/>
      <c r="F198" s="166"/>
      <c r="G198" s="166"/>
      <c r="H198" s="49">
        <f>ПТО!G16</f>
        <v>70000</v>
      </c>
      <c r="I198" s="52" t="s">
        <v>75</v>
      </c>
    </row>
    <row r="199" spans="1:10" ht="18.75" hidden="1" customHeight="1">
      <c r="A199" s="166">
        <f>ПТО!F17</f>
        <v>0</v>
      </c>
      <c r="B199" s="166"/>
      <c r="C199" s="166"/>
      <c r="D199" s="166"/>
      <c r="E199" s="166"/>
      <c r="F199" s="166"/>
      <c r="G199" s="166"/>
      <c r="H199" s="49">
        <f>ПТО!G17</f>
        <v>0</v>
      </c>
      <c r="I199" s="50" t="s">
        <v>75</v>
      </c>
    </row>
    <row r="200" spans="1:10" hidden="1">
      <c r="A200" s="166">
        <f>ПТО!F18</f>
        <v>0</v>
      </c>
      <c r="B200" s="166"/>
      <c r="C200" s="166"/>
      <c r="D200" s="166"/>
      <c r="E200" s="166"/>
      <c r="F200" s="166"/>
      <c r="G200" s="166"/>
      <c r="H200" s="49">
        <f>ПТО!G18</f>
        <v>0</v>
      </c>
      <c r="I200" s="50" t="s">
        <v>75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49">
        <f>ПТО!G19</f>
        <v>0</v>
      </c>
      <c r="I201" s="50" t="s">
        <v>75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49">
        <f>ПТО!G20</f>
        <v>0</v>
      </c>
      <c r="I202" s="50" t="s">
        <v>75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49">
        <f>ПТО!G21</f>
        <v>0</v>
      </c>
      <c r="I203" s="50" t="s">
        <v>75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49">
        <f>ПТО!G22</f>
        <v>0</v>
      </c>
      <c r="I204" s="50" t="s">
        <v>75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49">
        <f>ПТО!G23</f>
        <v>0</v>
      </c>
      <c r="I205" s="50" t="s">
        <v>75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49">
        <f>ПТО!G24</f>
        <v>0</v>
      </c>
      <c r="I206" s="50" t="s">
        <v>75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49">
        <f>ПТО!G25</f>
        <v>0</v>
      </c>
      <c r="I207" s="50" t="s">
        <v>75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75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75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75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75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75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483300</v>
      </c>
      <c r="I214" s="56" t="s">
        <v>78</v>
      </c>
    </row>
  </sheetData>
  <sheetProtection algorithmName="SHA-512" hashValue="LhJwNkC2+QP3GEON/rm1XUw7x37or7WZJ9WWbhgyViSXEq2vRD7r9h/B9+ZtCuHDEheq1O+1zxDOlgkgaIGkQg==" saltValue="e3EH2QG2UYwIRCsXwnDzZ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G10" sqref="G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-243527.43</f>
        <v>-243527.43</v>
      </c>
    </row>
    <row r="2" spans="1:12" ht="18.75" customHeight="1">
      <c r="A2" s="120" t="s">
        <v>73</v>
      </c>
      <c r="B2" s="119" t="s">
        <v>179</v>
      </c>
      <c r="C2" s="119">
        <v>1</v>
      </c>
      <c r="D2" s="117">
        <v>8100</v>
      </c>
      <c r="E2" s="164" t="s">
        <v>224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178</v>
      </c>
      <c r="B3" s="119" t="s">
        <v>180</v>
      </c>
      <c r="C3" s="119">
        <v>12</v>
      </c>
      <c r="D3" s="117">
        <v>3999.96</v>
      </c>
      <c r="E3" s="164" t="s">
        <v>225</v>
      </c>
      <c r="F3" s="30"/>
      <c r="G3" s="30"/>
      <c r="L3" s="33" t="str">
        <f t="shared" si="0"/>
        <v>ТР</v>
      </c>
    </row>
    <row r="4" spans="1:12" ht="18.75" customHeight="1">
      <c r="A4" s="44" t="s">
        <v>195</v>
      </c>
      <c r="B4" s="127" t="s">
        <v>181</v>
      </c>
      <c r="C4" s="128">
        <v>1</v>
      </c>
      <c r="D4" s="43">
        <v>4000</v>
      </c>
      <c r="E4" s="44" t="s">
        <v>196</v>
      </c>
      <c r="F4" s="30"/>
      <c r="G4" s="30"/>
      <c r="L4" s="33" t="str">
        <f t="shared" si="0"/>
        <v>ТР</v>
      </c>
    </row>
    <row r="5" spans="1:12" ht="18.75" customHeight="1">
      <c r="A5" s="44" t="s">
        <v>183</v>
      </c>
      <c r="B5" s="127" t="s">
        <v>181</v>
      </c>
      <c r="C5" s="128">
        <v>1</v>
      </c>
      <c r="D5" s="43">
        <v>72370.69</v>
      </c>
      <c r="E5" s="44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9" t="s">
        <v>192</v>
      </c>
      <c r="B6" s="118" t="s">
        <v>181</v>
      </c>
      <c r="C6" s="118">
        <v>1</v>
      </c>
      <c r="D6" s="117">
        <v>53992</v>
      </c>
      <c r="E6" s="130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33" t="s">
        <v>202</v>
      </c>
      <c r="B7" s="134" t="s">
        <v>181</v>
      </c>
      <c r="C7" s="135">
        <v>1</v>
      </c>
      <c r="D7" s="136">
        <v>250</v>
      </c>
      <c r="E7" s="137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31" t="s">
        <v>198</v>
      </c>
      <c r="B8" s="132" t="s">
        <v>181</v>
      </c>
      <c r="C8" s="121">
        <v>1</v>
      </c>
      <c r="D8" s="122">
        <v>42645</v>
      </c>
      <c r="E8" s="123" t="s">
        <v>199</v>
      </c>
      <c r="F8" s="45"/>
      <c r="G8" s="45"/>
      <c r="K8" s="43"/>
      <c r="L8" s="33" t="str">
        <f t="shared" si="0"/>
        <v>ТР</v>
      </c>
    </row>
    <row r="9" spans="1:12">
      <c r="A9" s="44" t="s">
        <v>204</v>
      </c>
      <c r="B9" s="138" t="s">
        <v>181</v>
      </c>
      <c r="C9" s="128">
        <v>1</v>
      </c>
      <c r="D9" s="43">
        <v>4500</v>
      </c>
      <c r="E9" s="44" t="s">
        <v>205</v>
      </c>
      <c r="F9" s="44"/>
      <c r="G9" s="44"/>
      <c r="K9" s="43"/>
      <c r="L9" s="33" t="str">
        <f t="shared" si="0"/>
        <v>ТР</v>
      </c>
    </row>
    <row r="10" spans="1:12">
      <c r="A10" s="44" t="s">
        <v>206</v>
      </c>
      <c r="B10" s="138" t="s">
        <v>181</v>
      </c>
      <c r="C10" s="128">
        <v>1</v>
      </c>
      <c r="D10" s="43">
        <v>245</v>
      </c>
      <c r="E10" s="44" t="s">
        <v>207</v>
      </c>
      <c r="L10" s="33" t="str">
        <f t="shared" si="0"/>
        <v>ТР</v>
      </c>
    </row>
    <row r="11" spans="1:12" ht="94.5">
      <c r="A11" s="144" t="s">
        <v>213</v>
      </c>
      <c r="B11" s="145" t="s">
        <v>181</v>
      </c>
      <c r="C11" s="146">
        <v>1</v>
      </c>
      <c r="D11" s="147">
        <v>18705</v>
      </c>
      <c r="E11" s="148" t="s">
        <v>214</v>
      </c>
      <c r="F11" s="111" t="s">
        <v>188</v>
      </c>
      <c r="G11" s="111"/>
      <c r="L11" s="33" t="str">
        <f t="shared" si="0"/>
        <v>ТР</v>
      </c>
    </row>
    <row r="12" spans="1:12" ht="31.5">
      <c r="A12" s="139" t="s">
        <v>200</v>
      </c>
      <c r="B12" s="140" t="s">
        <v>181</v>
      </c>
      <c r="C12" s="140">
        <v>1</v>
      </c>
      <c r="D12" s="46">
        <v>13990</v>
      </c>
      <c r="E12" s="141" t="s">
        <v>209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42" t="s">
        <v>210</v>
      </c>
      <c r="B13" s="143" t="s">
        <v>181</v>
      </c>
      <c r="C13" s="121">
        <v>1</v>
      </c>
      <c r="D13" s="122">
        <v>2950</v>
      </c>
      <c r="E13" s="123" t="s">
        <v>211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49" t="s">
        <v>216</v>
      </c>
      <c r="B14" s="150" t="s">
        <v>181</v>
      </c>
      <c r="C14" s="150">
        <v>1</v>
      </c>
      <c r="D14" s="151">
        <v>37299.33</v>
      </c>
      <c r="E14" s="152" t="s">
        <v>217</v>
      </c>
      <c r="F14" s="112" t="s">
        <v>184</v>
      </c>
      <c r="G14" s="113">
        <v>4000</v>
      </c>
      <c r="L14" s="33" t="str">
        <f t="shared" si="0"/>
        <v>ТР</v>
      </c>
    </row>
    <row r="15" spans="1:12" ht="15.75">
      <c r="A15" s="153" t="s">
        <v>194</v>
      </c>
      <c r="B15" s="154" t="s">
        <v>181</v>
      </c>
      <c r="C15" s="146">
        <v>1</v>
      </c>
      <c r="D15" s="147">
        <f>216+37.8</f>
        <v>253.8</v>
      </c>
      <c r="E15" s="155" t="s">
        <v>218</v>
      </c>
      <c r="F15" s="125" t="s">
        <v>185</v>
      </c>
      <c r="G15" s="126">
        <v>400000</v>
      </c>
      <c r="L15" s="33" t="str">
        <f t="shared" si="0"/>
        <v>ТР</v>
      </c>
    </row>
    <row r="16" spans="1:12" ht="15.75">
      <c r="A16" s="44" t="s">
        <v>208</v>
      </c>
      <c r="B16" s="156" t="s">
        <v>181</v>
      </c>
      <c r="C16" s="128">
        <v>1</v>
      </c>
      <c r="D16" s="43">
        <v>1900</v>
      </c>
      <c r="E16" s="44" t="s">
        <v>219</v>
      </c>
      <c r="F16" s="125" t="s">
        <v>226</v>
      </c>
      <c r="G16" s="126">
        <v>70000</v>
      </c>
      <c r="L16" s="33" t="str">
        <f t="shared" si="0"/>
        <v>ТР</v>
      </c>
    </row>
    <row r="17" spans="1:12" ht="15.75">
      <c r="A17" s="157" t="s">
        <v>215</v>
      </c>
      <c r="B17" s="158" t="s">
        <v>181</v>
      </c>
      <c r="C17" s="140">
        <v>1</v>
      </c>
      <c r="D17" s="159">
        <v>24959</v>
      </c>
      <c r="E17" s="141" t="s">
        <v>220</v>
      </c>
      <c r="F17" s="125"/>
      <c r="G17" s="126"/>
      <c r="L17" s="33" t="str">
        <f t="shared" si="0"/>
        <v>ТР</v>
      </c>
    </row>
    <row r="18" spans="1:12" ht="15.75">
      <c r="A18" s="160" t="s">
        <v>212</v>
      </c>
      <c r="B18" s="161" t="s">
        <v>181</v>
      </c>
      <c r="C18" s="140">
        <v>1</v>
      </c>
      <c r="D18" s="159">
        <v>4242</v>
      </c>
      <c r="E18" s="141" t="s">
        <v>221</v>
      </c>
      <c r="F18" s="125"/>
      <c r="G18" s="126"/>
      <c r="L18" s="33" t="str">
        <f t="shared" si="0"/>
        <v>ТР</v>
      </c>
    </row>
    <row r="19" spans="1:12">
      <c r="A19" s="162" t="s">
        <v>201</v>
      </c>
      <c r="B19" s="132" t="s">
        <v>181</v>
      </c>
      <c r="C19" s="121">
        <v>1</v>
      </c>
      <c r="D19" s="163">
        <v>19353</v>
      </c>
      <c r="E19" s="123" t="s">
        <v>222</v>
      </c>
      <c r="F19" s="103"/>
      <c r="L19" s="33" t="str">
        <f t="shared" si="0"/>
        <v>ТР</v>
      </c>
    </row>
    <row r="20" spans="1:12">
      <c r="A20" s="44"/>
      <c r="B20" s="165"/>
      <c r="C20" s="128"/>
      <c r="D20" s="43"/>
      <c r="E20" s="44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238038.6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238038.6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68076.36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68076.36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76757.16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76757.16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54826.559999999998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134325.12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134325.12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223</v>
      </c>
      <c r="B46" s="38">
        <v>182755.20000000001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182755.20000000001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psLRtSSCezDC7GYBf4E99/OLDxqrAMdPeqBy0cZ0qwkPa6jMwqbu+w8b2jLcCL1HScidXyj5wCZso7SaqjoQw==" saltValue="zdIblONUmmg32LtE30tO/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62" sqref="C6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3683.8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313822.37000000011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993065.73000000021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590557.92000000016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221028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181479.81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932700.82999999984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932700.82999999984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932700.82999999984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374187.27000000048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7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7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7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7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6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6"/>
      <c r="N26" s="63"/>
    </row>
    <row r="27" spans="1:15" ht="18.75" customHeight="1">
      <c r="A27" s="70" t="s">
        <v>106</v>
      </c>
      <c r="B27" s="75" t="s">
        <v>4</v>
      </c>
      <c r="C27" s="86">
        <v>454698.3</v>
      </c>
      <c r="D27" s="81" t="s">
        <v>60</v>
      </c>
      <c r="E27" s="64"/>
      <c r="F27" s="64"/>
      <c r="G27" s="64"/>
      <c r="H27" s="64"/>
      <c r="I27" s="64"/>
      <c r="J27" s="64"/>
      <c r="M27" s="196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6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6"/>
      <c r="N29" s="63"/>
    </row>
    <row r="30" spans="1:15" ht="18.75" customHeight="1">
      <c r="A30" s="70" t="s">
        <v>109</v>
      </c>
      <c r="B30" s="75" t="s">
        <v>18</v>
      </c>
      <c r="C30" s="86">
        <v>596954.67000000004</v>
      </c>
      <c r="D30" s="81" t="s">
        <v>66</v>
      </c>
      <c r="E30" s="64"/>
      <c r="F30" s="64"/>
      <c r="G30" s="64"/>
      <c r="H30" s="64"/>
      <c r="I30" s="64"/>
      <c r="J30" s="64"/>
      <c r="M30" s="196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6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6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6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6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48171.979999999981</v>
      </c>
      <c r="F37" s="94" t="s">
        <v>168</v>
      </c>
      <c r="G37" s="66"/>
      <c r="H37" s="66"/>
      <c r="I37" s="66"/>
      <c r="L37" s="63"/>
      <c r="M37" s="195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42256.122807017528</v>
      </c>
      <c r="D38" s="94" t="s">
        <v>166</v>
      </c>
      <c r="E38" s="68"/>
      <c r="G38" s="67"/>
      <c r="H38" s="67"/>
      <c r="L38" s="63"/>
      <c r="M38" s="195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44879.38</v>
      </c>
      <c r="D39" s="94" t="s">
        <v>167</v>
      </c>
      <c r="E39" s="68"/>
      <c r="G39" s="67"/>
      <c r="H39" s="67"/>
      <c r="L39" s="63"/>
      <c r="M39" s="195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3292.599999999984</v>
      </c>
      <c r="D40" s="80" t="s">
        <v>59</v>
      </c>
      <c r="E40" s="68"/>
      <c r="G40" s="67"/>
      <c r="H40" s="67"/>
      <c r="L40" s="63"/>
      <c r="M40" s="195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48171.979999999981</v>
      </c>
      <c r="D41" s="80" t="s">
        <v>59</v>
      </c>
      <c r="E41" s="68"/>
      <c r="G41" s="67"/>
      <c r="H41" s="67"/>
      <c r="L41" s="63"/>
      <c r="M41" s="195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48171.979999999981</v>
      </c>
      <c r="D42" s="80" t="s">
        <v>59</v>
      </c>
      <c r="E42" s="68"/>
      <c r="G42" s="67"/>
      <c r="H42" s="67"/>
      <c r="L42" s="63"/>
      <c r="M42" s="195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5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5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133154.97</v>
      </c>
      <c r="F45" s="94" t="s">
        <v>168</v>
      </c>
      <c r="G45" s="66"/>
      <c r="H45" s="66"/>
      <c r="L45" s="63"/>
      <c r="M45" s="195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9841.4611973392475</v>
      </c>
      <c r="D46" s="94" t="s">
        <v>169</v>
      </c>
      <c r="E46" s="68"/>
      <c r="G46" s="67"/>
      <c r="H46" s="67"/>
      <c r="L46" s="63"/>
      <c r="M46" s="195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125843.66999999997</v>
      </c>
      <c r="D47" s="94" t="s">
        <v>167</v>
      </c>
      <c r="E47" s="68"/>
      <c r="G47" s="67"/>
      <c r="H47" s="67"/>
      <c r="L47" s="63"/>
      <c r="M47" s="195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7311.300000000032</v>
      </c>
      <c r="D48" s="80" t="s">
        <v>59</v>
      </c>
      <c r="E48" s="68"/>
      <c r="G48" s="67"/>
      <c r="H48" s="67"/>
      <c r="L48" s="63"/>
      <c r="M48" s="195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133154.97</v>
      </c>
      <c r="D49" s="80" t="s">
        <v>59</v>
      </c>
      <c r="E49" s="68"/>
      <c r="G49" s="67"/>
      <c r="H49" s="67"/>
      <c r="L49" s="63"/>
      <c r="M49" s="195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133154.97</v>
      </c>
      <c r="D50" s="80" t="s">
        <v>59</v>
      </c>
      <c r="E50" s="68"/>
      <c r="G50" s="67"/>
      <c r="H50" s="67"/>
      <c r="L50" s="63"/>
      <c r="M50" s="195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5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5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154808.84999999989</v>
      </c>
      <c r="F53" s="94" t="s">
        <v>168</v>
      </c>
      <c r="G53" s="66"/>
      <c r="H53" s="66"/>
      <c r="L53" s="63"/>
      <c r="M53" s="195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10032.977965003234</v>
      </c>
      <c r="D54" s="94" t="s">
        <v>169</v>
      </c>
      <c r="E54" s="69"/>
      <c r="F54" s="89"/>
      <c r="G54" s="64"/>
      <c r="H54" s="64"/>
      <c r="L54" s="63"/>
      <c r="M54" s="195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143094.61000000002</v>
      </c>
      <c r="D55" s="94" t="s">
        <v>167</v>
      </c>
      <c r="E55" s="69"/>
      <c r="G55" s="64"/>
      <c r="H55" s="64"/>
      <c r="L55" s="63"/>
      <c r="M55" s="195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11714.239999999874</v>
      </c>
      <c r="D56" s="80" t="s">
        <v>59</v>
      </c>
      <c r="E56" s="69"/>
      <c r="G56" s="64"/>
      <c r="H56" s="64"/>
      <c r="L56" s="63"/>
      <c r="M56" s="195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154808.84999999989</v>
      </c>
      <c r="D57" s="80" t="s">
        <v>59</v>
      </c>
      <c r="E57" s="69"/>
      <c r="G57" s="64"/>
      <c r="H57" s="64"/>
      <c r="L57" s="63"/>
      <c r="M57" s="195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154808.84999999989</v>
      </c>
      <c r="D58" s="80" t="s">
        <v>59</v>
      </c>
      <c r="E58" s="69"/>
      <c r="G58" s="64"/>
      <c r="H58" s="64"/>
      <c r="L58" s="63"/>
      <c r="M58" s="195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5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5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176562.86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311.44777830696228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164677.36000000004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11885.499999999942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176562.86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176562.86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298604.58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3748.7306799272114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278453.05999999994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20151.520000000077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298604.58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298604.58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663712.68999999994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464.19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575811.47999999975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87901.210000000196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663712.68999999994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663712.68999999994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" sqref="C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327450.67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2021-03-26T07:53:11Z</dcterms:modified>
</cp:coreProperties>
</file>