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D2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7" i="1"/>
  <c r="A96" i="1"/>
  <c r="G94" i="1"/>
  <c r="F94" i="1"/>
  <c r="D94" i="1"/>
  <c r="K94" i="1"/>
  <c r="A113" i="1" l="1"/>
  <c r="A114" i="1"/>
  <c r="A123" i="1"/>
  <c r="A119" i="1"/>
  <c r="F110" i="1"/>
  <c r="A117" i="1"/>
  <c r="A118" i="1"/>
  <c r="D118" i="1"/>
  <c r="A124" i="1"/>
  <c r="F118" i="1"/>
  <c r="A121" i="1"/>
  <c r="A125" i="1"/>
  <c r="A120" i="1"/>
  <c r="A110" i="1"/>
  <c r="A111" i="1"/>
  <c r="A115" i="1"/>
  <c r="D110" i="1"/>
  <c r="A112" i="1"/>
  <c r="F10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<sst xmlns="http://schemas.openxmlformats.org/spreadsheetml/2006/main" count="554" uniqueCount="202">
  <si>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</si>
  <si>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</si>
  <si>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</si>
  <si>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</si>
  <si>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</si>
  <si>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</si>
  <si>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</si>
  <si>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</si>
  <si>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</si>
  <si>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</si>
  <si>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</si>
  <si>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</si>
  <si>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</si>
  <si>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</si>
  <si>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</si>
  <si>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</si>
  <si>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</si>
  <si>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</si>
  <si>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</si>
  <si>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</si>
  <si>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</si>
  <si>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</si>
  <si>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</si>
  <si>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</si>
  <si>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</si>
  <si>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</si>
  <si>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</si>
  <si>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</si>
  <si>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</si>
  <si>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</si>
  <si>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</si>
  <si>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</si>
  <si>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</si>
  <si>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</si>
  <si>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</si>
  <si>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</si>
  <si>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</si>
  <si>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</si>
  <si>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</si>
  <si>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</si>
  <si>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</si>
  <si>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</si>
  <si>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</si>
  <si>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</si>
  <si>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</si>
  <si>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</si>
  <si>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</si>
  <si>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</si>
  <si>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</si>
  <si>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</si>
  <si>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</si>
  <si>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</si>
  <si>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</si>
  <si>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</si>
  <si>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</si>
  <si>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</si>
  <si>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</si>
  <si>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</si>
  <si>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</si>
  <si>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</si>
  <si>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</si>
  <si>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</si>
  <si>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</si>
  <si>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</si>
  <si>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</si>
  <si>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</si>
  <si>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</si>
  <si>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</si>
  <si>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</si>
  <si>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</si>
  <si>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</si>
  <si>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</si>
  <si>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</si>
  <si>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</si>
  <si>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</si>
  <si>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</si>
  <si>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</si>
  <si>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</si>
  <si>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</si>
  <si>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</si>
  <si>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</si>
  <si>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</si>
  <si>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</si>
  <si>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</si>
  <si>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</si>
  <si>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</si>
  <si>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</si>
  <si>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</si>
  <si>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</si>
  <si>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</si>
  <si>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</si>
  <si>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</si>
  <si>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</si>
  <si>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</si>
  <si>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</si>
  <si>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</si>
  <si>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</si>
  <si>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</si>
  <si>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</si>
  <si>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</si>
  <si>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</si>
  <si>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</si>
  <si>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</si>
  <si>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</si>
  <si>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</si>
  <si>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</si>
  <si>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</si>
  <si>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</si>
  <si>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</si>
  <si>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</si>
  <si>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</si>
  <si>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</si>
  <si>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</si>
  <si>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</si>
  <si>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</si>
  <si>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</si>
  <si>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</si>
  <si>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</si>
  <si>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</si>
  <si>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</si>
  <si>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</si>
  <si>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</si>
  <si>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</si>
  <si>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</si>
  <si>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</si>
  <si>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</si>
  <si>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</si>
  <si>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</si>
  <si>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</si>
  <si>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</si>
  <si>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</si>
  <si>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</si>
  <si>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</si>
  <si>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</si>
  <si>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</si>
  <si>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</si>
  <si>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</si>
  <si>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</si>
  <si>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</si>
  <si>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</si>
  <si>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</si>
  <si>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</si>
  <si>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</si>
  <si>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</si>
  <si>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</si>
  <si>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</si>
  <si>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</si>
  <si>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</si>
  <si>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</si>
  <si>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</si>
  <si>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</si>
  <si>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</si>
  <si>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</si>
  <si>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</si>
  <si>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</si>
  <si>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</si>
  <si>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</si>
  <si>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</si>
  <si>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</si>
  <si>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</si>
  <si>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</si>
  <si>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</si>
  <si>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</si>
  <si>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</si>
  <si>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</si>
  <si>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</si>
  <si>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</si>
  <si>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</si>
  <si>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</si>
  <si>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</si>
  <si>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</si>
  <si>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</si>
  <si>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</si>
  <si>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73</t>
  </si>
  <si>
    <t>ежемесячно</t>
  </si>
  <si>
    <t>площадь дома</t>
  </si>
  <si>
    <t>с 01.04.2019 на осн. Протокола №1 от 26,03.2019, приказ №28 от 08.05.2019</t>
  </si>
  <si>
    <t>Техническое обслуживание охранной сигнализации ИТП.</t>
  </si>
  <si>
    <t>Отчет об исполнении договора управления многоквартирного дома 
Березовый, 73 в части текущего ремонта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</si>
  <si>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</si>
  <si>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</si>
  <si>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</si>
  <si>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</si>
  <si>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</si>
  <si>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аккумулятора охранной сигнализации.</t>
  </si>
  <si>
    <t>разово</t>
  </si>
  <si>
    <t>АВР 1/21 от 12.05.2021, счет №4112 от 26.01.2021</t>
  </si>
  <si>
    <t>Приобретение платы "Цербер" системы охранной сигнализации.</t>
  </si>
  <si>
    <t>АВР 2/21 от 20.05.2021, счет №3493 от 18.05.2021</t>
  </si>
  <si>
    <t>Приобретение и установка информационного стенда на детскую площадку.</t>
  </si>
  <si>
    <t>АВР 3/21 от 24.11.2021,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</si>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</sst>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7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 applyBorder="1"/>
    <xf numFmtId="0" fontId="7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0" fontId="24" fillId="0" borderId="0" xfId="6" applyFont="1" applyFill="1" applyBorder="1" applyAlignment="1">
      <alignment horizontal="center"/>
    </xf>
    <xf numFmtId="4" fontId="24" fillId="0" borderId="0" xfId="6" applyNumberFormat="1" applyFont="1" applyFill="1" applyBorder="1" applyAlignment="1"/>
    <xf numFmtId="4" fontId="24" fillId="0" borderId="0" xfId="0" applyNumberFormat="1" applyFont="1" applyFill="1" applyBorder="1" applyAlignment="1">
      <alignment horizontal="left"/>
    </xf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7" applyFont="1" applyFill="1" applyBorder="1" applyAlignment="1"/>
    <xf numFmtId="4" fontId="4" fillId="0" borderId="0" xfId="8" applyNumberFormat="1" applyFill="1" applyBorder="1" applyAlignment="1"/>
    <xf numFmtId="0" fontId="4" fillId="0" borderId="0" xfId="9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10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5 2" xfId="10"/>
    <cellStyle name="Обычный 3" xfId="2"/>
    <cellStyle name="Обычный 3 6" xfId="7"/>
    <cellStyle name="Обычный 4" xfId="4"/>
    <cellStyle name="Обычный 4 2" xfId="6"/>
    <cellStyle name="Обычный 4 3" xfId="8"/>
    <cellStyle name="Обычный 5" xfId="5"/>
    <cellStyle name="Обычный 5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4" t="s">
        <v>173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5"/>
      <c r="M8" s="111"/>
      <c r="N8" s="111"/>
      <c r="O8" s="71" t="s">
        <v>80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5"/>
      <c r="M9" s="111"/>
      <c r="N9" s="111"/>
      <c r="O9" s="71" t="s">
        <v>81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126084.46</v>
      </c>
      <c r="K10" s="111"/>
      <c r="L10" s="165"/>
      <c r="M10" s="111"/>
      <c r="N10" s="111"/>
      <c r="O10" s="71" t="s">
        <v>82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275444.88</v>
      </c>
      <c r="K11" s="111"/>
      <c r="L11" s="165"/>
      <c r="M11" s="111"/>
      <c r="N11" s="111"/>
      <c r="O11" s="71" t="s">
        <v>83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130935.1</v>
      </c>
      <c r="K12" s="111"/>
      <c r="L12" s="165"/>
      <c r="M12" s="111"/>
      <c r="N12" s="111"/>
      <c r="O12" s="71" t="s">
        <v>84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74300.94</v>
      </c>
      <c r="K13" s="111"/>
      <c r="L13" s="165"/>
      <c r="M13" s="111"/>
      <c r="N13" s="111"/>
      <c r="O13" s="71" t="s">
        <v>85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70208.84</v>
      </c>
      <c r="K14" s="111"/>
      <c r="L14" s="165"/>
      <c r="M14" s="111"/>
      <c r="N14" s="111"/>
      <c r="O14" s="71" t="s">
        <v>86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286467.07</v>
      </c>
      <c r="K15" s="111"/>
      <c r="L15" s="165"/>
      <c r="M15" s="111"/>
      <c r="N15" s="111"/>
      <c r="O15" s="71" t="s">
        <v>87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286467.07</v>
      </c>
      <c r="K16" s="111"/>
      <c r="L16" s="165"/>
      <c r="M16" s="111"/>
      <c r="N16" s="111"/>
      <c r="O16" s="71" t="s">
        <v>88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5"/>
      <c r="M17" s="111"/>
      <c r="N17" s="111"/>
      <c r="O17" s="71" t="s">
        <v>89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5"/>
      <c r="M18" s="111"/>
      <c r="N18" s="111"/>
      <c r="O18" s="71" t="s">
        <v>90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5"/>
      <c r="M19" s="111"/>
      <c r="N19" s="111"/>
      <c r="O19" s="71" t="s">
        <v>91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5"/>
      <c r="M20" s="111"/>
      <c r="N20" s="111"/>
      <c r="O20" s="71" t="s">
        <v>92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286467.07</v>
      </c>
      <c r="K21" s="111"/>
      <c r="L21" s="165"/>
      <c r="M21" s="111"/>
      <c r="N21" s="111"/>
      <c r="O21" s="71" t="s">
        <v>93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5"/>
      <c r="M22" s="111"/>
      <c r="N22" s="111"/>
      <c r="O22" s="71" t="s">
        <v>94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5"/>
      <c r="M23" s="111"/>
      <c r="N23" s="111"/>
      <c r="O23" s="71" t="s">
        <v>95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115062.27000000002</v>
      </c>
      <c r="K24" s="111"/>
      <c r="L24" s="165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44444.28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9">
        <f>ПТО!A40</f>
        <v>0</v>
      </c>
      <c r="B29" s="149"/>
      <c r="C29" s="149"/>
      <c r="D29" s="149"/>
      <c r="E29" s="149"/>
      <c r="F29" s="154" t="e">
        <f>VLOOKUP(A29,ПТО!$A$39:$D$53,2,FALSE)</f>
        <v>#N/A</v>
      </c>
      <c r="G29" s="154"/>
      <c r="H29" s="42" t="e">
        <f>VLOOKUP(A29,ПТО!$A$39:$D$53,3,FALSE)</f>
        <v>#N/A</v>
      </c>
      <c r="I29" s="150" t="e">
        <f>VLOOKUP(A29,ПТО!$A$39:$D$53,4,FALSE)</f>
        <v>#N/A</v>
      </c>
      <c r="J29" s="150"/>
      <c r="K29" s="111"/>
      <c r="L29" s="166"/>
      <c r="M29" s="111"/>
      <c r="N29" s="111"/>
      <c r="O29" s="23">
        <f t="shared" si="1"/>
        <v>0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28766.04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16087.2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6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6952.92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30265.68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Коммунальные ресурсы на содержание общего имущества</v>
      </c>
      <c r="B35" s="149"/>
      <c r="C35" s="149"/>
      <c r="D35" s="149"/>
      <c r="E35" s="149"/>
      <c r="F35" s="154">
        <f>VLOOKUP(A35,ПТО!$A$39:$D$53,2,FALSE)</f>
        <v>24561.785250000001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1"/>
      <c r="L35" s="166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66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66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66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66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66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66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66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 ИТП.</v>
      </c>
      <c r="B43" s="149"/>
      <c r="C43" s="149"/>
      <c r="D43" s="149"/>
      <c r="E43" s="149"/>
      <c r="F43" s="154">
        <f>VLOOKUP(A43,ПТО!$A$2:$D$31,4,FALSE)</f>
        <v>5410.8</v>
      </c>
      <c r="G43" s="154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1"/>
      <c r="L43" s="166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72</v>
      </c>
    </row>
    <row r="44" spans="1:18" ht="51" customHeight="1" outlineLevel="1">
      <c r="A44" s="149" t="str">
        <f>ПТО!A3</f>
        <v>Замена аккумулятора охранной сигнализации.</v>
      </c>
      <c r="B44" s="149"/>
      <c r="C44" s="149"/>
      <c r="D44" s="149"/>
      <c r="E44" s="149"/>
      <c r="F44" s="154">
        <f>VLOOKUP(A44,ПТО!$A$2:$D$31,4,FALSE)</f>
        <v>300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66"/>
      <c r="M44" s="118"/>
      <c r="N44" s="111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49" t="str">
        <f>ПТО!A4</f>
        <v>Приобретение платы "Цербер" системы охранной сигнализации.</v>
      </c>
      <c r="B45" s="149"/>
      <c r="C45" s="149"/>
      <c r="D45" s="149"/>
      <c r="E45" s="149"/>
      <c r="F45" s="154">
        <f>VLOOKUP(A45,ПТО!$A$2:$D$31,4,FALSE)</f>
        <v>2131.25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66"/>
      <c r="M45" s="118"/>
      <c r="N45" s="111"/>
      <c r="O45" s="23" t="str">
        <f t="shared" si="1"/>
        <v>Приобретение платы "Цербер" системы охранной сигнализации.</v>
      </c>
      <c r="R45" s="22" t="s">
        <v>72</v>
      </c>
    </row>
    <row r="46" spans="1:18" ht="51" customHeight="1" outlineLevel="1">
      <c r="A46" s="149" t="str">
        <f>ПТО!A5</f>
        <v>Приобретение и установка информационного стенда на детскую площадку.</v>
      </c>
      <c r="B46" s="149"/>
      <c r="C46" s="149"/>
      <c r="D46" s="149"/>
      <c r="E46" s="149"/>
      <c r="F46" s="154">
        <f>VLOOKUP(A46,ПТО!$A$2:$D$31,4,FALSE)</f>
        <v>542.4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66"/>
      <c r="M46" s="118"/>
      <c r="N46" s="111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49" t="str">
        <f>ПТО!A6</f>
        <v>Перерасчет по итогам 2021 года.</v>
      </c>
      <c r="B47" s="149"/>
      <c r="C47" s="149"/>
      <c r="D47" s="149"/>
      <c r="E47" s="149"/>
      <c r="F47" s="154">
        <f>VLOOKUP(A47,ПТО!$A$2:$D$31,4,FALSE)</f>
        <v>89620.83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1"/>
      <c r="L47" s="166"/>
      <c r="M47" s="118"/>
      <c r="N47" s="111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4" t="e">
        <f>VLOOKUP(A48,ПТО!$A$2:$D$31,4,FALSE)</f>
        <v>#N/A</v>
      </c>
      <c r="G48" s="154"/>
      <c r="H48" s="25" t="e">
        <f>VLOOKUP(A48,ПТО!$A$2:$D$31,2,FALSE)</f>
        <v>#N/A</v>
      </c>
      <c r="I48" s="150" t="e">
        <f>VLOOKUP(A48,ПТО!$A$2:$D$31,3,FALSE)</f>
        <v>#N/A</v>
      </c>
      <c r="J48" s="150"/>
      <c r="K48" s="111"/>
      <c r="L48" s="166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1"/>
      <c r="L49" s="166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66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66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66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66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66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66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66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66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66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66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66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66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66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66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66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66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66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66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66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66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66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8"/>
      <c r="L71" s="16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66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1"/>
      <c r="L75" s="169"/>
      <c r="M75" s="111"/>
      <c r="N75" s="111"/>
      <c r="O75" s="71" t="s">
        <v>97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1"/>
      <c r="L76" s="169"/>
      <c r="M76" s="111"/>
      <c r="N76" s="111"/>
      <c r="O76" s="71" t="s">
        <v>98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1"/>
      <c r="L77" s="169"/>
      <c r="M77" s="111"/>
      <c r="N77" s="111"/>
      <c r="O77" s="71" t="s">
        <v>99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1"/>
      <c r="L78" s="169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101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55"/>
      <c r="M82" s="111"/>
      <c r="N82" s="111"/>
      <c r="O82" s="71" t="s">
        <v>102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60575.4</v>
      </c>
      <c r="K83" s="111"/>
      <c r="L83" s="155"/>
      <c r="M83" s="111"/>
      <c r="N83" s="111"/>
      <c r="O83" s="71" t="s">
        <v>103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55"/>
      <c r="M84" s="111"/>
      <c r="N84" s="111"/>
      <c r="O84" s="71" t="s">
        <v>104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55"/>
      <c r="M85" s="111"/>
      <c r="N85" s="111"/>
      <c r="O85" s="71" t="s">
        <v>105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46035.07</v>
      </c>
      <c r="K86" s="111"/>
      <c r="L86" s="155"/>
      <c r="M86" s="111"/>
      <c r="N86" s="111"/>
      <c r="O86" s="71" t="s">
        <v>106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55"/>
      <c r="M87" s="111"/>
      <c r="N87" s="111"/>
      <c r="O87" s="71" t="s">
        <v>107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55"/>
      <c r="M88" s="111"/>
      <c r="N88" s="111"/>
      <c r="O88" s="71" t="s">
        <v>108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55"/>
      <c r="M89" s="111"/>
      <c r="N89" s="111"/>
      <c r="O89" s="71" t="s">
        <v>109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55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21715.38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18096.150000000001</v>
      </c>
      <c r="L95" s="156"/>
      <c r="O95" s="1" t="s">
        <v>111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22080.25</v>
      </c>
      <c r="L96" s="156"/>
      <c r="O96" s="1" t="s">
        <v>112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56"/>
      <c r="O97" s="1" t="s">
        <v>113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21715.38</v>
      </c>
      <c r="L98" s="156"/>
      <c r="O98" s="1" t="s">
        <v>114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21715.38</v>
      </c>
      <c r="L99" s="156"/>
      <c r="O99" s="1" t="s">
        <v>115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116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117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38504.86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2917.03</v>
      </c>
      <c r="L103" s="156"/>
      <c r="O103" s="1" t="s">
        <v>120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39077.1</v>
      </c>
      <c r="L104" s="156"/>
      <c r="O104" s="1" t="s">
        <v>121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122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38504.86</v>
      </c>
      <c r="L106" s="156"/>
      <c r="O106" s="1" t="s">
        <v>123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38504.86</v>
      </c>
      <c r="L107" s="156"/>
      <c r="O107" s="1" t="s">
        <v>124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125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126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77010.19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4801.13</v>
      </c>
      <c r="L111" s="156"/>
      <c r="O111" s="1" t="s">
        <v>128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76468</v>
      </c>
      <c r="L112" s="156"/>
      <c r="O112" s="1" t="s">
        <v>129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542.19000000000233</v>
      </c>
      <c r="L113" s="156"/>
      <c r="O113" s="1" t="s">
        <v>130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77010.19</v>
      </c>
      <c r="L114" s="156"/>
      <c r="O114" s="1" t="s">
        <v>131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77010.19</v>
      </c>
      <c r="L115" s="156"/>
      <c r="O115" s="1" t="s">
        <v>132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133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134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51" t="str">
        <f>IF(VLOOKUP("гвс",АО,3,FALSE)&gt;0,"Горячее водоснабжение",0)</f>
        <v>Горячее водоснабжение</v>
      </c>
      <c r="B126" s="151"/>
      <c r="C126" s="151"/>
      <c r="D126" s="152" t="str">
        <f>IF(VLOOKUP("гвс",АО,3,FALSE)&gt;0,VLOOKUP("гвс",АО,3,FALSE),0)</f>
        <v>Предоставляется</v>
      </c>
      <c r="E126" s="152"/>
      <c r="F126" s="13" t="str">
        <f>IF(VLOOKUP("гвс",АО,3,FALSE)&gt;0,VLOOKUP("гвс",АО,4,FALSE),0)</f>
        <v>куб.м.</v>
      </c>
      <c r="G126" s="153">
        <f>VLOOKUP("гвс",АО,5,FALSE)</f>
        <v>24359.45</v>
      </c>
      <c r="H126" s="152"/>
      <c r="I126" s="152"/>
      <c r="J126" s="152"/>
      <c r="L126" s="48"/>
    </row>
    <row r="127" spans="1:15" ht="32.25" customHeight="1" outlineLevel="2">
      <c r="A127" s="147" t="str">
        <f t="shared" ref="A127:A133" si="10">IF(VLOOKUP("гвс",АО,3,FALSE)&gt;0,VLOOKUP(O127,АО,2,FALSE),0)</f>
        <v>Общий объем потребления, нат. показ.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1845.41</v>
      </c>
      <c r="L127" s="48"/>
      <c r="O127" s="1" t="s">
        <v>144</v>
      </c>
    </row>
    <row r="128" spans="1:15" ht="32.25" customHeight="1" outlineLevel="2">
      <c r="A128" s="147" t="str">
        <f t="shared" si="10"/>
        <v>Оплачено потребителями, руб.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38504.86</v>
      </c>
      <c r="L128" s="48"/>
      <c r="O128" s="1" t="s">
        <v>145</v>
      </c>
    </row>
    <row r="129" spans="1:15" ht="32.25" customHeight="1" outlineLevel="2">
      <c r="A129" s="147" t="str">
        <f t="shared" si="10"/>
        <v>Задолженность потребителей, руб.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146</v>
      </c>
    </row>
    <row r="130" spans="1:15" ht="32.25" customHeight="1" outlineLevel="2">
      <c r="A130" s="147" t="str">
        <f t="shared" si="10"/>
        <v>Начислено поставщиком (поставщиками) коммунального ресурса, руб.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24359.45</v>
      </c>
      <c r="L130" s="48"/>
      <c r="O130" s="1" t="s">
        <v>147</v>
      </c>
    </row>
    <row r="131" spans="1:15" ht="32.25" customHeight="1" outlineLevel="2">
      <c r="A131" s="147" t="str">
        <f t="shared" si="10"/>
        <v>Оплачено поставщику (поставщикам) коммунального ресурса, руб.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24359.45</v>
      </c>
      <c r="L131" s="48"/>
      <c r="O131" s="1" t="s">
        <v>148</v>
      </c>
    </row>
    <row r="132" spans="1:15" ht="32.25" customHeight="1" outlineLevel="2">
      <c r="A132" s="147" t="str">
        <f t="shared" si="10"/>
        <v>Задолженность перед поставщиком (поставщиками) коммунального ресурса, руб.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47" t="str">
        <f t="shared" si="10"/>
        <v>Размер пени и штрафов, уплаченных поставщику (поставщикам) коммунального ресурса, руб.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168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6</v>
      </c>
      <c r="L145" s="15"/>
      <c r="O145" t="s">
        <v>169</v>
      </c>
    </row>
    <row r="146" spans="1:15" ht="30" customHeight="1" outlineLevel="1">
      <c r="A146" s="147" t="s">
        <v>171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83357.38</v>
      </c>
      <c r="O146" t="s">
        <v>170</v>
      </c>
    </row>
    <row r="149" spans="1:15" ht="52.5" customHeight="1">
      <c r="A149" s="172" t="s">
        <v>178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179</v>
      </c>
      <c r="B154" s="174"/>
      <c r="C154" s="174"/>
      <c r="D154" s="174"/>
      <c r="E154" s="27">
        <f>ПТО!G1</f>
        <v>-23704.34</v>
      </c>
    </row>
    <row r="155" spans="1:15" ht="34.5" customHeight="1">
      <c r="A155" s="173" t="s">
        <v>180</v>
      </c>
      <c r="B155" s="173"/>
      <c r="C155" s="173"/>
      <c r="D155" s="173"/>
      <c r="E155" s="28">
        <f>J13</f>
        <v>74300.94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 ИТП.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5410.8</v>
      </c>
      <c r="G158" s="154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49" t="str">
        <f t="shared" si="14"/>
        <v>Замена аккумулятора охранной сигнализации.</v>
      </c>
      <c r="B159" s="149"/>
      <c r="C159" s="149"/>
      <c r="D159" s="149"/>
      <c r="E159" s="149"/>
      <c r="F159" s="154">
        <f t="shared" si="15"/>
        <v>300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49" t="str">
        <f t="shared" si="14"/>
        <v>Приобретение платы "Цербер" системы охранной сигнализации.</v>
      </c>
      <c r="B160" s="149"/>
      <c r="C160" s="149"/>
      <c r="D160" s="149"/>
      <c r="E160" s="149"/>
      <c r="F160" s="154">
        <f t="shared" si="15"/>
        <v>2131.25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Приобретение платы "Цербер" системы охранной сигнализации.</v>
      </c>
    </row>
    <row r="161" spans="1:14" ht="28.5" customHeight="1">
      <c r="A161" s="149" t="str">
        <f>IF(N161&gt;0,N161,0)</f>
        <v>Приобретение и установка информационного стенда на детскую площадку.</v>
      </c>
      <c r="B161" s="149"/>
      <c r="C161" s="149"/>
      <c r="D161" s="149"/>
      <c r="E161" s="149"/>
      <c r="F161" s="154">
        <f t="shared" si="15"/>
        <v>542.4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49" t="str">
        <f t="shared" si="14"/>
        <v>Перерасчет по итогам 2021 года.</v>
      </c>
      <c r="B162" s="149"/>
      <c r="C162" s="149"/>
      <c r="D162" s="149"/>
      <c r="E162" s="149"/>
      <c r="F162" s="154">
        <f t="shared" si="15"/>
        <v>89620.83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4">
        <f t="shared" si="15"/>
        <v>0</v>
      </c>
      <c r="G163" s="154"/>
      <c r="H163" s="24" t="e">
        <f t="shared" si="16"/>
        <v>#N/A</v>
      </c>
      <c r="I163" s="150" t="e">
        <f>VLOOKUP(A163,$A$28:$J$72,9,FALSE)</f>
        <v>#N/A</v>
      </c>
      <c r="J163" s="150"/>
      <c r="M163" s="22" t="s">
        <v>72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74" t="s">
        <v>181</v>
      </c>
      <c r="B190" s="174"/>
      <c r="C190" s="174"/>
      <c r="D190" s="174"/>
      <c r="E190" s="27">
        <f>SUM(F158:G187)</f>
        <v>98005.28</v>
      </c>
    </row>
    <row r="191" spans="1:14" ht="51.75" customHeight="1">
      <c r="A191" s="174" t="s">
        <v>182</v>
      </c>
      <c r="B191" s="174"/>
      <c r="C191" s="174"/>
      <c r="D191" s="174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48" t="s">
        <v>183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 hidden="1">
      <c r="A194" s="146">
        <f>ПТО!F12</f>
        <v>0</v>
      </c>
      <c r="B194" s="146"/>
      <c r="C194" s="146"/>
      <c r="D194" s="146"/>
      <c r="E194" s="146"/>
      <c r="F194" s="146"/>
      <c r="G194" s="146"/>
      <c r="H194" s="50">
        <f>ПТО!G12</f>
        <v>0</v>
      </c>
      <c r="I194" s="51" t="s">
        <v>73</v>
      </c>
    </row>
    <row r="195" spans="1:10" ht="18.75" hidden="1" customHeight="1">
      <c r="A195" s="146">
        <f>ПТО!F13</f>
        <v>0</v>
      </c>
      <c r="B195" s="146"/>
      <c r="C195" s="146"/>
      <c r="D195" s="146"/>
      <c r="E195" s="146"/>
      <c r="F195" s="146"/>
      <c r="G195" s="146"/>
      <c r="H195" s="50">
        <f>ПТО!G13</f>
        <v>0</v>
      </c>
      <c r="I195" s="51" t="s">
        <v>73</v>
      </c>
    </row>
    <row r="196" spans="1:10" ht="36.75" hidden="1" customHeight="1">
      <c r="A196" s="146">
        <f>ПТО!F14</f>
        <v>0</v>
      </c>
      <c r="B196" s="146"/>
      <c r="C196" s="146"/>
      <c r="D196" s="146"/>
      <c r="E196" s="146"/>
      <c r="F196" s="146"/>
      <c r="G196" s="146"/>
      <c r="H196" s="50">
        <f>ПТО!G14</f>
        <v>0</v>
      </c>
      <c r="I196" s="51" t="s">
        <v>73</v>
      </c>
    </row>
    <row r="197" spans="1:10" ht="18.75" hidden="1" customHeight="1">
      <c r="A197" s="146">
        <f>ПТО!F15</f>
        <v>0</v>
      </c>
      <c r="B197" s="146"/>
      <c r="C197" s="146"/>
      <c r="D197" s="146"/>
      <c r="E197" s="146"/>
      <c r="F197" s="146"/>
      <c r="G197" s="146"/>
      <c r="H197" s="50">
        <f>ПТО!G15</f>
        <v>0</v>
      </c>
      <c r="I197" s="51" t="s">
        <v>73</v>
      </c>
    </row>
    <row r="198" spans="1:10" ht="18.75" hidden="1" customHeight="1">
      <c r="A198" s="146">
        <f>ПТО!F16</f>
        <v>0</v>
      </c>
      <c r="B198" s="146"/>
      <c r="C198" s="146"/>
      <c r="D198" s="146"/>
      <c r="E198" s="146"/>
      <c r="F198" s="146"/>
      <c r="G198" s="146"/>
      <c r="H198" s="50">
        <f>ПТО!G16</f>
        <v>0</v>
      </c>
      <c r="I198" s="53" t="s">
        <v>73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0">
        <f>ПТО!G17</f>
        <v>0</v>
      </c>
      <c r="I199" s="51" t="s">
        <v>73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0">
        <f>ПТО!G18</f>
        <v>0</v>
      </c>
      <c r="I200" s="51" t="s">
        <v>73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0">
        <f>ПТО!G19</f>
        <v>0</v>
      </c>
      <c r="I201" s="51" t="s">
        <v>73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0">
        <f>ПТО!G20</f>
        <v>0</v>
      </c>
      <c r="I202" s="51" t="s">
        <v>73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0">
        <f>ПТО!G21</f>
        <v>0</v>
      </c>
      <c r="I203" s="51" t="s">
        <v>73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0">
        <f>ПТО!G22</f>
        <v>0</v>
      </c>
      <c r="I204" s="51" t="s">
        <v>73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0">
        <f>ПТО!G23</f>
        <v>0</v>
      </c>
      <c r="I205" s="51" t="s">
        <v>73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0">
        <f>ПТО!G24</f>
        <v>0</v>
      </c>
      <c r="I206" s="51" t="s">
        <v>73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0">
        <f>ПТО!G25</f>
        <v>0</v>
      </c>
      <c r="I207" s="51" t="s">
        <v>73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0">
        <f>ПТО!G26</f>
        <v>0</v>
      </c>
      <c r="I208" s="51" t="s">
        <v>73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0">
        <f>ПТО!G27</f>
        <v>0</v>
      </c>
      <c r="I209" s="51" t="s">
        <v>73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0">
        <f>ПТО!G28</f>
        <v>0</v>
      </c>
      <c r="I210" s="51" t="s">
        <v>73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0">
        <f>ПТО!G29</f>
        <v>0</v>
      </c>
      <c r="I211" s="51" t="s">
        <v>73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0">
        <f>ПТО!G30</f>
        <v>0</v>
      </c>
      <c r="I212" s="51" t="s">
        <v>73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JGLKN4xnqrAclGwm70fuVIAdA6jRfXDYt5qeVZ5yMOmut9LiZfoCSr8+rUmk25pumOZ+TQSwzn8veOl1oWPq5g==" saltValue="Bph1TtpBuztZdoJJIieDi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179</v>
      </c>
      <c r="G1" s="103">
        <f>-23704.34</f>
        <v>-23704.34</v>
      </c>
    </row>
    <row r="2" spans="1:12" ht="18.75" customHeight="1">
      <c r="A2" s="120" t="s">
        <v>177</v>
      </c>
      <c r="B2" s="121" t="s">
        <v>174</v>
      </c>
      <c r="C2" s="122">
        <v>12</v>
      </c>
      <c r="D2" s="123">
        <f>1800*12*0.2505</f>
        <v>5410.8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184</v>
      </c>
      <c r="B3" s="135" t="s">
        <v>185</v>
      </c>
      <c r="C3" s="131">
        <v>1</v>
      </c>
      <c r="D3" s="132">
        <v>300</v>
      </c>
      <c r="E3" s="133" t="s">
        <v>186</v>
      </c>
      <c r="F3" s="30"/>
      <c r="G3" s="30"/>
      <c r="L3" s="33" t="str">
        <f t="shared" si="0"/>
        <v>ТР</v>
      </c>
    </row>
    <row r="4" spans="1:12" ht="18.75" customHeight="1">
      <c r="A4" s="45" t="s">
        <v>187</v>
      </c>
      <c r="B4" s="136" t="s">
        <v>185</v>
      </c>
      <c r="C4" s="43">
        <v>1</v>
      </c>
      <c r="D4" s="47">
        <v>2131.25</v>
      </c>
      <c r="E4" s="45" t="s">
        <v>188</v>
      </c>
      <c r="F4" s="30"/>
      <c r="G4" s="30"/>
      <c r="L4" s="33" t="str">
        <f t="shared" si="0"/>
        <v>ТР</v>
      </c>
    </row>
    <row r="5" spans="1:12" ht="18.75" customHeight="1">
      <c r="A5" s="137" t="s">
        <v>189</v>
      </c>
      <c r="B5" s="121" t="s">
        <v>185</v>
      </c>
      <c r="C5" s="122">
        <v>1</v>
      </c>
      <c r="D5" s="138">
        <v>542.4</v>
      </c>
      <c r="E5" s="139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145" t="s">
        <v>201</v>
      </c>
      <c r="B6" s="144" t="s">
        <v>185</v>
      </c>
      <c r="C6" s="43">
        <v>1</v>
      </c>
      <c r="D6" s="44">
        <v>89620.83</v>
      </c>
      <c r="E6" s="45" t="s">
        <v>200</v>
      </c>
      <c r="F6" s="45"/>
      <c r="G6" s="45"/>
      <c r="K6" s="47"/>
      <c r="L6" s="33" t="str">
        <f t="shared" si="0"/>
        <v>ТР</v>
      </c>
    </row>
    <row r="7" spans="1:12" ht="18.75" customHeight="1">
      <c r="A7" s="129"/>
      <c r="B7" s="130"/>
      <c r="C7" s="131"/>
      <c r="D7" s="132"/>
      <c r="E7" s="133"/>
      <c r="F7" s="46"/>
      <c r="G7" s="46"/>
      <c r="K7" s="47"/>
      <c r="L7" s="33">
        <f t="shared" si="0"/>
        <v>0</v>
      </c>
    </row>
    <row r="8" spans="1:12" ht="18.75" customHeight="1">
      <c r="A8" s="126"/>
      <c r="B8" s="127"/>
      <c r="C8" s="43"/>
      <c r="D8" s="47"/>
      <c r="E8" s="128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14"/>
      <c r="G14" s="115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44444.28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44444.28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28766.04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28766.04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16087.2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16087.2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6952.92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6952.92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30265.68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30265.68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40">
        <f>(E46*G52*F54*6+E46*G52*G54*6)+(F46*G58*F60*6+F46*G58*G60*6)+(F46*G62*F64*6+F46*G62*G64*6)</f>
        <v>24561.785250000001</v>
      </c>
      <c r="C46" s="141" t="s">
        <v>68</v>
      </c>
      <c r="D46" s="49">
        <v>12</v>
      </c>
      <c r="E46" s="140">
        <v>584.70000000000005</v>
      </c>
      <c r="F46" s="140">
        <v>133.5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24561.785250000001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2"/>
      <c r="C47" s="141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3" t="s">
        <v>193</v>
      </c>
      <c r="F51" s="143" t="s">
        <v>194</v>
      </c>
      <c r="G51" s="143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3"/>
      <c r="F52" s="140">
        <v>1136.0999999999999</v>
      </c>
      <c r="G52" s="143">
        <v>2.5</v>
      </c>
      <c r="H52" s="143">
        <f>G52*E46/F52</f>
        <v>1.2866385001320306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3"/>
      <c r="F53" s="143" t="s">
        <v>196</v>
      </c>
      <c r="G53" s="143" t="s">
        <v>197</v>
      </c>
      <c r="H53" s="143">
        <f>H52*G55</f>
        <v>26.890744652759437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3"/>
      <c r="F54" s="143">
        <v>1.17</v>
      </c>
      <c r="G54" s="143">
        <v>1.23</v>
      </c>
      <c r="H54" s="143"/>
    </row>
    <row r="55" spans="5:16">
      <c r="E55" s="143"/>
      <c r="F55" s="143"/>
      <c r="G55" s="143">
        <v>20.9</v>
      </c>
      <c r="H55" s="143"/>
    </row>
    <row r="56" spans="5:16">
      <c r="E56" s="143"/>
      <c r="F56" s="143"/>
      <c r="G56" s="143"/>
      <c r="H56" s="143"/>
    </row>
    <row r="57" spans="5:16">
      <c r="E57" s="143" t="s">
        <v>198</v>
      </c>
      <c r="F57" s="143"/>
      <c r="G57" s="143"/>
      <c r="H57" s="143"/>
    </row>
    <row r="58" spans="5:16">
      <c r="E58" s="143"/>
      <c r="F58" s="140">
        <f>F52</f>
        <v>1136.0999999999999</v>
      </c>
      <c r="G58" s="143">
        <v>7.4999999999999997E-2</v>
      </c>
      <c r="H58" s="143">
        <f>G58*F46</f>
        <v>10.012499999999999</v>
      </c>
    </row>
    <row r="59" spans="5:16">
      <c r="E59" s="143"/>
      <c r="F59" s="143" t="s">
        <v>196</v>
      </c>
      <c r="G59" s="143" t="s">
        <v>197</v>
      </c>
      <c r="H59" s="143">
        <f>H58/F58</f>
        <v>8.8130446263533137E-3</v>
      </c>
    </row>
    <row r="60" spans="5:16">
      <c r="E60" s="143"/>
      <c r="F60" s="143">
        <v>12.94</v>
      </c>
      <c r="G60" s="143">
        <v>13.45</v>
      </c>
      <c r="H60" s="143">
        <f>H59*G55</f>
        <v>0.18419263269078426</v>
      </c>
    </row>
    <row r="61" spans="5:16">
      <c r="E61" s="143" t="s">
        <v>199</v>
      </c>
      <c r="F61" s="143"/>
      <c r="G61" s="143"/>
      <c r="H61" s="143"/>
    </row>
    <row r="62" spans="5:16">
      <c r="E62" s="143"/>
      <c r="F62" s="140">
        <f>F52</f>
        <v>1136.0999999999999</v>
      </c>
      <c r="G62" s="143">
        <v>7.4999999999999997E-2</v>
      </c>
      <c r="H62" s="143">
        <f>G62*F46</f>
        <v>10.012499999999999</v>
      </c>
    </row>
    <row r="63" spans="5:16">
      <c r="E63" s="143"/>
      <c r="F63" s="143" t="s">
        <v>196</v>
      </c>
      <c r="G63" s="143" t="s">
        <v>197</v>
      </c>
      <c r="H63" s="143">
        <f>H62/F62</f>
        <v>8.8130446263533137E-3</v>
      </c>
    </row>
    <row r="64" spans="5:16">
      <c r="E64" s="143"/>
      <c r="F64" s="143">
        <v>15.73</v>
      </c>
      <c r="G64" s="143">
        <v>16.350000000000001</v>
      </c>
      <c r="H64" s="143">
        <f>H63*G55</f>
        <v>0.18419263269078426</v>
      </c>
    </row>
    <row r="65" spans="4:13" ht="18.75" customHeight="1">
      <c r="D65" s="104"/>
      <c r="E65" s="50"/>
      <c r="F65" s="51"/>
      <c r="G65" s="104"/>
      <c r="H65" s="104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3" ht="15.75">
      <c r="A1" s="71"/>
      <c r="B1" s="72" t="s">
        <v>33</v>
      </c>
      <c r="E1" s="61" t="s">
        <v>175</v>
      </c>
      <c r="F1" s="61">
        <v>1136.0999999999999</v>
      </c>
    </row>
    <row r="2" spans="1:13" ht="15.75" customHeight="1">
      <c r="A2" s="71" t="s">
        <v>80</v>
      </c>
      <c r="B2" s="73" t="s">
        <v>2</v>
      </c>
      <c r="C2" s="84">
        <v>0</v>
      </c>
      <c r="D2" s="82" t="s">
        <v>58</v>
      </c>
      <c r="E2" s="124">
        <v>5.45</v>
      </c>
      <c r="F2" s="125" t="s">
        <v>176</v>
      </c>
      <c r="G2" s="125"/>
      <c r="H2" s="125"/>
      <c r="I2" s="125"/>
      <c r="J2" s="125"/>
      <c r="K2" s="125"/>
      <c r="L2" s="125"/>
      <c r="M2" s="125"/>
    </row>
    <row r="3" spans="1:13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3" ht="15.75" customHeight="1">
      <c r="A4" s="71" t="s">
        <v>82</v>
      </c>
      <c r="B4" s="73" t="s">
        <v>4</v>
      </c>
      <c r="C4" s="84">
        <v>126084.46</v>
      </c>
      <c r="D4" s="82" t="s">
        <v>60</v>
      </c>
      <c r="E4" s="62"/>
      <c r="F4" s="62"/>
      <c r="G4" s="62"/>
      <c r="H4" s="62"/>
      <c r="I4" s="62"/>
      <c r="J4" s="62"/>
    </row>
    <row r="5" spans="1:13" ht="15.75" customHeight="1">
      <c r="A5" s="71" t="s">
        <v>83</v>
      </c>
      <c r="B5" s="73" t="s">
        <v>5</v>
      </c>
      <c r="C5" s="80">
        <f>SUM(C6:C8)</f>
        <v>275444.88</v>
      </c>
      <c r="D5" s="81" t="s">
        <v>59</v>
      </c>
      <c r="E5" s="62"/>
      <c r="F5" s="62"/>
      <c r="G5" s="62"/>
      <c r="H5" s="62"/>
      <c r="I5" s="62"/>
      <c r="J5" s="62"/>
    </row>
    <row r="6" spans="1:13" ht="15.75" customHeight="1">
      <c r="A6" s="71" t="s">
        <v>84</v>
      </c>
      <c r="B6" s="73" t="s">
        <v>6</v>
      </c>
      <c r="C6" s="84">
        <v>130935.1</v>
      </c>
      <c r="D6" s="82" t="s">
        <v>61</v>
      </c>
      <c r="E6" s="62"/>
      <c r="F6" s="62"/>
      <c r="G6" s="62"/>
      <c r="H6" s="62"/>
      <c r="I6" s="62"/>
      <c r="J6" s="62"/>
    </row>
    <row r="7" spans="1:13" ht="15.75" customHeight="1">
      <c r="A7" s="71" t="s">
        <v>85</v>
      </c>
      <c r="B7" s="73" t="s">
        <v>7</v>
      </c>
      <c r="C7" s="84">
        <f>F1*5.45*12</f>
        <v>74300.94</v>
      </c>
      <c r="D7" s="82" t="s">
        <v>62</v>
      </c>
      <c r="E7" s="62"/>
      <c r="F7" s="62"/>
      <c r="G7" s="62"/>
      <c r="H7" s="62"/>
      <c r="I7" s="62"/>
      <c r="J7" s="62"/>
    </row>
    <row r="8" spans="1:13" ht="15.75" customHeight="1">
      <c r="A8" s="71" t="s">
        <v>86</v>
      </c>
      <c r="B8" s="73" t="s">
        <v>8</v>
      </c>
      <c r="C8" s="84">
        <v>70208.84</v>
      </c>
      <c r="D8" s="82" t="s">
        <v>63</v>
      </c>
      <c r="E8" s="62"/>
      <c r="F8" s="62"/>
      <c r="G8" s="62"/>
      <c r="H8" s="62"/>
      <c r="I8" s="62"/>
      <c r="J8" s="62"/>
    </row>
    <row r="9" spans="1:13" ht="15.75" customHeight="1">
      <c r="A9" s="71" t="s">
        <v>87</v>
      </c>
      <c r="B9" s="73" t="s">
        <v>9</v>
      </c>
      <c r="C9" s="80">
        <f>SUM(C10:C14)</f>
        <v>286467.07</v>
      </c>
      <c r="D9" s="81" t="s">
        <v>59</v>
      </c>
      <c r="E9" s="62"/>
      <c r="F9" s="62"/>
      <c r="G9" s="62"/>
      <c r="H9" s="62"/>
      <c r="I9" s="62"/>
      <c r="J9" s="62"/>
    </row>
    <row r="10" spans="1:13" ht="15.75" customHeight="1">
      <c r="A10" s="71" t="s">
        <v>88</v>
      </c>
      <c r="B10" s="73" t="s">
        <v>10</v>
      </c>
      <c r="C10" s="84">
        <v>286467.07</v>
      </c>
      <c r="D10" s="82" t="s">
        <v>64</v>
      </c>
      <c r="E10" s="62"/>
      <c r="F10" s="62"/>
      <c r="G10" s="62"/>
      <c r="H10" s="62"/>
      <c r="I10" s="62"/>
      <c r="J10" s="62"/>
    </row>
    <row r="11" spans="1:13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3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3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3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3" ht="15.75" customHeight="1">
      <c r="A15" s="71" t="s">
        <v>93</v>
      </c>
      <c r="B15" s="73" t="s">
        <v>15</v>
      </c>
      <c r="C15" s="80">
        <f>C9</f>
        <v>286467.07</v>
      </c>
      <c r="D15" s="81" t="s">
        <v>59</v>
      </c>
      <c r="E15" s="62"/>
      <c r="F15" s="62"/>
      <c r="G15" s="62"/>
      <c r="H15" s="62"/>
      <c r="I15" s="62"/>
      <c r="J15" s="62"/>
    </row>
    <row r="16" spans="1:13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115062.27000000002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103</v>
      </c>
      <c r="B27" s="76" t="s">
        <v>4</v>
      </c>
      <c r="C27" s="87">
        <v>60575.4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106</v>
      </c>
      <c r="B30" s="76" t="s">
        <v>18</v>
      </c>
      <c r="C30" s="87">
        <v>46035.07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21715.38</v>
      </c>
      <c r="F37" s="95" t="s">
        <v>165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18096.150000000001</v>
      </c>
      <c r="D38" s="95" t="s">
        <v>163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22080.25</v>
      </c>
      <c r="D39" s="95" t="s">
        <v>164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21715.38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21715.38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38504.86</v>
      </c>
      <c r="F45" s="95" t="s">
        <v>165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2917.03</v>
      </c>
      <c r="D46" s="95" t="s">
        <v>166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39077.1</v>
      </c>
      <c r="D47" s="95" t="s">
        <v>164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38504.86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38504.86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77010.19</v>
      </c>
      <c r="F53" s="95" t="s">
        <v>165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4801.13</v>
      </c>
      <c r="D54" s="95" t="s">
        <v>166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76468</v>
      </c>
      <c r="D55" s="95" t="s">
        <v>164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542.19000000000233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77010.19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77010.19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24359.45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1845.41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38504.86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24359.45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24359.45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6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83357.38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2022-03-25T06:29:19Z</dcterms:modified>
</cp:coreProperties>
</file>