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H59" i="2" s="1"/>
  <c r="H60" i="2" s="1"/>
  <c r="F58" i="2"/>
  <c r="H52" i="2"/>
  <c r="H53" i="2" s="1"/>
  <c r="B46" i="2"/>
  <c r="H63" i="2" l="1"/>
  <c r="H64" i="2" s="1"/>
  <c r="G1" i="2"/>
  <c r="C7" i="3" l="1"/>
  <c r="L6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5" i="1"/>
  <c r="G102" i="1"/>
  <c r="F102" i="1"/>
  <c r="J101" i="1"/>
  <c r="J96" i="1"/>
  <c r="J95" i="1"/>
  <c r="A101" i="1"/>
  <c r="G94" i="1"/>
  <c r="K94" i="1"/>
  <c r="A119" i="1" l="1"/>
  <c r="A114" i="1"/>
  <c r="A109" i="1"/>
  <c r="A110" i="1"/>
  <c r="A111" i="1"/>
  <c r="A122" i="1"/>
  <c r="A118" i="1"/>
  <c r="A123" i="1"/>
  <c r="A97" i="1"/>
  <c r="D118" i="1"/>
  <c r="A120" i="1"/>
  <c r="A124" i="1"/>
  <c r="A141" i="1"/>
  <c r="A96" i="1"/>
  <c r="F134" i="1"/>
  <c r="D94" i="1"/>
  <c r="F94" i="1"/>
  <c r="A100" i="1"/>
  <c r="F118" i="1"/>
  <c r="A121" i="1"/>
  <c r="A137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<sst xmlns="http://schemas.openxmlformats.org/spreadsheetml/2006/main" count="555" uniqueCount="202">
  <si>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</si>
  <si>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</si>
  <si>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</si>
  <si>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</si>
  <si>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</si>
  <si>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</si>
  <si>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</si>
  <si>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</si>
  <si>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</si>
  <si>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</si>
  <si>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</si>
  <si>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</si>
  <si>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</si>
  <si>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</si>
  <si>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</si>
  <si>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</si>
  <si>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</si>
  <si>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</si>
  <si>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</si>
  <si>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</si>
  <si>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</si>
  <si>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</si>
  <si>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</si>
  <si>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</si>
  <si>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</si>
  <si>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</si>
  <si>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</si>
  <si>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</si>
  <si>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</si>
  <si>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</si>
  <si>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</si>
  <si>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</si>
  <si>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</si>
  <si>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</si>
  <si>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</si>
  <si>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</si>
  <si>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</si>
  <si>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</si>
  <si>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</si>
  <si>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</si>
  <si>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</si>
  <si>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</si>
  <si>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</si>
  <si>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</si>
  <si>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</si>
  <si>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</si>
  <si>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</si>
  <si>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</si>
  <si>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</si>
  <si>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</si>
  <si>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</si>
  <si>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</si>
  <si>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</si>
  <si>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</si>
  <si>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</si>
  <si>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</si>
  <si>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</si>
  <si>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</si>
  <si>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</si>
  <si>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</si>
  <si>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</si>
  <si>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</si>
  <si>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</si>
  <si>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</si>
  <si>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</si>
  <si>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</si>
  <si>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</si>
  <si>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</si>
  <si>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</si>
  <si>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</si>
  <si>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</si>
  <si>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</si>
  <si>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</si>
  <si>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</si>
  <si>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</si>
  <si>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</si>
  <si>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</si>
  <si>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</si>
  <si>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</si>
  <si>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</si>
  <si>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</si>
  <si>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</si>
  <si>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</si>
  <si>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</si>
  <si>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</si>
  <si>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</si>
  <si>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</si>
  <si>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</si>
  <si>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</si>
  <si>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</si>
  <si>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</si>
  <si>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</si>
  <si>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</si>
  <si>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</si>
  <si>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</si>
  <si>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</si>
  <si>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</si>
  <si>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</si>
  <si>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</si>
  <si>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</si>
  <si>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</si>
  <si>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</si>
  <si>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</si>
  <si>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</si>
  <si>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</si>
  <si>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</si>
  <si>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</si>
  <si>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</si>
  <si>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</si>
  <si>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</si>
  <si>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</si>
  <si>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</si>
  <si>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</si>
  <si>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</si>
  <si>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</si>
  <si>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</si>
  <si>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</si>
  <si>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</si>
  <si>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</si>
  <si>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</si>
  <si>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</si>
  <si>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</si>
  <si>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</si>
  <si>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</si>
  <si>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</si>
  <si>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</si>
  <si>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</si>
  <si>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</si>
  <si>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</si>
  <si>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</si>
  <si>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</si>
  <si>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</si>
  <si>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</si>
  <si>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</si>
  <si>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</si>
  <si>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</si>
  <si>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</si>
  <si>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</si>
  <si>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</si>
  <si>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</si>
  <si>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</si>
  <si>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</si>
  <si>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</si>
  <si>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</si>
  <si>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</si>
  <si>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</si>
  <si>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</si>
  <si>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</si>
  <si>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</si>
  <si>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</si>
  <si>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</si>
  <si>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</si>
  <si>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</si>
  <si>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</si>
  <si>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</si>
  <si>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</si>
  <si>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</si>
  <si>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</si>
  <si>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</si>
  <si>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</si>
  <si>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</si>
  <si>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</si>
  <si>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</si>
  <si>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</si>
  <si>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</si>
  <si>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</si>
  <si>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</si>
  <si>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</si>
  <si>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</si>
  <si>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</si>
  <si>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</si>
  <si>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</si>
  <si>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</si>
  <si>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79</t>
  </si>
  <si>
    <t>ежемесячно</t>
  </si>
  <si>
    <t>площадь дома</t>
  </si>
  <si>
    <t>Отчет об исполнении договора управления многоквартирного дома 
Березовый, 79 в части текущего ремонта</t>
  </si>
  <si>
    <t>Техническое обслуживание охранной сигнализации.</t>
  </si>
  <si>
    <t>Работы и услуги по управлению МКД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</si>
  <si>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</si>
  <si>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</si>
  <si>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</si>
  <si>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</si>
  <si>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</si>
  <si>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Замена аккумулятора охранной сигнализации.</t>
  </si>
  <si>
    <t>разово</t>
  </si>
  <si>
    <t>Приобретение платы "Цербер" системы охранной сигнализации.</t>
  </si>
  <si>
    <t>АВР 2/21 от 20.05.2021, счет №3493 от 18.05.2021</t>
  </si>
  <si>
    <t>АВР 1/21 от 26.01.2021, счет №4112 от 26.01.2021</t>
  </si>
  <si>
    <t>Приобретение и установка информационного стенда на детскую площадку.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</si>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</sst>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7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0" fontId="17" fillId="0" borderId="0" xfId="4" applyFill="1" applyBorder="1" applyAlignment="1">
      <alignment horizontal="center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0" fontId="16" fillId="0" borderId="0" xfId="2" applyFont="1" applyFill="1" applyBorder="1" applyAlignment="1"/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15" fillId="0" borderId="0" xfId="5" applyFill="1" applyBorder="1" applyAlignment="1">
      <alignment horizontal="center" vertical="center"/>
    </xf>
    <xf numFmtId="0" fontId="15" fillId="0" borderId="0" xfId="5" applyFill="1" applyBorder="1" applyAlignment="1">
      <alignment horizontal="center"/>
    </xf>
    <xf numFmtId="4" fontId="15" fillId="0" borderId="0" xfId="5" applyNumberFormat="1" applyBorder="1" applyAlignment="1"/>
    <xf numFmtId="4" fontId="20" fillId="0" borderId="5" xfId="0" applyNumberFormat="1" applyFont="1" applyBorder="1" applyAlignment="1">
      <alignment horizontal="center" vertical="center" wrapText="1"/>
    </xf>
    <xf numFmtId="0" fontId="12" fillId="0" borderId="0" xfId="5" applyFont="1" applyFill="1" applyBorder="1" applyAlignment="1"/>
    <xf numFmtId="0" fontId="30" fillId="0" borderId="0" xfId="10" applyFont="1" applyFill="1" applyBorder="1" applyAlignment="1">
      <alignment horizontal="center"/>
    </xf>
    <xf numFmtId="4" fontId="30" fillId="0" borderId="0" xfId="10" applyNumberFormat="1" applyFont="1" applyFill="1" applyBorder="1" applyAlignment="1"/>
    <xf numFmtId="4" fontId="30" fillId="0" borderId="0" xfId="0" applyNumberFormat="1" applyFont="1" applyFill="1" applyBorder="1" applyAlignment="1">
      <alignment horizontal="left"/>
    </xf>
    <xf numFmtId="0" fontId="10" fillId="0" borderId="0" xfId="4" applyFont="1" applyFill="1" applyBorder="1" applyAlignment="1">
      <alignment horizontal="center"/>
    </xf>
    <xf numFmtId="0" fontId="13" fillId="0" borderId="0" xfId="7"/>
    <xf numFmtId="0" fontId="7" fillId="0" borderId="0" xfId="10" applyFont="1" applyFill="1" applyBorder="1" applyAlignment="1"/>
    <xf numFmtId="0" fontId="9" fillId="0" borderId="0" xfId="10" applyFont="1" applyFill="1" applyBorder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0" fillId="0" borderId="0" xfId="0" applyFill="1" applyBorder="1"/>
    <xf numFmtId="0" fontId="4" fillId="0" borderId="0" xfId="17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4" fillId="0" borderId="0" xfId="18" applyNumberFormat="1" applyFill="1" applyBorder="1" applyAlignment="1"/>
    <xf numFmtId="0" fontId="4" fillId="0" borderId="0" xfId="19" applyFont="1" applyFill="1" applyBorder="1"/>
    <xf numFmtId="4" fontId="0" fillId="0" borderId="0" xfId="0" applyNumberFormat="1" applyBorder="1" applyAlignment="1">
      <alignment horizontal="center"/>
    </xf>
    <xf numFmtId="4" fontId="32" fillId="3" borderId="0" xfId="20" applyNumberFormat="1" applyFont="1" applyFill="1" applyBorder="1" applyAlignment="1">
      <alignment horizontal="left" vertical="center" wrapText="1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8"/>
    <cellStyle name="Обычный 2 5 2" xfId="20"/>
    <cellStyle name="Обычный 3" xfId="2"/>
    <cellStyle name="Обычный 3 2" xfId="14"/>
    <cellStyle name="Обычный 3 3" xfId="15"/>
    <cellStyle name="Обычный 3 4" xfId="13"/>
    <cellStyle name="Обычный 3 5" xfId="9"/>
    <cellStyle name="Обычный 3 6" xfId="17"/>
    <cellStyle name="Обычный 4" xfId="4"/>
    <cellStyle name="Обычный 4 2" xfId="10"/>
    <cellStyle name="Обычный 4 3" xfId="18"/>
    <cellStyle name="Обычный 5" xfId="5"/>
    <cellStyle name="Обычный 5 2" xfId="11"/>
    <cellStyle name="Обычный 5 4" xfId="16"/>
    <cellStyle name="Обычный 5 7" xfId="19"/>
    <cellStyle name="Обычный 6" xfId="6"/>
    <cellStyle name="Обычный 7" xfId="7"/>
    <cellStyle name="Финансовый 2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4" sqref="K4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9" t="s">
        <v>173</v>
      </c>
      <c r="B2" s="169"/>
      <c r="C2" s="169"/>
      <c r="D2" s="169"/>
      <c r="E2" s="169"/>
      <c r="F2" s="169"/>
      <c r="G2" s="169"/>
      <c r="H2" s="169"/>
      <c r="I2" s="169"/>
      <c r="J2" s="169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10"/>
      <c r="L8" s="170"/>
      <c r="M8" s="110"/>
      <c r="N8" s="110"/>
      <c r="O8" s="71" t="s">
        <v>80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10"/>
      <c r="L9" s="170"/>
      <c r="M9" s="110"/>
      <c r="N9" s="110"/>
      <c r="O9" s="71" t="s">
        <v>81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111746.02</v>
      </c>
      <c r="K10" s="110"/>
      <c r="L10" s="170"/>
      <c r="M10" s="110"/>
      <c r="N10" s="110"/>
      <c r="O10" s="71" t="s">
        <v>82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253681.03999999998</v>
      </c>
      <c r="K11" s="110"/>
      <c r="L11" s="170"/>
      <c r="M11" s="110"/>
      <c r="N11" s="110"/>
      <c r="O11" s="71" t="s">
        <v>83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206634.08</v>
      </c>
      <c r="K12" s="110"/>
      <c r="L12" s="170"/>
      <c r="M12" s="110"/>
      <c r="N12" s="110"/>
      <c r="O12" s="71" t="s">
        <v>84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47046.960000000006</v>
      </c>
      <c r="K13" s="110"/>
      <c r="L13" s="170"/>
      <c r="M13" s="110"/>
      <c r="N13" s="110"/>
      <c r="O13" s="71" t="s">
        <v>85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10"/>
      <c r="L14" s="170"/>
      <c r="M14" s="110"/>
      <c r="N14" s="110"/>
      <c r="O14" s="71" t="s">
        <v>86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242529.89</v>
      </c>
      <c r="K15" s="110"/>
      <c r="L15" s="170"/>
      <c r="M15" s="110"/>
      <c r="N15" s="110"/>
      <c r="O15" s="71" t="s">
        <v>87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242529.89</v>
      </c>
      <c r="K16" s="110"/>
      <c r="L16" s="170"/>
      <c r="M16" s="110"/>
      <c r="N16" s="110"/>
      <c r="O16" s="71" t="s">
        <v>88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10"/>
      <c r="L17" s="170"/>
      <c r="M17" s="110"/>
      <c r="N17" s="110"/>
      <c r="O17" s="71" t="s">
        <v>89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10"/>
      <c r="L18" s="170"/>
      <c r="M18" s="110"/>
      <c r="N18" s="110"/>
      <c r="O18" s="71" t="s">
        <v>90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10"/>
      <c r="L19" s="170"/>
      <c r="M19" s="110"/>
      <c r="N19" s="110"/>
      <c r="O19" s="71" t="s">
        <v>91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10"/>
      <c r="L20" s="170"/>
      <c r="M20" s="110"/>
      <c r="N20" s="110"/>
      <c r="O20" s="71" t="s">
        <v>92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242529.89</v>
      </c>
      <c r="K21" s="110"/>
      <c r="L21" s="170"/>
      <c r="M21" s="110"/>
      <c r="N21" s="110"/>
      <c r="O21" s="71" t="s">
        <v>93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10"/>
      <c r="L22" s="170"/>
      <c r="M22" s="110"/>
      <c r="N22" s="110"/>
      <c r="O22" s="71" t="s">
        <v>94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10"/>
      <c r="L23" s="170"/>
      <c r="M23" s="110"/>
      <c r="N23" s="110"/>
      <c r="O23" s="71" t="s">
        <v>95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122897.16999999998</v>
      </c>
      <c r="K24" s="110"/>
      <c r="L24" s="170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0"/>
      <c r="L27" s="171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43365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0"/>
      <c r="L28" s="171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Работы и услуги по управлению МКД</v>
      </c>
      <c r="B29" s="147"/>
      <c r="C29" s="147"/>
      <c r="D29" s="147"/>
      <c r="E29" s="147"/>
      <c r="F29" s="148">
        <f>VLOOKUP(A29,ПТО!$A$39:$D$53,2,FALSE)</f>
        <v>68184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0"/>
      <c r="L29" s="171"/>
      <c r="M29" s="110"/>
      <c r="N29" s="110"/>
      <c r="O29" s="23" t="str">
        <f t="shared" si="1"/>
        <v>Работы и услуги по управлению МКД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29182.800000000003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0"/>
      <c r="L30" s="171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16364.16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0"/>
      <c r="L31" s="171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0"/>
      <c r="L32" s="171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6954.7199999999993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0"/>
      <c r="L33" s="171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30682.800000000003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0"/>
      <c r="L34" s="171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7" t="str">
        <f>ПТО!A46</f>
        <v>Коммунальные ресурсы на содержание общего имущества</v>
      </c>
      <c r="B35" s="147"/>
      <c r="C35" s="147"/>
      <c r="D35" s="147"/>
      <c r="E35" s="147"/>
      <c r="F35" s="148">
        <f>VLOOKUP(A35,ПТО!$A$39:$D$53,2,FALSE)</f>
        <v>24405.588449999996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0"/>
      <c r="L35" s="171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0"/>
      <c r="L36" s="171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0"/>
      <c r="L37" s="171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0"/>
      <c r="L38" s="171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0"/>
      <c r="L39" s="171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0"/>
      <c r="L40" s="171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0"/>
      <c r="L41" s="171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0"/>
      <c r="L42" s="171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обслуживание охранной сигнализации.</v>
      </c>
      <c r="B43" s="147"/>
      <c r="C43" s="147"/>
      <c r="D43" s="147"/>
      <c r="E43" s="147"/>
      <c r="F43" s="148">
        <f>VLOOKUP(A43,ПТО!$A$2:$D$31,4,FALSE)</f>
        <v>5415.12</v>
      </c>
      <c r="G43" s="148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0"/>
      <c r="L43" s="171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7" t="str">
        <f>ПТО!A3</f>
        <v>Замена аккумулятора охранной сигнализации.</v>
      </c>
      <c r="B44" s="147"/>
      <c r="C44" s="147"/>
      <c r="D44" s="147"/>
      <c r="E44" s="147"/>
      <c r="F44" s="148">
        <f>VLOOKUP(A44,ПТО!$A$2:$D$31,4,FALSE)</f>
        <v>300</v>
      </c>
      <c r="G44" s="148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0"/>
      <c r="L44" s="171"/>
      <c r="M44" s="117"/>
      <c r="N44" s="110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47" t="str">
        <f>ПТО!A4</f>
        <v>Приобретение платы "Цербер" системы охранной сигнализации.</v>
      </c>
      <c r="B45" s="147"/>
      <c r="C45" s="147"/>
      <c r="D45" s="147"/>
      <c r="E45" s="147"/>
      <c r="F45" s="148">
        <f>VLOOKUP(A45,ПТО!$A$2:$D$31,4,FALSE)</f>
        <v>2131.25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0"/>
      <c r="L45" s="171"/>
      <c r="M45" s="117"/>
      <c r="N45" s="110"/>
      <c r="O45" s="23" t="str">
        <f t="shared" si="1"/>
        <v>Приобретение платы "Цербер" системы охранной сигнализации.</v>
      </c>
      <c r="R45" s="22" t="s">
        <v>72</v>
      </c>
    </row>
    <row r="46" spans="1:18" ht="51" customHeight="1" outlineLevel="1">
      <c r="A46" s="147" t="str">
        <f>ПТО!A5</f>
        <v>Приобретение и установка информационного стенда на детскую площадку.</v>
      </c>
      <c r="B46" s="147"/>
      <c r="C46" s="147"/>
      <c r="D46" s="147"/>
      <c r="E46" s="147"/>
      <c r="F46" s="148">
        <f>VLOOKUP(A46,ПТО!$A$2:$D$31,4,FALSE)</f>
        <v>542.4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0"/>
      <c r="L46" s="171"/>
      <c r="M46" s="117"/>
      <c r="N46" s="110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47" t="str">
        <f>ПТО!A6</f>
        <v>Перерасчет по итогам 2021 года.</v>
      </c>
      <c r="B47" s="147"/>
      <c r="C47" s="147"/>
      <c r="D47" s="147"/>
      <c r="E47" s="147"/>
      <c r="F47" s="148">
        <f>VLOOKUP(A47,ПТО!$A$2:$D$31,4,FALSE)</f>
        <v>65411.93</v>
      </c>
      <c r="G47" s="148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0"/>
      <c r="L47" s="171"/>
      <c r="M47" s="117"/>
      <c r="N47" s="110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10"/>
      <c r="L48" s="171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10"/>
      <c r="L49" s="171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0"/>
      <c r="L50" s="171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0"/>
      <c r="L51" s="171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0"/>
      <c r="L52" s="171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0"/>
      <c r="L53" s="171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0"/>
      <c r="L54" s="171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0"/>
      <c r="L55" s="171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0"/>
      <c r="L56" s="171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0"/>
      <c r="L57" s="171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0"/>
      <c r="L58" s="171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0"/>
      <c r="L59" s="171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0"/>
      <c r="L60" s="171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0"/>
      <c r="L61" s="171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0"/>
      <c r="L62" s="171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0"/>
      <c r="L63" s="171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0"/>
      <c r="L64" s="171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0"/>
      <c r="L65" s="171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0"/>
      <c r="L66" s="171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0"/>
      <c r="L67" s="171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0"/>
      <c r="L68" s="171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0"/>
      <c r="L69" s="171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0"/>
      <c r="L70" s="171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7"/>
      <c r="L71" s="171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0"/>
      <c r="L72" s="171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0"/>
      <c r="L75" s="154"/>
      <c r="M75" s="110"/>
      <c r="N75" s="110"/>
      <c r="O75" s="71" t="s">
        <v>97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0"/>
      <c r="L76" s="154"/>
      <c r="M76" s="110"/>
      <c r="N76" s="110"/>
      <c r="O76" s="71" t="s">
        <v>98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0"/>
      <c r="L77" s="154"/>
      <c r="M77" s="110"/>
      <c r="N77" s="110"/>
      <c r="O77" s="71" t="s">
        <v>99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8">
        <f>VLOOKUP(O78,АО,3,FALSE)</f>
        <v>0</v>
      </c>
      <c r="K78" s="110"/>
      <c r="L78" s="154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8">
        <f t="shared" ref="J81:J90" si="2">VLOOKUP(O81,АО,3,FALSE)</f>
        <v>0</v>
      </c>
      <c r="K81" s="110"/>
      <c r="L81" s="172"/>
      <c r="M81" s="110"/>
      <c r="N81" s="110"/>
      <c r="O81" s="71" t="s">
        <v>101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8">
        <f t="shared" si="2"/>
        <v>0</v>
      </c>
      <c r="K82" s="110"/>
      <c r="L82" s="172"/>
      <c r="M82" s="110"/>
      <c r="N82" s="110"/>
      <c r="O82" s="71" t="s">
        <v>102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135929.19</v>
      </c>
      <c r="K83" s="110"/>
      <c r="L83" s="172"/>
      <c r="M83" s="110"/>
      <c r="N83" s="110"/>
      <c r="O83" s="71" t="s">
        <v>103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0"/>
      <c r="L84" s="172"/>
      <c r="M84" s="110"/>
      <c r="N84" s="110"/>
      <c r="O84" s="71" t="s">
        <v>104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0"/>
      <c r="L85" s="172"/>
      <c r="M85" s="110"/>
      <c r="N85" s="110"/>
      <c r="O85" s="71" t="s">
        <v>105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149800.94</v>
      </c>
      <c r="K86" s="110"/>
      <c r="L86" s="172"/>
      <c r="M86" s="110"/>
      <c r="N86" s="110"/>
      <c r="O86" s="71" t="s">
        <v>106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0"/>
      <c r="L87" s="172"/>
      <c r="M87" s="110"/>
      <c r="N87" s="110"/>
      <c r="O87" s="71" t="s">
        <v>107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0"/>
      <c r="L88" s="172"/>
      <c r="M88" s="110"/>
      <c r="N88" s="110"/>
      <c r="O88" s="71" t="s">
        <v>108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0"/>
      <c r="L89" s="172"/>
      <c r="M89" s="110"/>
      <c r="N89" s="110"/>
      <c r="O89" s="71" t="s">
        <v>109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0"/>
      <c r="L90" s="172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6" t="s">
        <v>48</v>
      </c>
      <c r="B93" s="156"/>
      <c r="C93" s="156"/>
      <c r="D93" s="159" t="s">
        <v>49</v>
      </c>
      <c r="E93" s="159"/>
      <c r="F93" s="10" t="s">
        <v>50</v>
      </c>
      <c r="G93" s="156" t="s">
        <v>51</v>
      </c>
      <c r="H93" s="156"/>
      <c r="I93" s="156"/>
      <c r="J93" s="156"/>
      <c r="K93" s="110"/>
      <c r="L93" s="110"/>
      <c r="M93" s="110"/>
      <c r="N93" s="110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7">
        <f>VLOOKUP("эл",АО,5,FALSE)</f>
        <v>22239.45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18532.88</v>
      </c>
      <c r="L95" s="173"/>
      <c r="O95" s="1" t="s">
        <v>111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20123.04</v>
      </c>
      <c r="L96" s="173"/>
      <c r="O96" s="1" t="s">
        <v>112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2116.41</v>
      </c>
      <c r="L97" s="173"/>
      <c r="O97" s="1" t="s">
        <v>113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22239.45</v>
      </c>
      <c r="L98" s="173"/>
      <c r="O98" s="1" t="s">
        <v>114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22239.45</v>
      </c>
      <c r="L99" s="173"/>
      <c r="O99" s="1" t="s">
        <v>115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116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117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43852.05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3322.13</v>
      </c>
      <c r="L103" s="173"/>
      <c r="O103" s="1" t="s">
        <v>120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40116.410000000003</v>
      </c>
      <c r="L104" s="173"/>
      <c r="O104" s="1" t="s">
        <v>121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3735.6399999999994</v>
      </c>
      <c r="L105" s="173"/>
      <c r="O105" s="1" t="s">
        <v>122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43852.05</v>
      </c>
      <c r="L106" s="173"/>
      <c r="O106" s="1" t="s">
        <v>123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43852.05</v>
      </c>
      <c r="L107" s="173"/>
      <c r="O107" s="1" t="s">
        <v>124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125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126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92596.13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5772.83</v>
      </c>
      <c r="L111" s="173"/>
      <c r="O111" s="1" t="s">
        <v>128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86004.37</v>
      </c>
      <c r="L112" s="173"/>
      <c r="O112" s="1" t="s">
        <v>129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6591.7600000000093</v>
      </c>
      <c r="L113" s="173"/>
      <c r="O113" s="1" t="s">
        <v>130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92596.13</v>
      </c>
      <c r="L114" s="173"/>
      <c r="O114" s="1" t="s">
        <v>131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92596.13</v>
      </c>
      <c r="L115" s="173"/>
      <c r="O115" s="1" t="s">
        <v>132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133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134</v>
      </c>
    </row>
    <row r="118" spans="1:15" ht="32.25" hidden="1" customHeight="1" outlineLevel="1">
      <c r="A118" s="160">
        <f>IF(VLOOKUP("тко",АО,3,FALSE)&gt;0,"Обращение с ТКО",0)</f>
        <v>0</v>
      </c>
      <c r="B118" s="160"/>
      <c r="C118" s="160"/>
      <c r="D118" s="158">
        <f>IF(VLOOKUP("тко",АО,3,FALSE)&gt;0,VLOOKUP("тко",АО,3,FALSE),0)</f>
        <v>0</v>
      </c>
      <c r="E118" s="158"/>
      <c r="F118" s="13">
        <f>IF(VLOOKUP("тко",АО,3,FALSE)&gt;0,VLOOKUP("тко",АО,4,FALSE),0)</f>
        <v>0</v>
      </c>
      <c r="G118" s="157">
        <f>VLOOKUP("тко",АО,5,FALSE)</f>
        <v>0</v>
      </c>
      <c r="H118" s="158"/>
      <c r="I118" s="158"/>
      <c r="J118" s="158"/>
      <c r="L118" s="48"/>
    </row>
    <row r="119" spans="1:15" ht="32.25" hidden="1" customHeight="1" outlineLevel="2">
      <c r="A119" s="155">
        <f t="shared" ref="A119:A125" si="8">IF(VLOOKUP("тко",АО,3,FALSE)&gt;0,VLOOKUP(O119,АО,2,FALSE),0)</f>
        <v>0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5">
        <f t="shared" si="8"/>
        <v>0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5">
        <f t="shared" si="8"/>
        <v>0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5">
        <f t="shared" si="8"/>
        <v>0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5">
        <f t="shared" si="8"/>
        <v>0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5">
        <f t="shared" si="8"/>
        <v>0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5">
        <f t="shared" si="8"/>
        <v>0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60" t="str">
        <f>IF(VLOOKUP("гвс",АО,3,FALSE)&gt;0,"Горячее водоснабжение",0)</f>
        <v>Горячее водоснабжение</v>
      </c>
      <c r="B126" s="160"/>
      <c r="C126" s="160"/>
      <c r="D126" s="158" t="str">
        <f>IF(VLOOKUP("гвс",АО,3,FALSE)&gt;0,VLOOKUP("гвс",АО,3,FALSE),0)</f>
        <v>Предоставляется</v>
      </c>
      <c r="E126" s="158"/>
      <c r="F126" s="13" t="str">
        <f>IF(VLOOKUP("гвс",АО,3,FALSE)&gt;0,VLOOKUP("гвс",АО,4,FALSE),0)</f>
        <v>куб.м.</v>
      </c>
      <c r="G126" s="157">
        <f>VLOOKUP("гвс",АО,5,FALSE)</f>
        <v>31421.27</v>
      </c>
      <c r="H126" s="158"/>
      <c r="I126" s="158"/>
      <c r="J126" s="158"/>
      <c r="L126" s="48"/>
    </row>
    <row r="127" spans="1:15" ht="32.25" customHeight="1" outlineLevel="2">
      <c r="A127" s="155" t="str">
        <f t="shared" ref="A127:A133" si="10">IF(VLOOKUP("гвс",АО,3,FALSE)&gt;0,VLOOKUP(O127,АО,2,FALSE),0)</f>
        <v>Общий объем потребления, нат. показ.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2380.4</v>
      </c>
      <c r="L127" s="48"/>
      <c r="O127" s="1" t="s">
        <v>144</v>
      </c>
    </row>
    <row r="128" spans="1:15" ht="32.25" customHeight="1" outlineLevel="2">
      <c r="A128" s="155" t="str">
        <f t="shared" si="10"/>
        <v>Оплачено потребителями, руб.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29993.33</v>
      </c>
      <c r="L128" s="48"/>
      <c r="O128" s="1" t="s">
        <v>145</v>
      </c>
    </row>
    <row r="129" spans="1:15" ht="32.25" customHeight="1" outlineLevel="2">
      <c r="A129" s="155" t="str">
        <f t="shared" si="10"/>
        <v>Задолженность потребителей, руб.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1427.9399999999987</v>
      </c>
      <c r="L129" s="48"/>
      <c r="O129" s="1" t="s">
        <v>146</v>
      </c>
    </row>
    <row r="130" spans="1:15" ht="32.25" customHeight="1" outlineLevel="2">
      <c r="A130" s="155" t="str">
        <f t="shared" si="10"/>
        <v>Начислено поставщиком (поставщиками) коммунального ресурса, руб.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31421.27</v>
      </c>
      <c r="L130" s="48"/>
      <c r="O130" s="1" t="s">
        <v>147</v>
      </c>
    </row>
    <row r="131" spans="1:15" ht="32.25" customHeight="1" outlineLevel="2">
      <c r="A131" s="155" t="str">
        <f t="shared" si="10"/>
        <v>Оплачено поставщику (поставщикам) коммунального ресурса, руб.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31421.27</v>
      </c>
      <c r="L131" s="48"/>
      <c r="O131" s="1" t="s">
        <v>148</v>
      </c>
    </row>
    <row r="132" spans="1:15" ht="32.25" customHeight="1" outlineLevel="2">
      <c r="A132" s="155" t="str">
        <f t="shared" si="10"/>
        <v>Задолженность перед поставщиком (поставщиками) коммунального ресурса, руб.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55" t="str">
        <f t="shared" si="10"/>
        <v>Размер пени и штрафов, уплаченных поставщику (поставщикам) коммунального ресурса, руб.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8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5" t="s">
        <v>45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2</v>
      </c>
      <c r="O144" t="s">
        <v>168</v>
      </c>
    </row>
    <row r="145" spans="1:15" ht="18.75" customHeight="1" outlineLevel="1">
      <c r="A145" s="155" t="s">
        <v>46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8</v>
      </c>
      <c r="L145" s="15"/>
      <c r="O145" t="s">
        <v>169</v>
      </c>
    </row>
    <row r="146" spans="1:15" ht="30" customHeight="1" outlineLevel="1">
      <c r="A146" s="155" t="s">
        <v>171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73920.86</v>
      </c>
      <c r="O146" t="s">
        <v>170</v>
      </c>
    </row>
    <row r="149" spans="1:15" ht="52.5" customHeight="1">
      <c r="A149" s="151" t="s">
        <v>176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0" t="s">
        <v>183</v>
      </c>
      <c r="B154" s="150"/>
      <c r="C154" s="150"/>
      <c r="D154" s="150"/>
      <c r="E154" s="27">
        <f>ПТО!G1</f>
        <v>-26753.74</v>
      </c>
    </row>
    <row r="155" spans="1:15" ht="34.5" customHeight="1">
      <c r="A155" s="152" t="s">
        <v>182</v>
      </c>
      <c r="B155" s="152"/>
      <c r="C155" s="152"/>
      <c r="D155" s="152"/>
      <c r="E155" s="28">
        <f>J13</f>
        <v>47046.960000000006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7" t="str">
        <f t="shared" ref="A158:A163" si="14">IF(N158&gt;0,N158,0)</f>
        <v>Техническое обслуживание охранной сигнализации.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5415.12</v>
      </c>
      <c r="G158" s="148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7" t="str">
        <f t="shared" si="14"/>
        <v>Замена аккумулятора охранной сигнализации.</v>
      </c>
      <c r="B159" s="147"/>
      <c r="C159" s="147"/>
      <c r="D159" s="147"/>
      <c r="E159" s="147"/>
      <c r="F159" s="148">
        <f t="shared" si="15"/>
        <v>300</v>
      </c>
      <c r="G159" s="148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47" t="str">
        <f t="shared" si="14"/>
        <v>Приобретение платы "Цербер" системы охранной сигнализации.</v>
      </c>
      <c r="B160" s="147"/>
      <c r="C160" s="147"/>
      <c r="D160" s="147"/>
      <c r="E160" s="147"/>
      <c r="F160" s="148">
        <f t="shared" si="15"/>
        <v>2131.25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Приобретение платы "Цербер" системы охранной сигнализации.</v>
      </c>
    </row>
    <row r="161" spans="1:14" ht="28.5" customHeight="1">
      <c r="A161" s="147" t="str">
        <f>IF(N161&gt;0,N161,0)</f>
        <v>Приобретение и установка информационного стенда на детскую площадку.</v>
      </c>
      <c r="B161" s="147"/>
      <c r="C161" s="147"/>
      <c r="D161" s="147"/>
      <c r="E161" s="147"/>
      <c r="F161" s="148">
        <f t="shared" si="15"/>
        <v>542.4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47" t="str">
        <f t="shared" si="14"/>
        <v>Перерасчет по итогам 2021 года.</v>
      </c>
      <c r="B162" s="147"/>
      <c r="C162" s="147"/>
      <c r="D162" s="147"/>
      <c r="E162" s="147"/>
      <c r="F162" s="148">
        <f t="shared" si="15"/>
        <v>65411.93</v>
      </c>
      <c r="G162" s="148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48">
        <f t="shared" si="15"/>
        <v>0</v>
      </c>
      <c r="G163" s="148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72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72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48">
        <f t="shared" si="19"/>
        <v>0</v>
      </c>
      <c r="G165" s="148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50" t="s">
        <v>181</v>
      </c>
      <c r="B190" s="150"/>
      <c r="C190" s="150"/>
      <c r="D190" s="150"/>
      <c r="E190" s="27">
        <f>SUM(F158:G187)</f>
        <v>73800.7</v>
      </c>
    </row>
    <row r="191" spans="1:14" ht="51.75" customHeight="1">
      <c r="A191" s="150" t="s">
        <v>180</v>
      </c>
      <c r="B191" s="150"/>
      <c r="C191" s="150"/>
      <c r="D191" s="150"/>
      <c r="E191" s="27">
        <f>E190+E154-E155</f>
        <v>0</v>
      </c>
    </row>
    <row r="192" spans="1:14">
      <c r="A192" s="105" t="s">
        <v>172</v>
      </c>
    </row>
    <row r="193" spans="1:10" ht="62.25" customHeight="1">
      <c r="A193" s="175" t="s">
        <v>179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 hidden="1">
      <c r="A194" s="174">
        <f>ПТО!F12</f>
        <v>0</v>
      </c>
      <c r="B194" s="174"/>
      <c r="C194" s="174"/>
      <c r="D194" s="174"/>
      <c r="E194" s="174"/>
      <c r="F194" s="174"/>
      <c r="G194" s="174"/>
      <c r="H194" s="50">
        <f>ПТО!G12</f>
        <v>0</v>
      </c>
      <c r="I194" s="51" t="s">
        <v>73</v>
      </c>
    </row>
    <row r="195" spans="1:10" ht="18.75" hidden="1" customHeight="1">
      <c r="A195" s="174">
        <f>ПТО!F13</f>
        <v>0</v>
      </c>
      <c r="B195" s="174"/>
      <c r="C195" s="174"/>
      <c r="D195" s="174"/>
      <c r="E195" s="174"/>
      <c r="F195" s="174"/>
      <c r="G195" s="174"/>
      <c r="H195" s="50">
        <f>ПТО!G13</f>
        <v>0</v>
      </c>
      <c r="I195" s="51" t="s">
        <v>73</v>
      </c>
    </row>
    <row r="196" spans="1:10" ht="35.25" hidden="1" customHeight="1">
      <c r="A196" s="174">
        <f>ПТО!F14</f>
        <v>0</v>
      </c>
      <c r="B196" s="174"/>
      <c r="C196" s="174"/>
      <c r="D196" s="174"/>
      <c r="E196" s="174"/>
      <c r="F196" s="174"/>
      <c r="G196" s="174"/>
      <c r="H196" s="50">
        <f>ПТО!G14</f>
        <v>0</v>
      </c>
      <c r="I196" s="51" t="s">
        <v>73</v>
      </c>
    </row>
    <row r="197" spans="1:10" ht="18.75" hidden="1" customHeight="1">
      <c r="A197" s="174">
        <f>ПТО!F15</f>
        <v>0</v>
      </c>
      <c r="B197" s="174"/>
      <c r="C197" s="174"/>
      <c r="D197" s="174"/>
      <c r="E197" s="174"/>
      <c r="F197" s="174"/>
      <c r="G197" s="174"/>
      <c r="H197" s="50">
        <f>ПТО!G15</f>
        <v>0</v>
      </c>
      <c r="I197" s="51" t="s">
        <v>73</v>
      </c>
    </row>
    <row r="198" spans="1:10" ht="18.75" hidden="1" customHeight="1">
      <c r="A198" s="174">
        <f>ПТО!F16</f>
        <v>0</v>
      </c>
      <c r="B198" s="174"/>
      <c r="C198" s="174"/>
      <c r="D198" s="174"/>
      <c r="E198" s="174"/>
      <c r="F198" s="174"/>
      <c r="G198" s="174"/>
      <c r="H198" s="50">
        <f>ПТО!G16</f>
        <v>0</v>
      </c>
      <c r="I198" s="53" t="s">
        <v>73</v>
      </c>
    </row>
    <row r="199" spans="1:10" ht="18.75" hidden="1" customHeight="1">
      <c r="A199" s="174">
        <f>ПТО!F17</f>
        <v>0</v>
      </c>
      <c r="B199" s="174"/>
      <c r="C199" s="174"/>
      <c r="D199" s="174"/>
      <c r="E199" s="174"/>
      <c r="F199" s="174"/>
      <c r="G199" s="174"/>
      <c r="H199" s="50">
        <f>ПТО!G17</f>
        <v>0</v>
      </c>
      <c r="I199" s="51" t="s">
        <v>73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50">
        <f>ПТО!G18</f>
        <v>0</v>
      </c>
      <c r="I200" s="51" t="s">
        <v>73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50">
        <f>ПТО!G19</f>
        <v>0</v>
      </c>
      <c r="I201" s="51" t="s">
        <v>73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50">
        <f>ПТО!G20</f>
        <v>0</v>
      </c>
      <c r="I202" s="51" t="s">
        <v>73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50">
        <f>ПТО!G21</f>
        <v>0</v>
      </c>
      <c r="I203" s="51" t="s">
        <v>73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50">
        <f>ПТО!G22</f>
        <v>0</v>
      </c>
      <c r="I204" s="51" t="s">
        <v>73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50">
        <f>ПТО!G23</f>
        <v>0</v>
      </c>
      <c r="I205" s="51" t="s">
        <v>73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50">
        <f>ПТО!G24</f>
        <v>0</v>
      </c>
      <c r="I206" s="51" t="s">
        <v>73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50">
        <f>ПТО!G25</f>
        <v>0</v>
      </c>
      <c r="I207" s="51" t="s">
        <v>73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50">
        <f>ПТО!G26</f>
        <v>0</v>
      </c>
      <c r="I208" s="51" t="s">
        <v>73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50">
        <f>ПТО!G27</f>
        <v>0</v>
      </c>
      <c r="I209" s="51" t="s">
        <v>73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50">
        <f>ПТО!G28</f>
        <v>0</v>
      </c>
      <c r="I210" s="51" t="s">
        <v>73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50">
        <f>ПТО!G29</f>
        <v>0</v>
      </c>
      <c r="I211" s="51" t="s">
        <v>73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50">
        <f>ПТО!G30</f>
        <v>0</v>
      </c>
      <c r="I212" s="51" t="s">
        <v>73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PBvdy3Ko0OShb9jZjyn6qP8Pu35hzDIM4JRhXVibu4hHdDAP1bYDuwVZOfri4Bh264is3sbxKXM1v78B5NkBAg==" saltValue="ZASeUqHDliRY4mtwIGACq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183</v>
      </c>
      <c r="G1" s="122">
        <f>-26753.74</f>
        <v>-26753.74</v>
      </c>
    </row>
    <row r="2" spans="1:12" ht="18.75" customHeight="1">
      <c r="A2" s="123" t="s">
        <v>177</v>
      </c>
      <c r="B2" s="120" t="s">
        <v>174</v>
      </c>
      <c r="C2" s="119">
        <v>12</v>
      </c>
      <c r="D2" s="121">
        <v>5415.12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184</v>
      </c>
      <c r="B3" s="133" t="s">
        <v>185</v>
      </c>
      <c r="C3" s="124">
        <v>1</v>
      </c>
      <c r="D3" s="125">
        <v>300</v>
      </c>
      <c r="E3" s="126" t="s">
        <v>188</v>
      </c>
      <c r="F3" s="30"/>
      <c r="G3" s="30"/>
      <c r="L3" s="33" t="str">
        <f t="shared" si="0"/>
        <v>ТР</v>
      </c>
    </row>
    <row r="4" spans="1:12" ht="18.75" customHeight="1">
      <c r="A4" s="45" t="s">
        <v>186</v>
      </c>
      <c r="B4" s="134" t="s">
        <v>185</v>
      </c>
      <c r="C4" s="43">
        <v>1</v>
      </c>
      <c r="D4" s="47">
        <v>2131.25</v>
      </c>
      <c r="E4" s="45" t="s">
        <v>187</v>
      </c>
      <c r="F4" s="30"/>
      <c r="G4" s="30"/>
      <c r="L4" s="33" t="str">
        <f t="shared" si="0"/>
        <v>ТР</v>
      </c>
    </row>
    <row r="5" spans="1:12" ht="18.75" customHeight="1">
      <c r="A5" s="136" t="s">
        <v>189</v>
      </c>
      <c r="B5" s="137" t="s">
        <v>185</v>
      </c>
      <c r="C5" s="138">
        <v>1</v>
      </c>
      <c r="D5" s="139">
        <v>542.4</v>
      </c>
      <c r="E5" s="140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146" t="s">
        <v>201</v>
      </c>
      <c r="B6" s="145" t="s">
        <v>185</v>
      </c>
      <c r="C6" s="43">
        <v>1</v>
      </c>
      <c r="D6" s="44">
        <v>65411.93</v>
      </c>
      <c r="E6" s="45" t="s">
        <v>200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27"/>
      <c r="C7" s="43"/>
      <c r="D7" s="47"/>
      <c r="E7" s="45"/>
      <c r="F7" s="46"/>
      <c r="G7" s="46"/>
      <c r="K7" s="47"/>
      <c r="L7" s="33">
        <f t="shared" si="0"/>
        <v>0</v>
      </c>
    </row>
    <row r="8" spans="1:12" ht="18.75" customHeight="1">
      <c r="A8" s="129"/>
      <c r="B8" s="130"/>
      <c r="C8" s="124"/>
      <c r="D8" s="125"/>
      <c r="E8" s="126"/>
      <c r="F8" s="46"/>
      <c r="G8" s="46"/>
      <c r="K8" s="44"/>
      <c r="L8" s="33">
        <f t="shared" si="0"/>
        <v>0</v>
      </c>
    </row>
    <row r="9" spans="1:12">
      <c r="A9" s="45"/>
      <c r="B9" s="131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D11" s="135"/>
      <c r="F11" s="112" t="s">
        <v>179</v>
      </c>
      <c r="G11" s="112"/>
      <c r="L11" s="33">
        <f t="shared" si="0"/>
        <v>0</v>
      </c>
    </row>
    <row r="12" spans="1:12" ht="15.75">
      <c r="A12" s="30"/>
      <c r="C12" s="128"/>
      <c r="F12" s="113"/>
      <c r="G12" s="114"/>
      <c r="L12" s="33">
        <f t="shared" si="0"/>
        <v>0</v>
      </c>
    </row>
    <row r="13" spans="1:12" ht="15.75">
      <c r="A13" s="30"/>
      <c r="F13" s="113"/>
      <c r="G13" s="114"/>
      <c r="L13" s="33">
        <f t="shared" si="0"/>
        <v>0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43365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43365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68184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и услуги по управлению МКД</v>
      </c>
      <c r="N40" s="41">
        <f t="shared" ref="N40:N53" si="4">B40</f>
        <v>68184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29182.800000000003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29182.800000000003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16364.16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16364.16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6954.7199999999993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6954.7199999999993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30682.800000000003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30682.800000000003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41">
        <f>(E46*G52*F54*6+E46*G52*G54*6)+(F46*G58*F60*6+F46*G58*G60*6)+(F46*G62*F64*6+F46*G62*G64*6)</f>
        <v>24405.588449999996</v>
      </c>
      <c r="C46" s="142" t="s">
        <v>68</v>
      </c>
      <c r="D46" s="49">
        <v>12</v>
      </c>
      <c r="E46" s="141">
        <v>582.70000000000005</v>
      </c>
      <c r="F46" s="141">
        <v>130.30000000000001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24405.588449999996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193</v>
      </c>
      <c r="F51" s="144" t="s">
        <v>194</v>
      </c>
      <c r="G51" s="144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1.2900726177825008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196</v>
      </c>
      <c r="G53" s="144" t="s">
        <v>197</v>
      </c>
      <c r="H53" s="144">
        <f>H52*G55</f>
        <v>27.091524973432517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198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9.7725000000000009</v>
      </c>
    </row>
    <row r="59" spans="5:16">
      <c r="E59" s="144"/>
      <c r="F59" s="144" t="s">
        <v>196</v>
      </c>
      <c r="G59" s="144" t="s">
        <v>197</v>
      </c>
      <c r="H59" s="144">
        <f>H58/F58</f>
        <v>8.6543570669500528E-3</v>
      </c>
    </row>
    <row r="60" spans="5:16">
      <c r="E60" s="144"/>
      <c r="F60" s="144">
        <v>12.94</v>
      </c>
      <c r="G60" s="144">
        <v>13.45</v>
      </c>
      <c r="H60" s="144">
        <f>H59*G55</f>
        <v>0.18174149840595111</v>
      </c>
    </row>
    <row r="61" spans="5:16">
      <c r="E61" s="144" t="s">
        <v>199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9.7725000000000009</v>
      </c>
    </row>
    <row r="63" spans="5:16">
      <c r="E63" s="144"/>
      <c r="F63" s="144" t="s">
        <v>196</v>
      </c>
      <c r="G63" s="144" t="s">
        <v>197</v>
      </c>
      <c r="H63" s="144">
        <f>H62/F62</f>
        <v>8.6543570669500528E-3</v>
      </c>
    </row>
    <row r="64" spans="5:16">
      <c r="E64" s="144"/>
      <c r="F64" s="144">
        <v>15.73</v>
      </c>
      <c r="G64" s="144">
        <v>16.350000000000001</v>
      </c>
      <c r="H64" s="144">
        <f>H63*G55</f>
        <v>0.18174149840595111</v>
      </c>
    </row>
    <row r="65" spans="4:13" ht="18.75" customHeight="1">
      <c r="D65" s="103"/>
      <c r="E65" s="50"/>
      <c r="F65" s="51"/>
      <c r="G65" s="103"/>
      <c r="H65" s="103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1136.4000000000001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111746.02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253681.03999999998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206634.08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F1*3.45*12</f>
        <v>47046.960000000006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242529.89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242529.89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242529.89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122897.16999999998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103</v>
      </c>
      <c r="B27" s="76" t="s">
        <v>4</v>
      </c>
      <c r="C27" s="87">
        <v>135929.19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106</v>
      </c>
      <c r="B30" s="76" t="s">
        <v>18</v>
      </c>
      <c r="C30" s="87">
        <v>149800.94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22239.45</v>
      </c>
      <c r="F37" s="95" t="s">
        <v>165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18532.88</v>
      </c>
      <c r="D38" s="95" t="s">
        <v>163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20123.04</v>
      </c>
      <c r="D39" s="95" t="s">
        <v>164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2116.41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22239.45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22239.45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43852.05</v>
      </c>
      <c r="F45" s="95" t="s">
        <v>165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3322.13</v>
      </c>
      <c r="D46" s="95" t="s">
        <v>166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40116.410000000003</v>
      </c>
      <c r="D47" s="95" t="s">
        <v>164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3735.6399999999994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43852.05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43852.05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92596.13</v>
      </c>
      <c r="F53" s="95" t="s">
        <v>165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5772.83</v>
      </c>
      <c r="D54" s="95" t="s">
        <v>166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86004.37</v>
      </c>
      <c r="D55" s="95" t="s">
        <v>164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6591.7600000000093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92596.13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92596.13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31421.27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2380.4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29993.33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1427.9399999999987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31421.27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31421.27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3" sqref="B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2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8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73920.86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2022-03-25T06:48:40Z</dcterms:modified>
</cp:coreProperties>
</file>