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60" windowWidth="28800" windowHeight="1227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5" i="1"/>
  <c r="A113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A94" i="1"/>
  <c r="K94" i="1"/>
  <c r="F118" i="1" l="1"/>
  <c r="A122" i="1"/>
  <c r="A123" i="1"/>
  <c r="A119" i="1"/>
  <c r="A125" i="1"/>
  <c r="A118" i="1"/>
  <c r="A121" i="1"/>
  <c r="A141" i="1"/>
  <c r="F134" i="1"/>
  <c r="A137" i="1"/>
  <c r="A114" i="1"/>
  <c r="A112" i="1"/>
  <c r="D94" i="1"/>
  <c r="A98" i="1"/>
  <c r="A99" i="1"/>
  <c r="A138" i="1"/>
  <c r="F94" i="1"/>
  <c r="A97" i="1"/>
  <c r="A102" i="1"/>
  <c r="A103" i="1"/>
  <c r="A107" i="1"/>
  <c r="A134" i="1"/>
  <c r="A135" i="1"/>
  <c r="A139" i="1"/>
  <c r="A106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<sst xmlns="http://schemas.openxmlformats.org/spreadsheetml/2006/main" count="552" uniqueCount="200">
  <si>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</si>
  <si>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</si>
  <si>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</si>
  <si>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</si>
  <si>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</si>
  <si>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</si>
  <si>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</si>
  <si>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</si>
  <si>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</si>
  <si>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</si>
  <si>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</si>
  <si>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</si>
  <si>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</si>
  <si>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</si>
  <si>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</si>
  <si>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</si>
  <si>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</si>
  <si>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</si>
  <si>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</si>
  <si>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</si>
  <si>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</si>
  <si>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</si>
  <si>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</si>
  <si>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</si>
  <si>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</si>
  <si>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</si>
  <si>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</si>
  <si>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</si>
  <si>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</si>
  <si>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</si>
  <si>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</si>
  <si>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</si>
  <si>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</si>
  <si>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</si>
  <si>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</si>
  <si>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</si>
  <si>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</si>
  <si>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</si>
  <si>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</si>
  <si>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</si>
  <si>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</si>
  <si>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</si>
  <si>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</si>
  <si>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</si>
  <si>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</si>
  <si>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</si>
  <si>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</si>
  <si>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</si>
  <si>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</si>
  <si>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</si>
  <si>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</si>
  <si>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</si>
  <si>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</si>
  <si>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</si>
  <si>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</si>
  <si>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</si>
  <si>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</si>
  <si>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</si>
  <si>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</si>
  <si>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</si>
  <si>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</si>
  <si>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</si>
  <si>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</si>
  <si>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</si>
  <si>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</si>
  <si>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</si>
  <si>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</si>
  <si>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</si>
  <si>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</si>
  <si>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</si>
  <si>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</si>
  <si>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</si>
  <si>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</si>
  <si>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</si>
  <si>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</si>
  <si>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</si>
  <si>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</si>
  <si>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</si>
  <si>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</si>
  <si>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</si>
  <si>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</si>
  <si>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</si>
  <si>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</si>
  <si>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</si>
  <si>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</si>
  <si>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</si>
  <si>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</si>
  <si>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</si>
  <si>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</si>
  <si>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</si>
  <si>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</si>
  <si>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</si>
  <si>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</si>
  <si>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</si>
  <si>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</si>
  <si>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</si>
  <si>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</si>
  <si>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</si>
  <si>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</si>
  <si>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</si>
  <si>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</si>
  <si>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</si>
  <si>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</si>
  <si>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</si>
  <si>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</si>
  <si>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</si>
  <si>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</si>
  <si>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</si>
  <si>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</si>
  <si>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</si>
  <si>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</si>
  <si>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</si>
  <si>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</si>
  <si>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</si>
  <si>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</si>
  <si>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</si>
  <si>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</si>
  <si>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</si>
  <si>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</si>
  <si>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</si>
  <si>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</si>
  <si>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</si>
  <si>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</si>
  <si>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</si>
  <si>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</si>
  <si>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</si>
  <si>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</si>
  <si>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</si>
  <si>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</si>
  <si>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</si>
  <si>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</si>
  <si>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</si>
  <si>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</si>
  <si>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</si>
  <si>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</si>
  <si>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</si>
  <si>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</si>
  <si>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</si>
  <si>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</si>
  <si>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</si>
  <si>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</si>
  <si>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</si>
  <si>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</si>
  <si>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</si>
  <si>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</si>
  <si>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</si>
  <si>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</si>
  <si>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</si>
  <si>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</si>
  <si>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</si>
  <si>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</si>
  <si>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</si>
  <si>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</si>
  <si>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</si>
  <si>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</si>
  <si>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</si>
  <si>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</si>
  <si>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</si>
  <si>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</si>
  <si>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</si>
  <si>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</si>
  <si>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</si>
  <si>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</si>
  <si>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</si>
  <si>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</si>
  <si>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</si>
  <si>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</si>
  <si>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</si>
  <si>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</si>
  <si>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</si>
  <si>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</si>
  <si>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</si>
  <si>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</si>
  <si>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</si>
  <si>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82</t>
  </si>
  <si>
    <t>ежемесячно</t>
  </si>
  <si>
    <t>площадь дома</t>
  </si>
  <si>
    <t>Отчет об исполнении договора управления многоквартирного дома 
Березовый, 82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</si>
  <si>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</si>
  <si>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</si>
  <si>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</si>
  <si>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</si>
  <si>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</si>
  <si>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</si>
  <si>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разово</t>
  </si>
  <si>
    <t>АВР 1/21 от 09.08.2021, Решение в доме 82</t>
  </si>
  <si>
    <t>Благоустройство придомовой территории (приобретение материалов для покраски песочниц).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</si>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</sst>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164" fontId="13" fillId="0" borderId="0" applyFont="0" applyFill="0" applyBorder="0" applyAlignment="0" applyProtection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</cellStyleXfs>
  <cellXfs count="178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3" fillId="0" borderId="0" xfId="5" applyNumberFormat="1" applyBorder="1" applyAlignment="1"/>
    <xf numFmtId="0" fontId="13" fillId="0" borderId="0" xfId="5" applyFill="1" applyBorder="1" applyAlignment="1">
      <alignment horizontal="center"/>
    </xf>
    <xf numFmtId="4" fontId="13" fillId="0" borderId="0" xfId="5" applyNumberFormat="1" applyFill="1" applyBorder="1" applyAlignment="1"/>
    <xf numFmtId="0" fontId="13" fillId="0" borderId="0" xfId="5" applyFill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 wrapText="1"/>
    </xf>
    <xf numFmtId="0" fontId="0" fillId="0" borderId="0" xfId="0" applyFill="1"/>
    <xf numFmtId="0" fontId="12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10" fillId="0" borderId="0" xfId="25" applyFont="1" applyFill="1" applyBorder="1" applyAlignment="1"/>
    <xf numFmtId="0" fontId="10" fillId="0" borderId="0" xfId="5" applyFont="1" applyFill="1" applyBorder="1" applyAlignment="1">
      <alignment horizontal="center"/>
    </xf>
    <xf numFmtId="0" fontId="11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9" fillId="0" borderId="0" xfId="4" applyFont="1" applyFill="1" applyBorder="1" applyAlignment="1">
      <alignment horizontal="center"/>
    </xf>
    <xf numFmtId="0" fontId="7" fillId="0" borderId="0" xfId="5" applyFont="1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8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4" fillId="0" borderId="0" xfId="22" applyFont="1" applyFill="1" applyBorder="1" applyAlignment="1"/>
    <xf numFmtId="4" fontId="10" fillId="0" borderId="0" xfId="23" applyNumberFormat="1" applyFill="1" applyBorder="1" applyAlignment="1"/>
    <xf numFmtId="4" fontId="0" fillId="0" borderId="0" xfId="0" applyNumberFormat="1" applyBorder="1" applyAlignment="1">
      <alignment horizontal="center"/>
    </xf>
    <xf numFmtId="4" fontId="30" fillId="3" borderId="0" xfId="26" applyNumberFormat="1" applyFont="1" applyFill="1" applyBorder="1" applyAlignment="1">
      <alignment horizontal="left" vertical="center" wrapText="1"/>
    </xf>
    <xf numFmtId="4" fontId="38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14"/>
    <cellStyle name="Обычный 2 4" xfId="21"/>
    <cellStyle name="Обычный 2 5" xfId="9"/>
    <cellStyle name="Обычный 2 5 2" xfId="26"/>
    <cellStyle name="Обычный 3" xfId="2"/>
    <cellStyle name="Обычный 3 2" xfId="8"/>
    <cellStyle name="Обычный 3 3" xfId="7"/>
    <cellStyle name="Обычный 3 4" xfId="19"/>
    <cellStyle name="Обычный 3 5" xfId="15"/>
    <cellStyle name="Обычный 3 6" xfId="22"/>
    <cellStyle name="Обычный 3 7" xfId="10"/>
    <cellStyle name="Обычный 4" xfId="4"/>
    <cellStyle name="Обычный 4 2" xfId="16"/>
    <cellStyle name="Обычный 4 3" xfId="23"/>
    <cellStyle name="Обычный 4 4" xfId="11"/>
    <cellStyle name="Обычный 5" xfId="5"/>
    <cellStyle name="Обычный 5 2" xfId="17"/>
    <cellStyle name="Обычный 5 3" xfId="24"/>
    <cellStyle name="Обычный 5 4" xfId="20"/>
    <cellStyle name="Обычный 5 4 2" xfId="25"/>
    <cellStyle name="Обычный 5 5" xfId="12"/>
    <cellStyle name="Финансовый 2" xfId="6"/>
    <cellStyle name="Финансовый 2 2" xfId="18"/>
    <cellStyle name="Финансовый 2 3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1" sqref="K3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8" t="s">
        <v>174</v>
      </c>
      <c r="B2" s="168"/>
      <c r="C2" s="168"/>
      <c r="D2" s="168"/>
      <c r="E2" s="168"/>
      <c r="F2" s="168"/>
      <c r="G2" s="168"/>
      <c r="H2" s="168"/>
      <c r="I2" s="168"/>
      <c r="J2" s="168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0"/>
      <c r="L8" s="169"/>
      <c r="M8" s="110"/>
      <c r="N8" s="110"/>
      <c r="O8" s="71" t="s">
        <v>80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0"/>
      <c r="L9" s="169"/>
      <c r="M9" s="110"/>
      <c r="N9" s="110"/>
      <c r="O9" s="71" t="s">
        <v>81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112745.65</v>
      </c>
      <c r="K10" s="110"/>
      <c r="L10" s="169"/>
      <c r="M10" s="110"/>
      <c r="N10" s="110"/>
      <c r="O10" s="71" t="s">
        <v>82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228840.13</v>
      </c>
      <c r="K11" s="110"/>
      <c r="L11" s="169"/>
      <c r="M11" s="110"/>
      <c r="N11" s="110"/>
      <c r="O11" s="71" t="s">
        <v>83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154316.82999999999</v>
      </c>
      <c r="K12" s="110"/>
      <c r="L12" s="169"/>
      <c r="M12" s="110"/>
      <c r="N12" s="110"/>
      <c r="O12" s="71" t="s">
        <v>84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74523.3</v>
      </c>
      <c r="K13" s="110"/>
      <c r="L13" s="169"/>
      <c r="M13" s="110"/>
      <c r="N13" s="110"/>
      <c r="O13" s="71" t="s">
        <v>85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0"/>
      <c r="L14" s="169"/>
      <c r="M14" s="110"/>
      <c r="N14" s="110"/>
      <c r="O14" s="71" t="s">
        <v>86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268415.14</v>
      </c>
      <c r="K15" s="110"/>
      <c r="L15" s="169"/>
      <c r="M15" s="110"/>
      <c r="N15" s="110"/>
      <c r="O15" s="71" t="s">
        <v>87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268415.14</v>
      </c>
      <c r="K16" s="110"/>
      <c r="L16" s="169"/>
      <c r="M16" s="110"/>
      <c r="N16" s="110"/>
      <c r="O16" s="71" t="s">
        <v>88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0"/>
      <c r="L17" s="169"/>
      <c r="M17" s="110"/>
      <c r="N17" s="110"/>
      <c r="O17" s="71" t="s">
        <v>89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0"/>
      <c r="L18" s="169"/>
      <c r="M18" s="110"/>
      <c r="N18" s="110"/>
      <c r="O18" s="71" t="s">
        <v>90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0"/>
      <c r="L19" s="169"/>
      <c r="M19" s="110"/>
      <c r="N19" s="110"/>
      <c r="O19" s="71" t="s">
        <v>91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0"/>
      <c r="L20" s="169"/>
      <c r="M20" s="110"/>
      <c r="N20" s="110"/>
      <c r="O20" s="71" t="s">
        <v>92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268415.14</v>
      </c>
      <c r="K21" s="110"/>
      <c r="L21" s="169"/>
      <c r="M21" s="110"/>
      <c r="N21" s="110"/>
      <c r="O21" s="71" t="s">
        <v>93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0"/>
      <c r="L22" s="169"/>
      <c r="M22" s="110"/>
      <c r="N22" s="110"/>
      <c r="O22" s="71" t="s">
        <v>94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0"/>
      <c r="L23" s="169"/>
      <c r="M23" s="110"/>
      <c r="N23" s="110"/>
      <c r="O23" s="71" t="s">
        <v>95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73170.640000000014</v>
      </c>
      <c r="K24" s="110"/>
      <c r="L24" s="169"/>
      <c r="M24" s="110"/>
      <c r="N24" s="110"/>
      <c r="O24" s="71" t="s">
        <v>96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0"/>
      <c r="L27" s="170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14357.76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0"/>
      <c r="L28" s="170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6"/>
      <c r="C29" s="146"/>
      <c r="D29" s="146"/>
      <c r="E29" s="146"/>
      <c r="F29" s="147">
        <f>VLOOKUP(A29,ПТО!$A$39:$D$53,2,FALSE)</f>
        <v>54559.32</v>
      </c>
      <c r="G29" s="147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0"/>
      <c r="L29" s="170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29125.68</v>
      </c>
      <c r="G30" s="147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0"/>
      <c r="L30" s="170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16408.8</v>
      </c>
      <c r="G31" s="147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0"/>
      <c r="L31" s="170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0"/>
      <c r="L32" s="170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6973.8</v>
      </c>
      <c r="G33" s="147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0"/>
      <c r="L33" s="170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28715.4</v>
      </c>
      <c r="G34" s="147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0"/>
      <c r="L34" s="170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6" t="str">
        <f>ПТО!A46</f>
        <v>Коммунальные ресурсы на содержание общего имущества</v>
      </c>
      <c r="B35" s="146"/>
      <c r="C35" s="146"/>
      <c r="D35" s="146"/>
      <c r="E35" s="146"/>
      <c r="F35" s="147">
        <f>VLOOKUP(A35,ПТО!$A$39:$D$53,2,FALSE)</f>
        <v>25033.43475</v>
      </c>
      <c r="G35" s="147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10"/>
      <c r="L35" s="170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0"/>
      <c r="L36" s="170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0"/>
      <c r="L37" s="170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0"/>
      <c r="L38" s="170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0"/>
      <c r="L39" s="170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0"/>
      <c r="L40" s="170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0"/>
      <c r="L41" s="170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0"/>
      <c r="L42" s="170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47">
        <f>VLOOKUP(A43,ПТО!$A$2:$D$31,4,FALSE)</f>
        <v>5400</v>
      </c>
      <c r="G43" s="147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0"/>
      <c r="L43" s="170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6" t="str">
        <f>ПТО!A3</f>
        <v>Благоустройство придомовой территории (приобретение материалов для покраски песочниц).</v>
      </c>
      <c r="B44" s="146"/>
      <c r="C44" s="146"/>
      <c r="D44" s="146"/>
      <c r="E44" s="146"/>
      <c r="F44" s="147">
        <f>VLOOKUP(A44,ПТО!$A$2:$D$31,4,FALSE)</f>
        <v>750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0"/>
      <c r="L44" s="170"/>
      <c r="M44" s="117"/>
      <c r="N44" s="110"/>
      <c r="O44" s="23" t="str">
        <f t="shared" si="1"/>
        <v>Благоустройство придомовой территории (приобретение материалов для покраски песочниц).</v>
      </c>
      <c r="R44" s="22" t="s">
        <v>72</v>
      </c>
    </row>
    <row r="45" spans="1:18" ht="51" customHeight="1" outlineLevel="1">
      <c r="A45" s="146" t="str">
        <f>ПТО!A4</f>
        <v>Приобретение и установка информационного стенда на детскую площадку.</v>
      </c>
      <c r="B45" s="146"/>
      <c r="C45" s="146"/>
      <c r="D45" s="146"/>
      <c r="E45" s="146"/>
      <c r="F45" s="147">
        <f>VLOOKUP(A45,ПТО!$A$2:$D$31,4,FALSE)</f>
        <v>542.4</v>
      </c>
      <c r="G45" s="147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0"/>
      <c r="L45" s="170"/>
      <c r="M45" s="117"/>
      <c r="N45" s="110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6" t="str">
        <f>ПТО!A5</f>
        <v>Перерасчет по итогам 2021 года.</v>
      </c>
      <c r="B46" s="146"/>
      <c r="C46" s="146"/>
      <c r="D46" s="146"/>
      <c r="E46" s="146"/>
      <c r="F46" s="147">
        <f>VLOOKUP(A46,ПТО!$A$2:$D$31,4,FALSE)</f>
        <v>109240.48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0"/>
      <c r="L46" s="170"/>
      <c r="M46" s="117"/>
      <c r="N46" s="110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46">
        <f>ПТО!A6</f>
        <v>0</v>
      </c>
      <c r="B47" s="146"/>
      <c r="C47" s="146"/>
      <c r="D47" s="146"/>
      <c r="E47" s="146"/>
      <c r="F47" s="147" t="e">
        <f>VLOOKUP(A47,ПТО!$A$2:$D$31,4,FALSE)</f>
        <v>#N/A</v>
      </c>
      <c r="G47" s="147"/>
      <c r="H47" s="25" t="e">
        <f>VLOOKUP(A47,ПТО!$A$2:$D$31,2,FALSE)</f>
        <v>#N/A</v>
      </c>
      <c r="I47" s="148" t="e">
        <f>VLOOKUP(A47,ПТО!$A$2:$D$31,3,FALSE)</f>
        <v>#N/A</v>
      </c>
      <c r="J47" s="148"/>
      <c r="K47" s="110"/>
      <c r="L47" s="170"/>
      <c r="M47" s="117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46">
        <f>ПТО!A7</f>
        <v>0</v>
      </c>
      <c r="B48" s="146"/>
      <c r="C48" s="146"/>
      <c r="D48" s="146"/>
      <c r="E48" s="146"/>
      <c r="F48" s="147" t="e">
        <f>VLOOKUP(A48,ПТО!$A$2:$D$31,4,FALSE)</f>
        <v>#N/A</v>
      </c>
      <c r="G48" s="147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10"/>
      <c r="L48" s="170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0"/>
      <c r="L49" s="170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0"/>
      <c r="L50" s="170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0"/>
      <c r="L51" s="170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0"/>
      <c r="L52" s="170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0"/>
      <c r="L53" s="170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0"/>
      <c r="L54" s="170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0"/>
      <c r="L55" s="170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0"/>
      <c r="L56" s="170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0"/>
      <c r="L57" s="170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0"/>
      <c r="L58" s="170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0"/>
      <c r="L59" s="170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0"/>
      <c r="L60" s="170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0"/>
      <c r="L61" s="170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0"/>
      <c r="L62" s="170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0"/>
      <c r="L63" s="170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0"/>
      <c r="L64" s="170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0"/>
      <c r="L65" s="170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0"/>
      <c r="L66" s="170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0"/>
      <c r="L67" s="170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0"/>
      <c r="L68" s="170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0"/>
      <c r="L69" s="170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0"/>
      <c r="L70" s="170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7"/>
      <c r="L71" s="170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0"/>
      <c r="L72" s="170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0"/>
      <c r="L75" s="153"/>
      <c r="M75" s="110"/>
      <c r="N75" s="110"/>
      <c r="O75" s="71" t="s">
        <v>97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0"/>
      <c r="L76" s="153"/>
      <c r="M76" s="110"/>
      <c r="N76" s="110"/>
      <c r="O76" s="71" t="s">
        <v>98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0"/>
      <c r="L77" s="153"/>
      <c r="M77" s="110"/>
      <c r="N77" s="110"/>
      <c r="O77" s="71" t="s">
        <v>99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0"/>
      <c r="L78" s="153"/>
      <c r="M78" s="110"/>
      <c r="N78" s="110"/>
      <c r="O78" s="71" t="s">
        <v>100</v>
      </c>
    </row>
    <row r="79" spans="1:16384">
      <c r="A79" s="116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8">
        <f t="shared" ref="J81:J90" si="2">VLOOKUP(O81,АО,3,FALSE)</f>
        <v>0</v>
      </c>
      <c r="K81" s="110"/>
      <c r="L81" s="171"/>
      <c r="M81" s="110"/>
      <c r="N81" s="110"/>
      <c r="O81" s="71" t="s">
        <v>101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8">
        <f t="shared" si="2"/>
        <v>0</v>
      </c>
      <c r="K82" s="110"/>
      <c r="L82" s="171"/>
      <c r="M82" s="110"/>
      <c r="N82" s="110"/>
      <c r="O82" s="71" t="s">
        <v>102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81288.399999999994</v>
      </c>
      <c r="K83" s="110"/>
      <c r="L83" s="171"/>
      <c r="M83" s="110"/>
      <c r="N83" s="110"/>
      <c r="O83" s="71" t="s">
        <v>103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0"/>
      <c r="L84" s="171"/>
      <c r="M84" s="110"/>
      <c r="N84" s="110"/>
      <c r="O84" s="71" t="s">
        <v>104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0"/>
      <c r="L85" s="171"/>
      <c r="M85" s="110"/>
      <c r="N85" s="110"/>
      <c r="O85" s="71" t="s">
        <v>105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49205.08</v>
      </c>
      <c r="K86" s="110"/>
      <c r="L86" s="171"/>
      <c r="M86" s="110"/>
      <c r="N86" s="110"/>
      <c r="O86" s="71" t="s">
        <v>106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0"/>
      <c r="L87" s="171"/>
      <c r="M87" s="110"/>
      <c r="N87" s="110"/>
      <c r="O87" s="71" t="s">
        <v>107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0"/>
      <c r="L88" s="171"/>
      <c r="M88" s="110"/>
      <c r="N88" s="110"/>
      <c r="O88" s="71" t="s">
        <v>108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0"/>
      <c r="L89" s="171"/>
      <c r="M89" s="110"/>
      <c r="N89" s="110"/>
      <c r="O89" s="71" t="s">
        <v>109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0"/>
      <c r="L90" s="171"/>
      <c r="M90" s="110"/>
      <c r="N90" s="110"/>
      <c r="O90" s="71" t="s">
        <v>110</v>
      </c>
    </row>
    <row r="91" spans="1:15">
      <c r="A91" s="105" t="s">
        <v>172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5" t="s">
        <v>48</v>
      </c>
      <c r="B93" s="155"/>
      <c r="C93" s="155"/>
      <c r="D93" s="158" t="s">
        <v>49</v>
      </c>
      <c r="E93" s="158"/>
      <c r="F93" s="10" t="s">
        <v>50</v>
      </c>
      <c r="G93" s="155" t="s">
        <v>51</v>
      </c>
      <c r="H93" s="155"/>
      <c r="I93" s="155"/>
      <c r="J93" s="155"/>
      <c r="K93" s="110"/>
      <c r="L93" s="110"/>
      <c r="M93" s="110"/>
      <c r="N93" s="110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89050.93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74209.11</v>
      </c>
      <c r="L95" s="172"/>
      <c r="O95" s="1" t="s">
        <v>111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106672.46</v>
      </c>
      <c r="L96" s="172"/>
      <c r="O96" s="1" t="s">
        <v>112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72"/>
      <c r="O97" s="1" t="s">
        <v>113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89050.93</v>
      </c>
      <c r="L98" s="172"/>
      <c r="O98" s="1" t="s">
        <v>114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89050.93</v>
      </c>
      <c r="L99" s="172"/>
      <c r="O99" s="1" t="s">
        <v>115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116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117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27645.58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2094.36</v>
      </c>
      <c r="L103" s="172"/>
      <c r="O103" s="1" t="s">
        <v>120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31256.16</v>
      </c>
      <c r="L104" s="172"/>
      <c r="O104" s="1" t="s">
        <v>121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72"/>
      <c r="O105" s="1" t="s">
        <v>122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27645.58</v>
      </c>
      <c r="L106" s="172"/>
      <c r="O106" s="1" t="s">
        <v>123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27645.58</v>
      </c>
      <c r="L107" s="172"/>
      <c r="O107" s="1" t="s">
        <v>124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125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126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54730.559999999998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3412.13</v>
      </c>
      <c r="L111" s="172"/>
      <c r="O111" s="1" t="s">
        <v>128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62543.12</v>
      </c>
      <c r="L112" s="172"/>
      <c r="O112" s="1" t="s">
        <v>129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72"/>
      <c r="O113" s="1" t="s">
        <v>130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54730.559999999998</v>
      </c>
      <c r="L114" s="172"/>
      <c r="O114" s="1" t="s">
        <v>131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54730.559999999998</v>
      </c>
      <c r="L115" s="172"/>
      <c r="O115" s="1" t="s">
        <v>132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133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134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6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6">
        <f>VLOOKUP("гвс",АО,5,FALSE)</f>
        <v>17335.52</v>
      </c>
      <c r="H126" s="157"/>
      <c r="I126" s="157"/>
      <c r="J126" s="157"/>
      <c r="L126" s="48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1313.3</v>
      </c>
      <c r="L127" s="48"/>
      <c r="O127" s="1" t="s">
        <v>144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20374.169999999998</v>
      </c>
      <c r="L128" s="48"/>
      <c r="O128" s="1" t="s">
        <v>145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8"/>
      <c r="O129" s="1" t="s">
        <v>146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17335.52</v>
      </c>
      <c r="L130" s="48"/>
      <c r="O130" s="1" t="s">
        <v>147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17335.52</v>
      </c>
      <c r="L131" s="48"/>
      <c r="O131" s="1" t="s">
        <v>148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168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3</v>
      </c>
      <c r="L145" s="15"/>
      <c r="O145" t="s">
        <v>169</v>
      </c>
    </row>
    <row r="146" spans="1:15" ht="30" customHeight="1" outlineLevel="1">
      <c r="A146" s="154" t="s">
        <v>171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85725</v>
      </c>
      <c r="O146" t="s">
        <v>170</v>
      </c>
    </row>
    <row r="149" spans="1:15" ht="52.5" customHeight="1">
      <c r="A149" s="150" t="s">
        <v>177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9" t="s">
        <v>179</v>
      </c>
      <c r="B154" s="149"/>
      <c r="C154" s="149"/>
      <c r="D154" s="149"/>
      <c r="E154" s="27">
        <f>ПТО!G1</f>
        <v>-41409.58</v>
      </c>
    </row>
    <row r="155" spans="1:15" ht="34.5" customHeight="1">
      <c r="A155" s="151" t="s">
        <v>180</v>
      </c>
      <c r="B155" s="151"/>
      <c r="C155" s="151"/>
      <c r="D155" s="151"/>
      <c r="E155" s="28">
        <f>J13</f>
        <v>74523.3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5400</v>
      </c>
      <c r="G158" s="147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Благоустройство придомовой территории (приобретение материалов для покраски песочниц).</v>
      </c>
      <c r="B159" s="146"/>
      <c r="C159" s="146"/>
      <c r="D159" s="146"/>
      <c r="E159" s="146"/>
      <c r="F159" s="147">
        <f t="shared" si="15"/>
        <v>750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Благоустройство придомовой территории (приобретение материалов для покраски песочниц).</v>
      </c>
    </row>
    <row r="160" spans="1:15" ht="28.5" customHeight="1">
      <c r="A160" s="146" t="str">
        <f t="shared" si="14"/>
        <v>Приобретение и установка информационного стенда на детскую площадку.</v>
      </c>
      <c r="B160" s="146"/>
      <c r="C160" s="146"/>
      <c r="D160" s="146"/>
      <c r="E160" s="146"/>
      <c r="F160" s="147">
        <f t="shared" si="15"/>
        <v>542.4</v>
      </c>
      <c r="G160" s="147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6" t="str">
        <f>IF(N161&gt;0,N161,0)</f>
        <v>Перерасчет по итогам 2021 года.</v>
      </c>
      <c r="B161" s="146"/>
      <c r="C161" s="146"/>
      <c r="D161" s="146"/>
      <c r="E161" s="146"/>
      <c r="F161" s="147">
        <f t="shared" si="15"/>
        <v>109240.48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46">
        <f t="shared" si="14"/>
        <v>0</v>
      </c>
      <c r="B162" s="146"/>
      <c r="C162" s="146"/>
      <c r="D162" s="146"/>
      <c r="E162" s="146"/>
      <c r="F162" s="147">
        <f t="shared" si="15"/>
        <v>0</v>
      </c>
      <c r="G162" s="147"/>
      <c r="H162" s="24" t="e">
        <f t="shared" si="16"/>
        <v>#N/A</v>
      </c>
      <c r="I162" s="148" t="e">
        <f>VLOOKUP(A162,$A$28:$J$72,9,FALSE)</f>
        <v>#N/A</v>
      </c>
      <c r="J162" s="148"/>
      <c r="M162" s="22" t="s">
        <v>72</v>
      </c>
      <c r="N162" s="1">
        <v>0</v>
      </c>
    </row>
    <row r="163" spans="1:14" ht="28.5" hidden="1" customHeight="1">
      <c r="A163" s="146">
        <f t="shared" si="14"/>
        <v>0</v>
      </c>
      <c r="B163" s="146"/>
      <c r="C163" s="146"/>
      <c r="D163" s="146"/>
      <c r="E163" s="146"/>
      <c r="F163" s="147">
        <f t="shared" si="15"/>
        <v>0</v>
      </c>
      <c r="G163" s="147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72</v>
      </c>
      <c r="N163" s="1">
        <v>0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72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47">
        <f t="shared" si="19"/>
        <v>0</v>
      </c>
      <c r="G165" s="147"/>
      <c r="H165" s="29" t="e">
        <f t="shared" si="16"/>
        <v>#N/A</v>
      </c>
      <c r="I165" s="148" t="e">
        <f t="shared" si="20"/>
        <v>#N/A</v>
      </c>
      <c r="J165" s="148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5" t="s">
        <v>172</v>
      </c>
    </row>
    <row r="189" spans="1:14" ht="29.25" customHeight="1">
      <c r="A189" s="105" t="s">
        <v>172</v>
      </c>
    </row>
    <row r="190" spans="1:14" ht="36.75" customHeight="1">
      <c r="A190" s="149" t="s">
        <v>181</v>
      </c>
      <c r="B190" s="149"/>
      <c r="C190" s="149"/>
      <c r="D190" s="149"/>
      <c r="E190" s="27">
        <f>SUM(F158:G187)</f>
        <v>115932.87999999999</v>
      </c>
    </row>
    <row r="191" spans="1:14" ht="51.75" customHeight="1">
      <c r="A191" s="149" t="s">
        <v>182</v>
      </c>
      <c r="B191" s="149"/>
      <c r="C191" s="149"/>
      <c r="D191" s="149"/>
      <c r="E191" s="27">
        <f>E190+E154-E155</f>
        <v>0</v>
      </c>
    </row>
    <row r="192" spans="1:14">
      <c r="A192" s="105" t="s">
        <v>172</v>
      </c>
    </row>
    <row r="193" spans="1:10" ht="62.25" customHeight="1">
      <c r="A193" s="174" t="s">
        <v>183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 hidden="1">
      <c r="A194" s="173">
        <f>ПТО!F12</f>
        <v>0</v>
      </c>
      <c r="B194" s="173"/>
      <c r="C194" s="173"/>
      <c r="D194" s="173"/>
      <c r="E194" s="173"/>
      <c r="F194" s="173"/>
      <c r="G194" s="173"/>
      <c r="H194" s="50">
        <f>ПТО!G12</f>
        <v>0</v>
      </c>
      <c r="I194" s="51" t="s">
        <v>73</v>
      </c>
    </row>
    <row r="195" spans="1:10" ht="18.75" hidden="1" customHeight="1">
      <c r="A195" s="173">
        <f>ПТО!F13</f>
        <v>0</v>
      </c>
      <c r="B195" s="173"/>
      <c r="C195" s="173"/>
      <c r="D195" s="173"/>
      <c r="E195" s="173"/>
      <c r="F195" s="173"/>
      <c r="G195" s="173"/>
      <c r="H195" s="50">
        <f>ПТО!G13</f>
        <v>0</v>
      </c>
      <c r="I195" s="51" t="s">
        <v>73</v>
      </c>
    </row>
    <row r="196" spans="1:10" ht="18.75" hidden="1" customHeight="1">
      <c r="A196" s="173">
        <f>ПТО!F14</f>
        <v>0</v>
      </c>
      <c r="B196" s="173"/>
      <c r="C196" s="173"/>
      <c r="D196" s="173"/>
      <c r="E196" s="173"/>
      <c r="F196" s="173"/>
      <c r="G196" s="173"/>
      <c r="H196" s="50">
        <f>ПТО!G14</f>
        <v>0</v>
      </c>
      <c r="I196" s="51" t="s">
        <v>73</v>
      </c>
    </row>
    <row r="197" spans="1:10" ht="18.75" hidden="1" customHeight="1">
      <c r="A197" s="173">
        <f>ПТО!F15</f>
        <v>0</v>
      </c>
      <c r="B197" s="173"/>
      <c r="C197" s="173"/>
      <c r="D197" s="173"/>
      <c r="E197" s="173"/>
      <c r="F197" s="173"/>
      <c r="G197" s="173"/>
      <c r="H197" s="50">
        <f>ПТО!G15</f>
        <v>0</v>
      </c>
      <c r="I197" s="51" t="s">
        <v>73</v>
      </c>
    </row>
    <row r="198" spans="1:10" ht="18.75" hidden="1" customHeight="1">
      <c r="A198" s="173">
        <f>ПТО!F16</f>
        <v>0</v>
      </c>
      <c r="B198" s="173"/>
      <c r="C198" s="173"/>
      <c r="D198" s="173"/>
      <c r="E198" s="173"/>
      <c r="F198" s="173"/>
      <c r="G198" s="173"/>
      <c r="H198" s="50">
        <f>ПТО!G16</f>
        <v>0</v>
      </c>
      <c r="I198" s="53" t="s">
        <v>73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50">
        <f>ПТО!G17</f>
        <v>0</v>
      </c>
      <c r="I199" s="51" t="s">
        <v>73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50">
        <f>ПТО!G18</f>
        <v>0</v>
      </c>
      <c r="I200" s="51" t="s">
        <v>73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50">
        <f>ПТО!G19</f>
        <v>0</v>
      </c>
      <c r="I201" s="51" t="s">
        <v>73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50">
        <f>ПТО!G20</f>
        <v>0</v>
      </c>
      <c r="I202" s="51" t="s">
        <v>73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50">
        <f>ПТО!G21</f>
        <v>0</v>
      </c>
      <c r="I203" s="51" t="s">
        <v>73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50">
        <f>ПТО!G22</f>
        <v>0</v>
      </c>
      <c r="I204" s="51" t="s">
        <v>73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50">
        <f>ПТО!G23</f>
        <v>0</v>
      </c>
      <c r="I205" s="51" t="s">
        <v>73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50">
        <f>ПТО!G24</f>
        <v>0</v>
      </c>
      <c r="I206" s="51" t="s">
        <v>73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50">
        <f>ПТО!G25</f>
        <v>0</v>
      </c>
      <c r="I207" s="51" t="s">
        <v>73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50">
        <f>ПТО!G26</f>
        <v>0</v>
      </c>
      <c r="I208" s="51" t="s">
        <v>73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50">
        <f>ПТО!G27</f>
        <v>0</v>
      </c>
      <c r="I209" s="51" t="s">
        <v>73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50">
        <f>ПТО!G28</f>
        <v>0</v>
      </c>
      <c r="I210" s="51" t="s">
        <v>73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50">
        <f>ПТО!G29</f>
        <v>0</v>
      </c>
      <c r="I211" s="51" t="s">
        <v>73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50">
        <f>ПТО!G30</f>
        <v>0</v>
      </c>
      <c r="I212" s="51" t="s">
        <v>73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KtbSo+V2xQaXA8hJzLYZPiYY8tgS9RcoMvaS3bADdDmdt0uqVL/j5xcL+qVfEWPFOCX6LMhLSAcq5C8Z/vwIVQ==" saltValue="6zahXgO8zl9gZaHR49Zlc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23">
        <f>-41409.58</f>
        <v>-41409.58</v>
      </c>
    </row>
    <row r="2" spans="1:12" ht="18.75" customHeight="1">
      <c r="A2" s="125" t="s">
        <v>178</v>
      </c>
      <c r="B2" s="120" t="s">
        <v>175</v>
      </c>
      <c r="C2" s="122">
        <v>12</v>
      </c>
      <c r="D2" s="119">
        <v>5400</v>
      </c>
      <c r="E2" s="31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186</v>
      </c>
      <c r="B3" s="135" t="s">
        <v>184</v>
      </c>
      <c r="C3" s="136">
        <v>1</v>
      </c>
      <c r="D3" s="47">
        <v>750</v>
      </c>
      <c r="E3" s="134" t="s">
        <v>185</v>
      </c>
      <c r="F3" s="30"/>
      <c r="G3" s="30"/>
      <c r="L3" s="33" t="str">
        <f t="shared" si="0"/>
        <v>ТР</v>
      </c>
    </row>
    <row r="4" spans="1:12" ht="18.75" customHeight="1">
      <c r="A4" s="138" t="s">
        <v>187</v>
      </c>
      <c r="B4" s="126" t="s">
        <v>184</v>
      </c>
      <c r="C4" s="127">
        <v>1</v>
      </c>
      <c r="D4" s="139">
        <v>542.4</v>
      </c>
      <c r="E4" s="124" t="s">
        <v>188</v>
      </c>
      <c r="F4" s="30"/>
      <c r="G4" s="30"/>
      <c r="L4" s="33" t="str">
        <f t="shared" si="0"/>
        <v>ТР</v>
      </c>
    </row>
    <row r="5" spans="1:12" ht="18.75" customHeight="1">
      <c r="A5" s="145" t="s">
        <v>199</v>
      </c>
      <c r="B5" s="144" t="s">
        <v>184</v>
      </c>
      <c r="C5" s="43">
        <v>1</v>
      </c>
      <c r="D5" s="44">
        <v>109240.48</v>
      </c>
      <c r="E5" s="45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28"/>
      <c r="B6" s="129"/>
      <c r="C6" s="120"/>
      <c r="D6" s="121"/>
      <c r="E6" s="124"/>
      <c r="F6" s="45"/>
      <c r="G6" s="45"/>
      <c r="K6" s="47"/>
      <c r="L6" s="33">
        <f t="shared" si="0"/>
        <v>0</v>
      </c>
    </row>
    <row r="7" spans="1:12" ht="18.75" customHeight="1">
      <c r="A7" s="133"/>
      <c r="B7" s="130"/>
      <c r="C7" s="120"/>
      <c r="D7" s="121"/>
      <c r="E7" s="131"/>
      <c r="F7" s="46"/>
      <c r="G7" s="46"/>
      <c r="K7" s="47"/>
      <c r="L7" s="33">
        <f t="shared" si="0"/>
        <v>0</v>
      </c>
    </row>
    <row r="8" spans="1:12" ht="18.75" customHeight="1">
      <c r="A8" s="45"/>
      <c r="B8" s="132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183</v>
      </c>
      <c r="G11" s="112"/>
      <c r="L11" s="33">
        <f t="shared" si="0"/>
        <v>0</v>
      </c>
    </row>
    <row r="12" spans="1:12" ht="15.75">
      <c r="A12" s="30"/>
      <c r="F12" s="113"/>
      <c r="G12" s="114"/>
      <c r="L12" s="33">
        <f t="shared" si="0"/>
        <v>0</v>
      </c>
    </row>
    <row r="13" spans="1:12" ht="15.75">
      <c r="A13" s="30"/>
      <c r="F13" s="113"/>
      <c r="G13" s="114"/>
      <c r="L13" s="33">
        <f t="shared" si="0"/>
        <v>0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14357.76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14357.76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54559.32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54559.32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29125.68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29125.68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16408.8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16408.8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6973.8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6973.8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28715.4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28715.4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190</v>
      </c>
      <c r="B46" s="140">
        <f>(E46*G52*F54*6+E46*G52*G54*6)+(F46*G58*F60*6+F46*G58*G60*6)+(F46*G62*F64*6+F46*G62*G64*6)</f>
        <v>25033.43475</v>
      </c>
      <c r="C46" s="141" t="s">
        <v>68</v>
      </c>
      <c r="D46" s="49">
        <v>12</v>
      </c>
      <c r="E46" s="140">
        <v>588.29999999999995</v>
      </c>
      <c r="F46" s="140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2"/>
      <c r="C47" s="141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3" t="s">
        <v>191</v>
      </c>
      <c r="F51" s="143" t="s">
        <v>192</v>
      </c>
      <c r="G51" s="143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/>
      <c r="F52" s="140">
        <v>1129.2</v>
      </c>
      <c r="G52" s="143">
        <v>2.5</v>
      </c>
      <c r="H52" s="143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/>
      <c r="F53" s="143" t="s">
        <v>194</v>
      </c>
      <c r="G53" s="143" t="s">
        <v>195</v>
      </c>
      <c r="H53" s="143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>
        <v>1.17</v>
      </c>
      <c r="G54" s="143">
        <v>1.23</v>
      </c>
      <c r="H54" s="143"/>
    </row>
    <row r="55" spans="5:16">
      <c r="E55" s="143"/>
      <c r="F55" s="143"/>
      <c r="G55" s="143">
        <v>21</v>
      </c>
      <c r="H55" s="143"/>
    </row>
    <row r="56" spans="5:16">
      <c r="E56" s="143"/>
      <c r="F56" s="143"/>
      <c r="G56" s="143"/>
      <c r="H56" s="143"/>
    </row>
    <row r="57" spans="5:16">
      <c r="E57" s="143" t="s">
        <v>196</v>
      </c>
      <c r="F57" s="143"/>
      <c r="G57" s="143"/>
      <c r="H57" s="143"/>
    </row>
    <row r="58" spans="5:16">
      <c r="E58" s="143"/>
      <c r="F58" s="140">
        <f>F52</f>
        <v>1129.2</v>
      </c>
      <c r="G58" s="143">
        <v>7.4999999999999997E-2</v>
      </c>
      <c r="H58" s="143">
        <f>G58*F46</f>
        <v>10.987499999999999</v>
      </c>
    </row>
    <row r="59" spans="5:16">
      <c r="E59" s="143"/>
      <c r="F59" s="143" t="s">
        <v>194</v>
      </c>
      <c r="G59" s="143" t="s">
        <v>195</v>
      </c>
      <c r="H59" s="143">
        <f>H58/F58</f>
        <v>9.7303400637619546E-3</v>
      </c>
    </row>
    <row r="60" spans="5:16">
      <c r="E60" s="143"/>
      <c r="F60" s="143">
        <v>12.94</v>
      </c>
      <c r="G60" s="143">
        <v>13.45</v>
      </c>
      <c r="H60" s="143">
        <f>H59*G55</f>
        <v>0.20433714133900105</v>
      </c>
    </row>
    <row r="61" spans="5:16">
      <c r="E61" s="143" t="s">
        <v>197</v>
      </c>
      <c r="F61" s="143"/>
      <c r="G61" s="143"/>
      <c r="H61" s="143"/>
    </row>
    <row r="62" spans="5:16">
      <c r="E62" s="143"/>
      <c r="F62" s="140">
        <f>F52</f>
        <v>1129.2</v>
      </c>
      <c r="G62" s="143">
        <v>7.4999999999999997E-2</v>
      </c>
      <c r="H62" s="143">
        <f>G62*F46</f>
        <v>10.987499999999999</v>
      </c>
    </row>
    <row r="63" spans="5:16">
      <c r="E63" s="143"/>
      <c r="F63" s="143" t="s">
        <v>194</v>
      </c>
      <c r="G63" s="143" t="s">
        <v>195</v>
      </c>
      <c r="H63" s="143">
        <f>H62/F62</f>
        <v>9.7303400637619546E-3</v>
      </c>
    </row>
    <row r="64" spans="5:16">
      <c r="E64" s="143"/>
      <c r="F64" s="143">
        <v>15.73</v>
      </c>
      <c r="G64" s="143">
        <v>16.350000000000001</v>
      </c>
      <c r="H64" s="143">
        <f>H63*G55</f>
        <v>0.20433714133900105</v>
      </c>
    </row>
    <row r="65" spans="4:13" ht="18.75" customHeight="1">
      <c r="D65" s="103"/>
      <c r="E65" s="50"/>
      <c r="F65" s="51"/>
      <c r="G65" s="103"/>
      <c r="H65" s="103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72" sqref="E7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1139.5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112745.65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228840.13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154316.82999999999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74523.3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268415.14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268415.14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268415.14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73170.640000000014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103</v>
      </c>
      <c r="B27" s="76" t="s">
        <v>4</v>
      </c>
      <c r="C27" s="87">
        <v>81288.399999999994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106</v>
      </c>
      <c r="B30" s="76" t="s">
        <v>18</v>
      </c>
      <c r="C30" s="87">
        <v>49205.08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89050.93</v>
      </c>
      <c r="F37" s="95" t="s">
        <v>165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74209.11</v>
      </c>
      <c r="D38" s="95" t="s">
        <v>163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106672.46</v>
      </c>
      <c r="D39" s="95" t="s">
        <v>164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89050.93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89050.93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27645.58</v>
      </c>
      <c r="F45" s="95" t="s">
        <v>165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2094.36</v>
      </c>
      <c r="D46" s="95" t="s">
        <v>166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31256.16</v>
      </c>
      <c r="D47" s="95" t="s">
        <v>164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27645.58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27645.58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54730.559999999998</v>
      </c>
      <c r="F53" s="95" t="s">
        <v>165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3412.13</v>
      </c>
      <c r="D54" s="95" t="s">
        <v>166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62543.12</v>
      </c>
      <c r="D55" s="95" t="s">
        <v>164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54730.559999999998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54730.559999999998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17335.52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1313.3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20374.169999999998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17335.52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17335.52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2" sqref="C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6">
        <v>3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7">
        <v>85725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2022-03-25T07:30:35Z</dcterms:modified>
</cp:coreProperties>
</file>