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1" i="1"/>
  <c r="G110" i="1"/>
  <c r="J109" i="1"/>
  <c r="J104" i="1"/>
  <c r="J103" i="1"/>
  <c r="G102" i="1"/>
  <c r="J101" i="1"/>
  <c r="J96" i="1"/>
  <c r="J95" i="1"/>
  <c r="A101" i="1"/>
  <c r="A97" i="1"/>
  <c r="G94" i="1"/>
  <c r="F94" i="1"/>
  <c r="K94" i="1"/>
  <c r="A109" i="1" l="1"/>
  <c r="F102" i="1"/>
  <c r="A105" i="1"/>
  <c r="A110" i="1"/>
  <c r="A116" i="1"/>
  <c r="D110" i="1"/>
  <c r="A117" i="1"/>
  <c r="A112" i="1"/>
  <c r="F110" i="1"/>
  <c r="A113" i="1"/>
  <c r="A119" i="1"/>
  <c r="A122" i="1"/>
  <c r="A118" i="1"/>
  <c r="A123" i="1"/>
  <c r="F134" i="1"/>
  <c r="A95" i="1"/>
  <c r="A99" i="1"/>
  <c r="D118" i="1"/>
  <c r="A120" i="1"/>
  <c r="A124" i="1"/>
  <c r="A141" i="1"/>
  <c r="A98" i="1"/>
  <c r="A94" i="1"/>
  <c r="D94" i="1"/>
  <c r="A96" i="1"/>
  <c r="F118" i="1"/>
  <c r="A121" i="1"/>
  <c r="A137" i="1"/>
  <c r="A106" i="1"/>
  <c r="A138" i="1"/>
  <c r="A103" i="1"/>
  <c r="A134" i="1"/>
  <c r="A135" i="1"/>
  <c r="A139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<sst xmlns="http://schemas.openxmlformats.org/spreadsheetml/2006/main" count="557" uniqueCount="204">
  <si>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</si>
  <si>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</si>
  <si>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</si>
  <si>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</si>
  <si>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</si>
  <si>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</si>
  <si>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</si>
  <si>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</si>
  <si>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</si>
  <si>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</si>
  <si>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</si>
  <si>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</si>
  <si>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</si>
  <si>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</si>
  <si>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</si>
  <si>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</si>
  <si>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</si>
  <si>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</si>
  <si>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</si>
  <si>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</si>
  <si>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</si>
  <si>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</si>
  <si>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</si>
  <si>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</si>
  <si>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</si>
  <si>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</si>
  <si>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</si>
  <si>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</si>
  <si>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</si>
  <si>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</si>
  <si>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</si>
  <si>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</si>
  <si>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</si>
  <si>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</si>
  <si>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</si>
  <si>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</si>
  <si>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</si>
  <si>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</si>
  <si>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</si>
  <si>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</si>
  <si>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</si>
  <si>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</si>
  <si>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</si>
  <si>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</si>
  <si>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</si>
  <si>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</si>
  <si>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</si>
  <si>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</si>
  <si>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</si>
  <si>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</si>
  <si>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</si>
  <si>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</si>
  <si>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</si>
  <si>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</si>
  <si>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</si>
  <si>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</si>
  <si>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</si>
  <si>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</si>
  <si>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</si>
  <si>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</si>
  <si>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</si>
  <si>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</si>
  <si>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</si>
  <si>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</si>
  <si>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</si>
  <si>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</si>
  <si>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</si>
  <si>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</si>
  <si>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</si>
  <si>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</si>
  <si>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</si>
  <si>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</si>
  <si>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</si>
  <si>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</si>
  <si>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</si>
  <si>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</si>
  <si>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</si>
  <si>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</si>
  <si>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</si>
  <si>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</si>
  <si>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</si>
  <si>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</si>
  <si>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</si>
  <si>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</si>
  <si>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</si>
  <si>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</si>
  <si>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</si>
  <si>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</si>
  <si>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</si>
  <si>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</si>
  <si>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</si>
  <si>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</si>
  <si>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</si>
  <si>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</si>
  <si>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</si>
  <si>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</si>
  <si>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</si>
  <si>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</si>
  <si>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</si>
  <si>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</si>
  <si>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</si>
  <si>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</si>
  <si>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</si>
  <si>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</si>
  <si>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</si>
  <si>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</si>
  <si>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</si>
  <si>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</si>
  <si>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</si>
  <si>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</si>
  <si>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</si>
  <si>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</si>
  <si>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</si>
  <si>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</si>
  <si>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</si>
  <si>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</si>
  <si>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</si>
  <si>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</si>
  <si>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</si>
  <si>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</si>
  <si>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</si>
  <si>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</si>
  <si>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</si>
  <si>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</si>
  <si>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</si>
  <si>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</si>
  <si>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</si>
  <si>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</si>
  <si>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</si>
  <si>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</si>
  <si>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</si>
  <si>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</si>
  <si>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</si>
  <si>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</si>
  <si>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</si>
  <si>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</si>
  <si>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</si>
  <si>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</si>
  <si>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</si>
  <si>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</si>
  <si>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</si>
  <si>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</si>
  <si>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</si>
  <si>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</si>
  <si>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</si>
  <si>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</si>
  <si>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</si>
  <si>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</si>
  <si>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</si>
  <si>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</si>
  <si>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</si>
  <si>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</si>
  <si>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</si>
  <si>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</si>
  <si>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</si>
  <si>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</si>
  <si>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</si>
  <si>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</si>
  <si>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</si>
  <si>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</si>
  <si>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</si>
  <si>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</si>
  <si>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</si>
  <si>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</si>
  <si>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</si>
  <si>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</si>
  <si>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</si>
  <si>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</si>
  <si>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</si>
  <si>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</si>
  <si>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</si>
  <si>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</si>
  <si>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</si>
  <si>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</si>
  <si>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107</t>
  </si>
  <si>
    <t>Работы (услуги) по управлению многоквартирным домом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</si>
  <si>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</si>
  <si>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</si>
  <si>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</si>
  <si>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</si>
  <si>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107 в части текущего ремонта</t>
  </si>
  <si>
    <t>разово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</si>
  <si>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</si>
  <si>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</si>
  <si>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</si>
  <si>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</si>
  <si>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</si>
  <si>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аккумулятора охранной сигнализации.</t>
  </si>
  <si>
    <t>АВР 1/21 от 12.05.2021, счет №2576 от 26.01.2021</t>
  </si>
  <si>
    <t>Монтаж дополнительной ветровой планки с капельником на парапет торцевой стены дома.</t>
  </si>
  <si>
    <t>Аварийный ремонт теплообменника ГВС (замена уплотнительных прокладок).</t>
  </si>
  <si>
    <t>АВР 3/21 от 20.09.2021, Решение</t>
  </si>
  <si>
    <t>АВР 2/21 от 01.09.2021</t>
  </si>
  <si>
    <t>Приобретение и установка информационного стенда на детскую площадку.</t>
  </si>
  <si>
    <t>АВР 4/21 от 29.11.2021, Решение</t>
  </si>
  <si>
    <t>АВР 5/21 от 31.12.2021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</si>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</sst>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24" fillId="0" borderId="0"/>
    <xf numFmtId="0" fontId="24" fillId="0" borderId="0"/>
    <xf numFmtId="164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1" fillId="0" borderId="0"/>
  </cellStyleXfs>
  <cellXfs count="178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23" fillId="0" borderId="0" xfId="5" applyFont="1" applyFill="1" applyBorder="1" applyAlignment="1"/>
    <xf numFmtId="4" fontId="8" fillId="0" borderId="0" xfId="5" applyNumberFormat="1" applyFill="1" applyBorder="1" applyAlignment="1"/>
    <xf numFmtId="0" fontId="8" fillId="0" borderId="0" xfId="5" applyFont="1" applyFill="1" applyBorder="1" applyAlignment="1">
      <alignment horizontal="center"/>
    </xf>
    <xf numFmtId="0" fontId="23" fillId="0" borderId="0" xfId="5" applyFont="1" applyFill="1" applyBorder="1" applyAlignment="1">
      <alignment horizontal="center"/>
    </xf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5" fillId="0" borderId="0" xfId="11" applyFont="1" applyFill="1" applyBorder="1" applyAlignment="1"/>
    <xf numFmtId="0" fontId="5" fillId="0" borderId="0" xfId="11" applyFont="1" applyFill="1" applyBorder="1" applyAlignment="1">
      <alignment horizontal="center"/>
    </xf>
    <xf numFmtId="0" fontId="23" fillId="0" borderId="0" xfId="11" applyFont="1" applyFill="1" applyBorder="1" applyAlignment="1">
      <alignment horizontal="center"/>
    </xf>
    <xf numFmtId="4" fontId="23" fillId="0" borderId="0" xfId="11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3" fillId="0" borderId="0" xfId="16" applyFont="1" applyFill="1" applyBorder="1" applyAlignment="1"/>
    <xf numFmtId="0" fontId="3" fillId="0" borderId="0" xfId="16" applyFont="1" applyFill="1" applyBorder="1" applyAlignment="1">
      <alignment horizontal="center"/>
    </xf>
    <xf numFmtId="0" fontId="3" fillId="0" borderId="0" xfId="16" applyFill="1" applyBorder="1" applyAlignment="1">
      <alignment horizontal="center"/>
    </xf>
    <xf numFmtId="4" fontId="23" fillId="0" borderId="0" xfId="16" applyNumberFormat="1" applyFont="1" applyFill="1" applyBorder="1" applyAlignment="1"/>
    <xf numFmtId="0" fontId="6" fillId="0" borderId="0" xfId="4" applyFont="1" applyFill="1" applyBorder="1" applyAlignment="1">
      <alignment horizontal="center"/>
    </xf>
    <xf numFmtId="0" fontId="2" fillId="0" borderId="0" xfId="26" applyFont="1" applyFill="1" applyBorder="1" applyAlignment="1"/>
    <xf numFmtId="0" fontId="0" fillId="0" borderId="0" xfId="0" applyFill="1" applyBorder="1" applyAlignment="1">
      <alignment horizontal="center" vertical="center"/>
    </xf>
    <xf numFmtId="4" fontId="3" fillId="0" borderId="0" xfId="16" applyNumberFormat="1" applyFill="1" applyBorder="1" applyAlignment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5" fillId="3" borderId="0" xfId="27" applyNumberFormat="1" applyFont="1" applyFill="1" applyBorder="1" applyAlignment="1">
      <alignment horizontal="left" vertical="center" wrapText="1"/>
    </xf>
    <xf numFmtId="4" fontId="33" fillId="0" borderId="0" xfId="0" applyNumberFormat="1" applyFont="1"/>
    <xf numFmtId="0" fontId="0" fillId="0" borderId="0" xfId="0" applyBorder="1" applyAlignment="1">
      <alignment horizontal="center"/>
    </xf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28">
    <cellStyle name="Обычный" xfId="0" builtinId="0"/>
    <cellStyle name="Обычный 2" xfId="1"/>
    <cellStyle name="Обычный 2 2" xfId="3"/>
    <cellStyle name="Обычный 2 3" xfId="9"/>
    <cellStyle name="Обычный 2 3 2" xfId="21"/>
    <cellStyle name="Обычный 2 4" xfId="14"/>
    <cellStyle name="Обычный 2 5 2" xfId="27"/>
    <cellStyle name="Обычный 3" xfId="2"/>
    <cellStyle name="Обычный 3 2" xfId="7"/>
    <cellStyle name="Обычный 3 3" xfId="6"/>
    <cellStyle name="Обычный 3 4" xfId="10"/>
    <cellStyle name="Обычный 3 4 2" xfId="22"/>
    <cellStyle name="Обычный 3 5" xfId="15"/>
    <cellStyle name="Обычный 3 6" xfId="26"/>
    <cellStyle name="Обычный 4" xfId="4"/>
    <cellStyle name="Обычный 4 2" xfId="11"/>
    <cellStyle name="Обычный 4 2 2" xfId="23"/>
    <cellStyle name="Обычный 4 3" xfId="16"/>
    <cellStyle name="Обычный 5" xfId="5"/>
    <cellStyle name="Обычный 5 2" xfId="12"/>
    <cellStyle name="Обычный 5 2 2" xfId="24"/>
    <cellStyle name="Обычный 5 3" xfId="17"/>
    <cellStyle name="Обычный 6" xfId="19"/>
    <cellStyle name="Финансовый 2" xfId="8"/>
    <cellStyle name="Финансовый 2 2" xfId="13"/>
    <cellStyle name="Финансовый 2 2 2" xfId="25"/>
    <cellStyle name="Финансовый 2 3" xfId="18"/>
    <cellStyle name="Финансовый 3" xfId="2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8" t="s">
        <v>174</v>
      </c>
      <c r="B2" s="168"/>
      <c r="C2" s="168"/>
      <c r="D2" s="168"/>
      <c r="E2" s="168"/>
      <c r="F2" s="168"/>
      <c r="G2" s="168"/>
      <c r="H2" s="168"/>
      <c r="I2" s="168"/>
      <c r="J2" s="16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44197</v>
      </c>
      <c r="K4" s="111"/>
      <c r="L4" s="111"/>
      <c r="M4" s="111"/>
      <c r="N4" s="111"/>
    </row>
    <row r="5" spans="1:18">
      <c r="A5" s="1" t="s">
        <v>1</v>
      </c>
      <c r="E5" s="118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11"/>
      <c r="L8" s="169"/>
      <c r="M8" s="111"/>
      <c r="N8" s="111"/>
      <c r="O8" s="71" t="s">
        <v>81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11"/>
      <c r="L9" s="169"/>
      <c r="M9" s="111"/>
      <c r="N9" s="111"/>
      <c r="O9" s="71" t="s">
        <v>82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139402.49</v>
      </c>
      <c r="K10" s="111"/>
      <c r="L10" s="169"/>
      <c r="M10" s="111"/>
      <c r="N10" s="111"/>
      <c r="O10" s="71" t="s">
        <v>83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246642.32</v>
      </c>
      <c r="K11" s="111"/>
      <c r="L11" s="169"/>
      <c r="M11" s="111"/>
      <c r="N11" s="111"/>
      <c r="O11" s="71" t="s">
        <v>84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199462.88</v>
      </c>
      <c r="K12" s="111"/>
      <c r="L12" s="169"/>
      <c r="M12" s="111"/>
      <c r="N12" s="111"/>
      <c r="O12" s="71" t="s">
        <v>85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47179.44</v>
      </c>
      <c r="K13" s="111"/>
      <c r="L13" s="169"/>
      <c r="M13" s="111"/>
      <c r="N13" s="111"/>
      <c r="O13" s="71" t="s">
        <v>86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11"/>
      <c r="L14" s="169"/>
      <c r="M14" s="111"/>
      <c r="N14" s="111"/>
      <c r="O14" s="71" t="s">
        <v>87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261726.66</v>
      </c>
      <c r="K15" s="111"/>
      <c r="L15" s="169"/>
      <c r="M15" s="111"/>
      <c r="N15" s="111"/>
      <c r="O15" s="71" t="s">
        <v>88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261726.66</v>
      </c>
      <c r="K16" s="111"/>
      <c r="L16" s="169"/>
      <c r="M16" s="111"/>
      <c r="N16" s="111"/>
      <c r="O16" s="71" t="s">
        <v>89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11"/>
      <c r="L17" s="169"/>
      <c r="M17" s="111"/>
      <c r="N17" s="111"/>
      <c r="O17" s="71" t="s">
        <v>90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11"/>
      <c r="L18" s="169"/>
      <c r="M18" s="111"/>
      <c r="N18" s="111"/>
      <c r="O18" s="71" t="s">
        <v>91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11"/>
      <c r="L19" s="169"/>
      <c r="M19" s="111"/>
      <c r="N19" s="111"/>
      <c r="O19" s="71" t="s">
        <v>92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11"/>
      <c r="L20" s="169"/>
      <c r="M20" s="111"/>
      <c r="N20" s="111"/>
      <c r="O20" s="71" t="s">
        <v>93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261726.66</v>
      </c>
      <c r="K21" s="111"/>
      <c r="L21" s="169"/>
      <c r="M21" s="111"/>
      <c r="N21" s="111"/>
      <c r="O21" s="71" t="s">
        <v>94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11"/>
      <c r="L22" s="169"/>
      <c r="M22" s="111"/>
      <c r="N22" s="111"/>
      <c r="O22" s="71" t="s">
        <v>95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11"/>
      <c r="L23" s="169"/>
      <c r="M23" s="111"/>
      <c r="N23" s="111"/>
      <c r="O23" s="71" t="s">
        <v>96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124318.15</v>
      </c>
      <c r="K24" s="111"/>
      <c r="L24" s="169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11"/>
      <c r="L27" s="17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47">
        <f>VLOOKUP(A28,ПТО!$A$39:$D$53,2,FALSE)</f>
        <v>45811.92</v>
      </c>
      <c r="G28" s="147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1"/>
      <c r="L28" s="17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Работы (услуги) по управлению многоквартирным домом</v>
      </c>
      <c r="B29" s="146"/>
      <c r="C29" s="146"/>
      <c r="D29" s="146"/>
      <c r="E29" s="146"/>
      <c r="F29" s="147">
        <f>VLOOKUP(A29,ПТО!$A$39:$D$53,2,FALSE)</f>
        <v>68376</v>
      </c>
      <c r="G29" s="147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1"/>
      <c r="L29" s="170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47">
        <f>VLOOKUP(A30,ПТО!$A$39:$D$53,2,FALSE)</f>
        <v>29128.2</v>
      </c>
      <c r="G30" s="147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1"/>
      <c r="L30" s="17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47">
        <f>VLOOKUP(A31,ПТО!$A$39:$D$53,2,FALSE)</f>
        <v>16410.240000000002</v>
      </c>
      <c r="G31" s="147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1"/>
      <c r="L31" s="17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1"/>
      <c r="L32" s="170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47">
        <f>VLOOKUP(A33,ПТО!$A$39:$D$53,2,FALSE)</f>
        <v>6837.6</v>
      </c>
      <c r="G33" s="147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1"/>
      <c r="L33" s="17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47">
        <f>VLOOKUP(A34,ПТО!$A$39:$D$53,2,FALSE)</f>
        <v>28717.919999999998</v>
      </c>
      <c r="G34" s="147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1"/>
      <c r="L34" s="17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6" t="str">
        <f>ПТО!A46</f>
        <v>Коммунальные ресурсы на содержание общего имущества</v>
      </c>
      <c r="B35" s="146"/>
      <c r="C35" s="146"/>
      <c r="D35" s="146"/>
      <c r="E35" s="146"/>
      <c r="F35" s="147">
        <f>VLOOKUP(A35,ПТО!$A$39:$D$53,2,FALSE)</f>
        <v>25033.43475</v>
      </c>
      <c r="G35" s="147"/>
      <c r="H35" s="42" t="str">
        <f>VLOOKUP(A35,ПТО!$A$39:$D$53,3,FALSE)</f>
        <v>Ежемесячно</v>
      </c>
      <c r="I35" s="148">
        <f>VLOOKUP(A35,ПТО!$A$39:$D$53,4,FALSE)</f>
        <v>12</v>
      </c>
      <c r="J35" s="148"/>
      <c r="K35" s="111"/>
      <c r="L35" s="170"/>
      <c r="M35" s="117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47" t="e">
        <f>VLOOKUP(A36,ПТО!$A$39:$D$53,2,FALSE)</f>
        <v>#N/A</v>
      </c>
      <c r="G36" s="147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11"/>
      <c r="L36" s="170"/>
      <c r="M36" s="117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1"/>
      <c r="L37" s="170"/>
      <c r="M37" s="117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1"/>
      <c r="L38" s="170"/>
      <c r="M38" s="117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1"/>
      <c r="L39" s="170"/>
      <c r="M39" s="117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1"/>
      <c r="L40" s="170"/>
      <c r="M40" s="117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1"/>
      <c r="L41" s="170"/>
      <c r="M41" s="117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1"/>
      <c r="L42" s="170"/>
      <c r="M42" s="117"/>
      <c r="N42" s="111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Техническое обслуживание охранной сигнализации.</v>
      </c>
      <c r="B43" s="146"/>
      <c r="C43" s="146"/>
      <c r="D43" s="146"/>
      <c r="E43" s="146"/>
      <c r="F43" s="147">
        <f>VLOOKUP(A43,ПТО!$A$2:$D$31,4,FALSE)</f>
        <v>5400</v>
      </c>
      <c r="G43" s="147"/>
      <c r="H43" s="19" t="str">
        <f>VLOOKUP(A43,ПТО!$A$2:$D$31,2,FALSE)</f>
        <v>ежемесячно</v>
      </c>
      <c r="I43" s="148">
        <f>VLOOKUP(A43,ПТО!$A$2:$D$31,3,FALSE)</f>
        <v>12</v>
      </c>
      <c r="J43" s="148"/>
      <c r="K43" s="111"/>
      <c r="L43" s="170"/>
      <c r="M43" s="117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6" t="str">
        <f>ПТО!A3</f>
        <v>Замена аккумулятора охранной сигнализации.</v>
      </c>
      <c r="B44" s="146"/>
      <c r="C44" s="146"/>
      <c r="D44" s="146"/>
      <c r="E44" s="146"/>
      <c r="F44" s="147">
        <f>VLOOKUP(A44,ПТО!$A$2:$D$31,4,FALSE)</f>
        <v>300</v>
      </c>
      <c r="G44" s="147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11"/>
      <c r="L44" s="170"/>
      <c r="M44" s="117"/>
      <c r="N44" s="111"/>
      <c r="O44" s="23" t="str">
        <f t="shared" si="1"/>
        <v>Замена аккумулятора охранной сигнализации.</v>
      </c>
      <c r="R44" s="22" t="s">
        <v>72</v>
      </c>
    </row>
    <row r="45" spans="1:18" ht="51" customHeight="1" outlineLevel="1">
      <c r="A45" s="146" t="str">
        <f>ПТО!A4</f>
        <v>Аварийный ремонт теплообменника ГВС (замена уплотнительных прокладок).</v>
      </c>
      <c r="B45" s="146"/>
      <c r="C45" s="146"/>
      <c r="D45" s="146"/>
      <c r="E45" s="146"/>
      <c r="F45" s="147">
        <f>VLOOKUP(A45,ПТО!$A$2:$D$31,4,FALSE)</f>
        <v>7042.18</v>
      </c>
      <c r="G45" s="147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1"/>
      <c r="L45" s="170"/>
      <c r="M45" s="117"/>
      <c r="N45" s="111"/>
      <c r="O45" s="23" t="str">
        <f t="shared" si="1"/>
        <v>Аварийный ремонт теплообменника ГВС (замена уплотнительных прокладок).</v>
      </c>
      <c r="R45" s="22" t="s">
        <v>72</v>
      </c>
    </row>
    <row r="46" spans="1:18" ht="51" customHeight="1" outlineLevel="1">
      <c r="A46" s="146" t="str">
        <f>ПТО!A5</f>
        <v>Монтаж дополнительной ветровой планки с капельником на парапет торцевой стены дома.</v>
      </c>
      <c r="B46" s="146"/>
      <c r="C46" s="146"/>
      <c r="D46" s="146"/>
      <c r="E46" s="146"/>
      <c r="F46" s="147">
        <f>VLOOKUP(A46,ПТО!$A$2:$D$31,4,FALSE)</f>
        <v>7600</v>
      </c>
      <c r="G46" s="147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1"/>
      <c r="L46" s="170"/>
      <c r="M46" s="117"/>
      <c r="N46" s="111"/>
      <c r="O46" s="23" t="str">
        <f t="shared" si="1"/>
        <v>Монтаж дополнительной ветровой планки с капельником на парапет торцевой стены дома.</v>
      </c>
      <c r="R46" s="22" t="s">
        <v>72</v>
      </c>
    </row>
    <row r="47" spans="1:18" ht="51" customHeight="1" outlineLevel="1">
      <c r="A47" s="146" t="str">
        <f>ПТО!A6</f>
        <v>Приобретение и установка информационного стенда на детскую площадку.</v>
      </c>
      <c r="B47" s="146"/>
      <c r="C47" s="146"/>
      <c r="D47" s="146"/>
      <c r="E47" s="146"/>
      <c r="F47" s="147">
        <f>VLOOKUP(A47,ПТО!$A$2:$D$31,4,FALSE)</f>
        <v>542.4</v>
      </c>
      <c r="G47" s="147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1"/>
      <c r="L47" s="170"/>
      <c r="M47" s="117"/>
      <c r="N47" s="111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hidden="1" customHeight="1" outlineLevel="1">
      <c r="A48" s="146">
        <f>ПТО!A7</f>
        <v>0</v>
      </c>
      <c r="B48" s="146"/>
      <c r="C48" s="146"/>
      <c r="D48" s="146"/>
      <c r="E48" s="146"/>
      <c r="F48" s="147" t="e">
        <f>VLOOKUP(A48,ПТО!$A$2:$D$31,4,FALSE)</f>
        <v>#N/A</v>
      </c>
      <c r="G48" s="147"/>
      <c r="H48" s="25" t="e">
        <f>VLOOKUP(A48,ПТО!$A$2:$D$31,2,FALSE)</f>
        <v>#N/A</v>
      </c>
      <c r="I48" s="148" t="e">
        <f>VLOOKUP(A48,ПТО!$A$2:$D$31,3,FALSE)</f>
        <v>#N/A</v>
      </c>
      <c r="J48" s="148"/>
      <c r="K48" s="111"/>
      <c r="L48" s="170"/>
      <c r="M48" s="117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6">
        <f>ПТО!A8</f>
        <v>0</v>
      </c>
      <c r="B49" s="146"/>
      <c r="C49" s="146"/>
      <c r="D49" s="146"/>
      <c r="E49" s="146"/>
      <c r="F49" s="147" t="e">
        <f>VLOOKUP(A49,ПТО!$A$2:$D$31,4,FALSE)</f>
        <v>#N/A</v>
      </c>
      <c r="G49" s="147"/>
      <c r="H49" s="25" t="e">
        <f>VLOOKUP(A49,ПТО!$A$2:$D$31,2,FALSE)</f>
        <v>#N/A</v>
      </c>
      <c r="I49" s="148" t="e">
        <f>VLOOKUP(A49,ПТО!$A$2:$D$31,3,FALSE)</f>
        <v>#N/A</v>
      </c>
      <c r="J49" s="148"/>
      <c r="K49" s="111"/>
      <c r="L49" s="170"/>
      <c r="M49" s="117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11"/>
      <c r="L50" s="170"/>
      <c r="M50" s="117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1"/>
      <c r="L51" s="170"/>
      <c r="M51" s="117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1"/>
      <c r="L52" s="170"/>
      <c r="M52" s="117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1"/>
      <c r="L53" s="170"/>
      <c r="M53" s="117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1"/>
      <c r="L54" s="170"/>
      <c r="M54" s="117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1"/>
      <c r="L55" s="170"/>
      <c r="M55" s="117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1"/>
      <c r="L56" s="170"/>
      <c r="M56" s="117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1"/>
      <c r="L57" s="170"/>
      <c r="M57" s="117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1"/>
      <c r="L58" s="170"/>
      <c r="M58" s="117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1"/>
      <c r="L59" s="170"/>
      <c r="M59" s="117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1"/>
      <c r="L60" s="170"/>
      <c r="M60" s="117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1"/>
      <c r="L61" s="170"/>
      <c r="M61" s="117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1"/>
      <c r="L62" s="170"/>
      <c r="M62" s="117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1"/>
      <c r="L63" s="170"/>
      <c r="M63" s="117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1"/>
      <c r="L64" s="170"/>
      <c r="M64" s="117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1"/>
      <c r="L65" s="170"/>
      <c r="M65" s="117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1"/>
      <c r="L66" s="170"/>
      <c r="M66" s="117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1"/>
      <c r="L67" s="170"/>
      <c r="M67" s="117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1"/>
      <c r="L68" s="170"/>
      <c r="M68" s="117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1"/>
      <c r="L69" s="170"/>
      <c r="M69" s="117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1"/>
      <c r="L70" s="170"/>
      <c r="M70" s="117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7"/>
      <c r="L71" s="170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1"/>
      <c r="L72" s="170"/>
      <c r="M72" s="117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1"/>
      <c r="L75" s="153"/>
      <c r="M75" s="111"/>
      <c r="N75" s="111"/>
      <c r="O75" s="71" t="s">
        <v>98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1"/>
      <c r="L76" s="153"/>
      <c r="M76" s="111"/>
      <c r="N76" s="111"/>
      <c r="O76" s="71" t="s">
        <v>99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1"/>
      <c r="L77" s="153"/>
      <c r="M77" s="111"/>
      <c r="N77" s="111"/>
      <c r="O77" s="71" t="s">
        <v>100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8">
        <f>VLOOKUP(O78,АО,3,FALSE)</f>
        <v>0</v>
      </c>
      <c r="K78" s="111"/>
      <c r="L78" s="153"/>
      <c r="M78" s="111"/>
      <c r="N78" s="111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8">
        <f t="shared" ref="J81:J90" si="2">VLOOKUP(O81,АО,3,FALSE)</f>
        <v>0</v>
      </c>
      <c r="K81" s="111"/>
      <c r="L81" s="171"/>
      <c r="M81" s="111"/>
      <c r="N81" s="111"/>
      <c r="O81" s="71" t="s">
        <v>102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8">
        <f t="shared" si="2"/>
        <v>0</v>
      </c>
      <c r="K82" s="111"/>
      <c r="L82" s="171"/>
      <c r="M82" s="111"/>
      <c r="N82" s="111"/>
      <c r="O82" s="71" t="s">
        <v>103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75877.66</v>
      </c>
      <c r="K83" s="111"/>
      <c r="L83" s="171"/>
      <c r="M83" s="111"/>
      <c r="N83" s="111"/>
      <c r="O83" s="71" t="s">
        <v>104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71"/>
      <c r="M84" s="111"/>
      <c r="N84" s="111"/>
      <c r="O84" s="71" t="s">
        <v>105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71"/>
      <c r="M85" s="111"/>
      <c r="N85" s="111"/>
      <c r="O85" s="71" t="s">
        <v>106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65622.73</v>
      </c>
      <c r="K86" s="111"/>
      <c r="L86" s="171"/>
      <c r="M86" s="111"/>
      <c r="N86" s="111"/>
      <c r="O86" s="71" t="s">
        <v>107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71"/>
      <c r="M87" s="111"/>
      <c r="N87" s="111"/>
      <c r="O87" s="71" t="s">
        <v>108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71"/>
      <c r="M88" s="111"/>
      <c r="N88" s="111"/>
      <c r="O88" s="71" t="s">
        <v>109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71"/>
      <c r="M89" s="111"/>
      <c r="N89" s="111"/>
      <c r="O89" s="71" t="s">
        <v>110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71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5" t="s">
        <v>48</v>
      </c>
      <c r="B93" s="155"/>
      <c r="C93" s="155"/>
      <c r="D93" s="158" t="s">
        <v>49</v>
      </c>
      <c r="E93" s="158"/>
      <c r="F93" s="10" t="s">
        <v>50</v>
      </c>
      <c r="G93" s="155" t="s">
        <v>51</v>
      </c>
      <c r="H93" s="155"/>
      <c r="I93" s="155"/>
      <c r="J93" s="155"/>
      <c r="K93" s="111"/>
      <c r="L93" s="111"/>
      <c r="M93" s="111"/>
      <c r="N93" s="111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6">
        <f>VLOOKUP("эл",АО,5,FALSE)</f>
        <v>21613.22</v>
      </c>
      <c r="H94" s="157"/>
      <c r="I94" s="157"/>
      <c r="J94" s="157"/>
      <c r="K94" s="1" t="str">
        <f>VLOOKUP("эл",АО,2,FALSE)</f>
        <v>Электроснабжение</v>
      </c>
      <c r="L94" s="172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18011.02</v>
      </c>
      <c r="L95" s="172"/>
      <c r="O95" s="1" t="s">
        <v>112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22295.19</v>
      </c>
      <c r="L96" s="172"/>
      <c r="O96" s="1" t="s">
        <v>113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72"/>
      <c r="O97" s="1" t="s">
        <v>114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21613.22</v>
      </c>
      <c r="L98" s="172"/>
      <c r="O98" s="1" t="s">
        <v>115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21613.22</v>
      </c>
      <c r="L99" s="172"/>
      <c r="O99" s="1" t="s">
        <v>116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72"/>
      <c r="O100" s="1" t="s">
        <v>117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72"/>
      <c r="O101" s="1" t="s">
        <v>118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6">
        <f>VLOOKUP("хвс",АО,5,FALSE)</f>
        <v>36576.129999999997</v>
      </c>
      <c r="H102" s="157"/>
      <c r="I102" s="157"/>
      <c r="J102" s="157"/>
      <c r="L102" s="172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2770.92</v>
      </c>
      <c r="L103" s="172"/>
      <c r="O103" s="1" t="s">
        <v>121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39904.54</v>
      </c>
      <c r="L104" s="172"/>
      <c r="O104" s="1" t="s">
        <v>122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72"/>
      <c r="O105" s="1" t="s">
        <v>123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36576.129999999997</v>
      </c>
      <c r="L106" s="172"/>
      <c r="O106" s="1" t="s">
        <v>124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36576.129999999997</v>
      </c>
      <c r="L107" s="172"/>
      <c r="O107" s="1" t="s">
        <v>125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72"/>
      <c r="O108" s="1" t="s">
        <v>126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72"/>
      <c r="O109" s="1" t="s">
        <v>127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6">
        <f>VLOOKUP("воо",АО,5,FALSE)</f>
        <v>72853.89</v>
      </c>
      <c r="H110" s="157"/>
      <c r="I110" s="157"/>
      <c r="J110" s="157"/>
      <c r="L110" s="172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4542.01</v>
      </c>
      <c r="L111" s="172"/>
      <c r="O111" s="1" t="s">
        <v>129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77542.48</v>
      </c>
      <c r="L112" s="172"/>
      <c r="O112" s="1" t="s">
        <v>130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72"/>
      <c r="O113" s="1" t="s">
        <v>131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72853.89</v>
      </c>
      <c r="L114" s="172"/>
      <c r="O114" s="1" t="s">
        <v>132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72853.89</v>
      </c>
      <c r="L115" s="172"/>
      <c r="O115" s="1" t="s">
        <v>133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72"/>
      <c r="O116" s="1" t="s">
        <v>134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72"/>
      <c r="O117" s="1" t="s">
        <v>135</v>
      </c>
    </row>
    <row r="118" spans="1:15" ht="32.25" hidden="1" customHeight="1" outlineLevel="1">
      <c r="A118" s="159">
        <f>IF(VLOOKUP("тко",АО,3,FALSE)&gt;0,"Обращение с ТКО",0)</f>
        <v>0</v>
      </c>
      <c r="B118" s="159"/>
      <c r="C118" s="159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6">
        <f>VLOOKUP("тко",АО,5,FALSE)</f>
        <v>0</v>
      </c>
      <c r="H118" s="157"/>
      <c r="I118" s="157"/>
      <c r="J118" s="157"/>
      <c r="L118" s="48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59" t="str">
        <f>IF(VLOOKUP("гвс",АО,3,FALSE)&gt;0,"Горячее водоснабжение",0)</f>
        <v>Горячее водоснабжение</v>
      </c>
      <c r="B126" s="159"/>
      <c r="C126" s="159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6">
        <f>VLOOKUP("гвс",АО,5,FALSE)</f>
        <v>23343.59</v>
      </c>
      <c r="H126" s="157"/>
      <c r="I126" s="157"/>
      <c r="J126" s="157"/>
      <c r="L126" s="48"/>
    </row>
    <row r="127" spans="1:15" ht="32.25" customHeight="1" outlineLevel="2">
      <c r="A127" s="154" t="str">
        <f t="shared" ref="A127:A133" si="10">IF(VLOOKUP("гвс",АО,3,FALSE)&gt;0,VLOOKUP(O127,АО,2,FALSE),0)</f>
        <v>Общий объем потребления, нат. показ.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1768.45</v>
      </c>
      <c r="L127" s="48"/>
      <c r="O127" s="1" t="s">
        <v>145</v>
      </c>
    </row>
    <row r="128" spans="1:15" ht="32.25" customHeight="1" outlineLevel="2">
      <c r="A128" s="154" t="str">
        <f t="shared" si="10"/>
        <v>Оплачено потребителями, руб.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24899.55</v>
      </c>
      <c r="L128" s="48"/>
      <c r="O128" s="1" t="s">
        <v>146</v>
      </c>
    </row>
    <row r="129" spans="1:15" ht="32.25" customHeight="1" outlineLevel="2">
      <c r="A129" s="154" t="str">
        <f t="shared" si="10"/>
        <v>Задолженность потребителей, руб.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8"/>
      <c r="O129" s="1" t="s">
        <v>147</v>
      </c>
    </row>
    <row r="130" spans="1:15" ht="32.25" customHeight="1" outlineLevel="2">
      <c r="A130" s="154" t="str">
        <f t="shared" si="10"/>
        <v>Начислено поставщиком (поставщиками) коммунального ресурса, руб.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23343.59</v>
      </c>
      <c r="L130" s="48"/>
      <c r="O130" s="1" t="s">
        <v>148</v>
      </c>
    </row>
    <row r="131" spans="1:15" ht="32.25" customHeight="1" outlineLevel="2">
      <c r="A131" s="154" t="str">
        <f t="shared" si="10"/>
        <v>Оплачено поставщику (поставщикам) коммунального ресурса, руб.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23343.59</v>
      </c>
      <c r="L131" s="48"/>
      <c r="O131" s="1" t="s">
        <v>149</v>
      </c>
    </row>
    <row r="132" spans="1:15" ht="32.25" customHeight="1" outlineLevel="2">
      <c r="A132" s="154" t="str">
        <f t="shared" si="10"/>
        <v>Задолженность перед поставщиком (поставщиками) коммунального ресурса, руб.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4" t="str">
        <f t="shared" si="10"/>
        <v>Размер пени и штрафов, уплаченных поставщику (поставщикам) коммунального ресурса, руб.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7"/>
      <c r="I134" s="157"/>
      <c r="J134" s="157"/>
      <c r="L134" s="48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4" t="s">
        <v>45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169</v>
      </c>
    </row>
    <row r="145" spans="1:15" ht="18.75" customHeight="1" outlineLevel="1">
      <c r="A145" s="154" t="s">
        <v>46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54" t="s">
        <v>172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40509</v>
      </c>
      <c r="O146" t="s">
        <v>171</v>
      </c>
    </row>
    <row r="149" spans="1:15" ht="52.5" customHeight="1">
      <c r="A149" s="150" t="s">
        <v>180</v>
      </c>
      <c r="B149" s="150"/>
      <c r="C149" s="150"/>
      <c r="D149" s="150"/>
      <c r="E149" s="150"/>
      <c r="F149" s="150"/>
      <c r="G149" s="150"/>
      <c r="H149" s="150"/>
      <c r="I149" s="150"/>
      <c r="J149" s="150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9" t="s">
        <v>182</v>
      </c>
      <c r="B154" s="149"/>
      <c r="C154" s="149"/>
      <c r="D154" s="149"/>
      <c r="E154" s="27">
        <f>ПТО!G1</f>
        <v>38210.83</v>
      </c>
    </row>
    <row r="155" spans="1:15" ht="34.5" customHeight="1">
      <c r="A155" s="151" t="s">
        <v>186</v>
      </c>
      <c r="B155" s="151"/>
      <c r="C155" s="151"/>
      <c r="D155" s="151"/>
      <c r="E155" s="28">
        <f>J13</f>
        <v>47179.44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6" t="str">
        <f t="shared" ref="A158:A163" si="14">IF(N158&gt;0,N158,0)</f>
        <v>Техническое обслуживание охранной сигнализации.</v>
      </c>
      <c r="B158" s="146"/>
      <c r="C158" s="146"/>
      <c r="D158" s="146"/>
      <c r="E158" s="146"/>
      <c r="F158" s="147">
        <f t="shared" ref="F158:F163" si="15">IF(ISERROR(VLOOKUP(A158,$A$28:$J$72,6,FALSE)),0,VLOOKUP(A158,$A$28:$J$72,6,FALSE))</f>
        <v>5400</v>
      </c>
      <c r="G158" s="147"/>
      <c r="H158" s="24" t="str">
        <f t="shared" ref="H158:H187" si="16">VLOOKUP(A158,$A$28:$J$72,8,FALSE)</f>
        <v>ежемесячно</v>
      </c>
      <c r="I158" s="148">
        <f t="shared" ref="I158:I161" si="17">VLOOKUP(A158,$A$28:$J$72,9,FALSE)</f>
        <v>12</v>
      </c>
      <c r="J158" s="14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6" t="str">
        <f t="shared" si="14"/>
        <v>Замена аккумулятора охранной сигнализации.</v>
      </c>
      <c r="B159" s="146"/>
      <c r="C159" s="146"/>
      <c r="D159" s="146"/>
      <c r="E159" s="146"/>
      <c r="F159" s="147">
        <f t="shared" si="15"/>
        <v>300</v>
      </c>
      <c r="G159" s="147"/>
      <c r="H159" s="24" t="str">
        <f t="shared" si="16"/>
        <v>разово</v>
      </c>
      <c r="I159" s="148">
        <f t="shared" si="17"/>
        <v>1</v>
      </c>
      <c r="J159" s="148"/>
      <c r="M159" s="22" t="s">
        <v>72</v>
      </c>
      <c r="N159" s="1" t="str">
        <v>Замена аккумулятора охранной сигнализации.</v>
      </c>
    </row>
    <row r="160" spans="1:15" ht="28.5" customHeight="1">
      <c r="A160" s="146" t="str">
        <f t="shared" si="14"/>
        <v>Аварийный ремонт теплообменника ГВС (замена уплотнительных прокладок).</v>
      </c>
      <c r="B160" s="146"/>
      <c r="C160" s="146"/>
      <c r="D160" s="146"/>
      <c r="E160" s="146"/>
      <c r="F160" s="147">
        <f t="shared" si="15"/>
        <v>7042.18</v>
      </c>
      <c r="G160" s="147"/>
      <c r="H160" s="24" t="str">
        <f t="shared" si="16"/>
        <v>разово</v>
      </c>
      <c r="I160" s="148">
        <f t="shared" si="17"/>
        <v>1</v>
      </c>
      <c r="J160" s="148"/>
      <c r="M160" s="22" t="s">
        <v>72</v>
      </c>
      <c r="N160" s="1" t="str">
        <v>Аварийный ремонт теплообменника ГВС (замена уплотнительных прокладок).</v>
      </c>
    </row>
    <row r="161" spans="1:14" ht="28.5" customHeight="1">
      <c r="A161" s="146" t="str">
        <f>IF(N161&gt;0,N161,0)</f>
        <v>Монтаж дополнительной ветровой планки с капельником на парапет торцевой стены дома.</v>
      </c>
      <c r="B161" s="146"/>
      <c r="C161" s="146"/>
      <c r="D161" s="146"/>
      <c r="E161" s="146"/>
      <c r="F161" s="147">
        <f t="shared" si="15"/>
        <v>7600</v>
      </c>
      <c r="G161" s="147"/>
      <c r="H161" s="24" t="str">
        <f t="shared" si="16"/>
        <v>разово</v>
      </c>
      <c r="I161" s="148">
        <f t="shared" si="17"/>
        <v>1</v>
      </c>
      <c r="J161" s="148"/>
      <c r="M161" s="22" t="s">
        <v>72</v>
      </c>
      <c r="N161" s="1" t="str">
        <v>Монтаж дополнительной ветровой планки с капельником на парапет торцевой стены дома.</v>
      </c>
    </row>
    <row r="162" spans="1:14" ht="28.5" customHeight="1">
      <c r="A162" s="146" t="str">
        <f t="shared" si="14"/>
        <v>Приобретение и установка информационного стенда на детскую площадку.</v>
      </c>
      <c r="B162" s="146"/>
      <c r="C162" s="146"/>
      <c r="D162" s="146"/>
      <c r="E162" s="146"/>
      <c r="F162" s="147">
        <f t="shared" si="15"/>
        <v>542.4</v>
      </c>
      <c r="G162" s="147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hidden="1" customHeight="1">
      <c r="A163" s="146">
        <f t="shared" si="14"/>
        <v>0</v>
      </c>
      <c r="B163" s="146"/>
      <c r="C163" s="146"/>
      <c r="D163" s="146"/>
      <c r="E163" s="146"/>
      <c r="F163" s="147">
        <f t="shared" si="15"/>
        <v>0</v>
      </c>
      <c r="G163" s="147"/>
      <c r="H163" s="24" t="e">
        <f t="shared" si="16"/>
        <v>#N/A</v>
      </c>
      <c r="I163" s="148" t="e">
        <f>VLOOKUP(A163,$A$28:$J$72,9,FALSE)</f>
        <v>#N/A</v>
      </c>
      <c r="J163" s="148"/>
      <c r="M163" s="22" t="s">
        <v>72</v>
      </c>
      <c r="N163" s="1">
        <v>0</v>
      </c>
    </row>
    <row r="164" spans="1:14" ht="28.5" hidden="1" customHeight="1">
      <c r="A164" s="146">
        <f t="shared" ref="A164:A187" si="18">IF(N164&gt;0,N164,0)</f>
        <v>0</v>
      </c>
      <c r="B164" s="146"/>
      <c r="C164" s="146"/>
      <c r="D164" s="146"/>
      <c r="E164" s="146"/>
      <c r="F164" s="147">
        <f t="shared" ref="F164:F187" si="19">IF(ISERROR(VLOOKUP(A164,$A$28:$J$72,6,FALSE)),0,VLOOKUP(A164,$A$28:$J$72,6,FALSE))</f>
        <v>0</v>
      </c>
      <c r="G164" s="147"/>
      <c r="H164" s="29" t="e">
        <f t="shared" si="16"/>
        <v>#N/A</v>
      </c>
      <c r="I164" s="148" t="e">
        <f t="shared" ref="I164:I187" si="20">VLOOKUP(A164,$A$28:$J$72,9,FALSE)</f>
        <v>#N/A</v>
      </c>
      <c r="J164" s="148"/>
      <c r="M164" s="22" t="s">
        <v>72</v>
      </c>
      <c r="N164" s="1">
        <v>0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47">
        <f t="shared" si="19"/>
        <v>0</v>
      </c>
      <c r="G165" s="147"/>
      <c r="H165" s="29" t="e">
        <f t="shared" si="16"/>
        <v>#N/A</v>
      </c>
      <c r="I165" s="148" t="e">
        <f t="shared" si="20"/>
        <v>#N/A</v>
      </c>
      <c r="J165" s="148"/>
      <c r="M165" s="22" t="s">
        <v>72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47">
        <f t="shared" si="19"/>
        <v>0</v>
      </c>
      <c r="G166" s="147"/>
      <c r="H166" s="29" t="e">
        <f t="shared" si="16"/>
        <v>#N/A</v>
      </c>
      <c r="I166" s="148" t="e">
        <f t="shared" si="20"/>
        <v>#N/A</v>
      </c>
      <c r="J166" s="148"/>
      <c r="M166" s="22" t="s">
        <v>72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47">
        <f t="shared" si="19"/>
        <v>0</v>
      </c>
      <c r="G167" s="147"/>
      <c r="H167" s="29" t="e">
        <f t="shared" si="16"/>
        <v>#N/A</v>
      </c>
      <c r="I167" s="148" t="e">
        <f t="shared" si="20"/>
        <v>#N/A</v>
      </c>
      <c r="J167" s="148"/>
      <c r="M167" s="22" t="s">
        <v>72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47">
        <f t="shared" si="19"/>
        <v>0</v>
      </c>
      <c r="G168" s="147"/>
      <c r="H168" s="29" t="e">
        <f t="shared" si="16"/>
        <v>#N/A</v>
      </c>
      <c r="I168" s="148" t="e">
        <f t="shared" si="20"/>
        <v>#N/A</v>
      </c>
      <c r="J168" s="148"/>
      <c r="M168" s="22" t="s">
        <v>72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47">
        <f t="shared" si="19"/>
        <v>0</v>
      </c>
      <c r="G169" s="147"/>
      <c r="H169" s="29" t="e">
        <f t="shared" si="16"/>
        <v>#N/A</v>
      </c>
      <c r="I169" s="148" t="e">
        <f t="shared" si="20"/>
        <v>#N/A</v>
      </c>
      <c r="J169" s="148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47">
        <f t="shared" si="19"/>
        <v>0</v>
      </c>
      <c r="G170" s="147"/>
      <c r="H170" s="29" t="e">
        <f t="shared" si="16"/>
        <v>#N/A</v>
      </c>
      <c r="I170" s="148" t="e">
        <f t="shared" si="20"/>
        <v>#N/A</v>
      </c>
      <c r="J170" s="148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47">
        <f t="shared" si="19"/>
        <v>0</v>
      </c>
      <c r="G171" s="147"/>
      <c r="H171" s="29" t="e">
        <f t="shared" si="16"/>
        <v>#N/A</v>
      </c>
      <c r="I171" s="148" t="e">
        <f t="shared" si="20"/>
        <v>#N/A</v>
      </c>
      <c r="J171" s="148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47">
        <f t="shared" si="19"/>
        <v>0</v>
      </c>
      <c r="G172" s="147"/>
      <c r="H172" s="29" t="e">
        <f t="shared" si="16"/>
        <v>#N/A</v>
      </c>
      <c r="I172" s="148" t="e">
        <f t="shared" si="20"/>
        <v>#N/A</v>
      </c>
      <c r="J172" s="148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47">
        <f t="shared" si="19"/>
        <v>0</v>
      </c>
      <c r="G173" s="147"/>
      <c r="H173" s="29" t="e">
        <f t="shared" si="16"/>
        <v>#N/A</v>
      </c>
      <c r="I173" s="148" t="e">
        <f t="shared" si="20"/>
        <v>#N/A</v>
      </c>
      <c r="J173" s="148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47">
        <f t="shared" si="19"/>
        <v>0</v>
      </c>
      <c r="G174" s="147"/>
      <c r="H174" s="29" t="e">
        <f t="shared" si="16"/>
        <v>#N/A</v>
      </c>
      <c r="I174" s="148" t="e">
        <f t="shared" si="20"/>
        <v>#N/A</v>
      </c>
      <c r="J174" s="148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47">
        <f t="shared" si="19"/>
        <v>0</v>
      </c>
      <c r="G175" s="147"/>
      <c r="H175" s="29" t="e">
        <f t="shared" si="16"/>
        <v>#N/A</v>
      </c>
      <c r="I175" s="148" t="e">
        <f t="shared" si="20"/>
        <v>#N/A</v>
      </c>
      <c r="J175" s="148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47">
        <f t="shared" si="19"/>
        <v>0</v>
      </c>
      <c r="G176" s="147"/>
      <c r="H176" s="29" t="e">
        <f t="shared" si="16"/>
        <v>#N/A</v>
      </c>
      <c r="I176" s="148" t="e">
        <f t="shared" si="20"/>
        <v>#N/A</v>
      </c>
      <c r="J176" s="148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47">
        <f t="shared" si="19"/>
        <v>0</v>
      </c>
      <c r="G177" s="147"/>
      <c r="H177" s="29" t="e">
        <f t="shared" si="16"/>
        <v>#N/A</v>
      </c>
      <c r="I177" s="148" t="e">
        <f t="shared" si="20"/>
        <v>#N/A</v>
      </c>
      <c r="J177" s="148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47">
        <f t="shared" si="19"/>
        <v>0</v>
      </c>
      <c r="G178" s="147"/>
      <c r="H178" s="29" t="e">
        <f t="shared" si="16"/>
        <v>#N/A</v>
      </c>
      <c r="I178" s="148" t="e">
        <f t="shared" si="20"/>
        <v>#N/A</v>
      </c>
      <c r="J178" s="148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47">
        <f t="shared" si="19"/>
        <v>0</v>
      </c>
      <c r="G179" s="147"/>
      <c r="H179" s="29" t="e">
        <f t="shared" si="16"/>
        <v>#N/A</v>
      </c>
      <c r="I179" s="148" t="e">
        <f t="shared" si="20"/>
        <v>#N/A</v>
      </c>
      <c r="J179" s="148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47">
        <f t="shared" si="19"/>
        <v>0</v>
      </c>
      <c r="G180" s="147"/>
      <c r="H180" s="29" t="e">
        <f t="shared" si="16"/>
        <v>#N/A</v>
      </c>
      <c r="I180" s="148" t="e">
        <f t="shared" si="20"/>
        <v>#N/A</v>
      </c>
      <c r="J180" s="148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47">
        <f t="shared" si="19"/>
        <v>0</v>
      </c>
      <c r="G181" s="147"/>
      <c r="H181" s="29" t="e">
        <f t="shared" si="16"/>
        <v>#N/A</v>
      </c>
      <c r="I181" s="148" t="e">
        <f t="shared" si="20"/>
        <v>#N/A</v>
      </c>
      <c r="J181" s="148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47">
        <f t="shared" si="19"/>
        <v>0</v>
      </c>
      <c r="G182" s="147"/>
      <c r="H182" s="29" t="e">
        <f t="shared" si="16"/>
        <v>#N/A</v>
      </c>
      <c r="I182" s="148" t="e">
        <f t="shared" si="20"/>
        <v>#N/A</v>
      </c>
      <c r="J182" s="148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47">
        <f t="shared" si="19"/>
        <v>0</v>
      </c>
      <c r="G183" s="147"/>
      <c r="H183" s="29" t="e">
        <f t="shared" si="16"/>
        <v>#N/A</v>
      </c>
      <c r="I183" s="148" t="e">
        <f t="shared" si="20"/>
        <v>#N/A</v>
      </c>
      <c r="J183" s="148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47">
        <f t="shared" si="19"/>
        <v>0</v>
      </c>
      <c r="G184" s="147"/>
      <c r="H184" s="29" t="e">
        <f t="shared" si="16"/>
        <v>#N/A</v>
      </c>
      <c r="I184" s="148" t="e">
        <f t="shared" si="20"/>
        <v>#N/A</v>
      </c>
      <c r="J184" s="148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47">
        <f t="shared" si="19"/>
        <v>0</v>
      </c>
      <c r="G185" s="147"/>
      <c r="H185" s="29" t="e">
        <f t="shared" si="16"/>
        <v>#N/A</v>
      </c>
      <c r="I185" s="148" t="e">
        <f t="shared" si="20"/>
        <v>#N/A</v>
      </c>
      <c r="J185" s="148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47">
        <f t="shared" si="19"/>
        <v>0</v>
      </c>
      <c r="G186" s="147"/>
      <c r="H186" s="29" t="e">
        <f t="shared" si="16"/>
        <v>#N/A</v>
      </c>
      <c r="I186" s="148" t="e">
        <f t="shared" si="20"/>
        <v>#N/A</v>
      </c>
      <c r="J186" s="148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47">
        <f t="shared" si="19"/>
        <v>0</v>
      </c>
      <c r="G187" s="147"/>
      <c r="H187" s="29" t="e">
        <f t="shared" si="16"/>
        <v>#N/A</v>
      </c>
      <c r="I187" s="148" t="e">
        <f t="shared" si="20"/>
        <v>#N/A</v>
      </c>
      <c r="J187" s="148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49" t="s">
        <v>185</v>
      </c>
      <c r="B190" s="149"/>
      <c r="C190" s="149"/>
      <c r="D190" s="149"/>
      <c r="E190" s="27">
        <f>SUM(F158:G187)</f>
        <v>20884.580000000002</v>
      </c>
    </row>
    <row r="191" spans="1:14" ht="51.75" customHeight="1">
      <c r="A191" s="149" t="s">
        <v>184</v>
      </c>
      <c r="B191" s="149"/>
      <c r="C191" s="149"/>
      <c r="D191" s="149"/>
      <c r="E191" s="27">
        <f>E190+E154-E155</f>
        <v>11915.970000000001</v>
      </c>
    </row>
    <row r="192" spans="1:14">
      <c r="A192" s="106" t="s">
        <v>173</v>
      </c>
    </row>
    <row r="193" spans="1:10" ht="62.25" customHeight="1">
      <c r="A193" s="174" t="s">
        <v>183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>
      <c r="A194" s="173" t="str">
        <f>ПТО!F12</f>
        <v xml:space="preserve">  -  поверка (замена) манометров и термометров</v>
      </c>
      <c r="B194" s="173"/>
      <c r="C194" s="173"/>
      <c r="D194" s="173"/>
      <c r="E194" s="173"/>
      <c r="F194" s="173"/>
      <c r="G194" s="173"/>
      <c r="H194" s="50">
        <f>ПТО!G12</f>
        <v>1200</v>
      </c>
      <c r="I194" s="51" t="s">
        <v>74</v>
      </c>
    </row>
    <row r="195" spans="1:10" ht="18.75" customHeight="1">
      <c r="A195" s="173" t="str">
        <f>ПТО!F13</f>
        <v xml:space="preserve">  -  техническое обслуживание охранной сигнализации</v>
      </c>
      <c r="B195" s="173"/>
      <c r="C195" s="173"/>
      <c r="D195" s="173"/>
      <c r="E195" s="173"/>
      <c r="F195" s="173"/>
      <c r="G195" s="173"/>
      <c r="H195" s="50">
        <f>ПТО!G13</f>
        <v>5400</v>
      </c>
      <c r="I195" s="51" t="s">
        <v>74</v>
      </c>
    </row>
    <row r="196" spans="1:10" ht="18.75" hidden="1" customHeight="1">
      <c r="A196" s="173">
        <f>ПТО!F14</f>
        <v>0</v>
      </c>
      <c r="B196" s="173"/>
      <c r="C196" s="173"/>
      <c r="D196" s="173"/>
      <c r="E196" s="173"/>
      <c r="F196" s="173"/>
      <c r="G196" s="173"/>
      <c r="H196" s="50">
        <f>ПТО!G14</f>
        <v>0</v>
      </c>
      <c r="I196" s="51" t="s">
        <v>74</v>
      </c>
    </row>
    <row r="197" spans="1:10" ht="18.75" hidden="1" customHeight="1">
      <c r="A197" s="173">
        <f>ПТО!F15</f>
        <v>0</v>
      </c>
      <c r="B197" s="173"/>
      <c r="C197" s="173"/>
      <c r="D197" s="173"/>
      <c r="E197" s="173"/>
      <c r="F197" s="173"/>
      <c r="G197" s="173"/>
      <c r="H197" s="50">
        <f>ПТО!G15</f>
        <v>0</v>
      </c>
      <c r="I197" s="51" t="s">
        <v>74</v>
      </c>
    </row>
    <row r="198" spans="1:10" ht="18.75" hidden="1" customHeight="1">
      <c r="A198" s="173">
        <f>ПТО!F16</f>
        <v>0</v>
      </c>
      <c r="B198" s="173"/>
      <c r="C198" s="173"/>
      <c r="D198" s="173"/>
      <c r="E198" s="173"/>
      <c r="F198" s="173"/>
      <c r="G198" s="173"/>
      <c r="H198" s="50">
        <f>ПТО!G16</f>
        <v>0</v>
      </c>
      <c r="I198" s="53" t="s">
        <v>74</v>
      </c>
    </row>
    <row r="199" spans="1:10" ht="18.75" hidden="1" customHeight="1">
      <c r="A199" s="173">
        <f>ПТО!F17</f>
        <v>0</v>
      </c>
      <c r="B199" s="173"/>
      <c r="C199" s="173"/>
      <c r="D199" s="173"/>
      <c r="E199" s="173"/>
      <c r="F199" s="173"/>
      <c r="G199" s="173"/>
      <c r="H199" s="50">
        <f>ПТО!G17</f>
        <v>0</v>
      </c>
      <c r="I199" s="51" t="s">
        <v>74</v>
      </c>
    </row>
    <row r="200" spans="1:10" hidden="1">
      <c r="A200" s="173">
        <f>ПТО!F18</f>
        <v>0</v>
      </c>
      <c r="B200" s="173"/>
      <c r="C200" s="173"/>
      <c r="D200" s="173"/>
      <c r="E200" s="173"/>
      <c r="F200" s="173"/>
      <c r="G200" s="173"/>
      <c r="H200" s="50">
        <f>ПТО!G18</f>
        <v>0</v>
      </c>
      <c r="I200" s="51" t="s">
        <v>74</v>
      </c>
    </row>
    <row r="201" spans="1:10" hidden="1">
      <c r="A201" s="173">
        <f>ПТО!F19</f>
        <v>0</v>
      </c>
      <c r="B201" s="173"/>
      <c r="C201" s="173"/>
      <c r="D201" s="173"/>
      <c r="E201" s="173"/>
      <c r="F201" s="173"/>
      <c r="G201" s="173"/>
      <c r="H201" s="50">
        <f>ПТО!G19</f>
        <v>0</v>
      </c>
      <c r="I201" s="51" t="s">
        <v>74</v>
      </c>
    </row>
    <row r="202" spans="1:10" hidden="1">
      <c r="A202" s="173">
        <f>ПТО!F20</f>
        <v>0</v>
      </c>
      <c r="B202" s="173"/>
      <c r="C202" s="173"/>
      <c r="D202" s="173"/>
      <c r="E202" s="173"/>
      <c r="F202" s="173"/>
      <c r="G202" s="173"/>
      <c r="H202" s="50">
        <f>ПТО!G20</f>
        <v>0</v>
      </c>
      <c r="I202" s="51" t="s">
        <v>74</v>
      </c>
    </row>
    <row r="203" spans="1:10" hidden="1">
      <c r="A203" s="173">
        <f>ПТО!F21</f>
        <v>0</v>
      </c>
      <c r="B203" s="173"/>
      <c r="C203" s="173"/>
      <c r="D203" s="173"/>
      <c r="E203" s="173"/>
      <c r="F203" s="173"/>
      <c r="G203" s="173"/>
      <c r="H203" s="50">
        <f>ПТО!G21</f>
        <v>0</v>
      </c>
      <c r="I203" s="51" t="s">
        <v>74</v>
      </c>
    </row>
    <row r="204" spans="1:10" hidden="1">
      <c r="A204" s="173">
        <f>ПТО!F22</f>
        <v>0</v>
      </c>
      <c r="B204" s="173"/>
      <c r="C204" s="173"/>
      <c r="D204" s="173"/>
      <c r="E204" s="173"/>
      <c r="F204" s="173"/>
      <c r="G204" s="173"/>
      <c r="H204" s="50">
        <f>ПТО!G22</f>
        <v>0</v>
      </c>
      <c r="I204" s="51" t="s">
        <v>74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50">
        <f>ПТО!G23</f>
        <v>0</v>
      </c>
      <c r="I205" s="51" t="s">
        <v>74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50">
        <f>ПТО!G24</f>
        <v>0</v>
      </c>
      <c r="I206" s="51" t="s">
        <v>74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50">
        <f>ПТО!G25</f>
        <v>0</v>
      </c>
      <c r="I207" s="51" t="s">
        <v>74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50">
        <f>ПТО!G26</f>
        <v>0</v>
      </c>
      <c r="I208" s="51" t="s">
        <v>74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50">
        <f>ПТО!G27</f>
        <v>0</v>
      </c>
      <c r="I209" s="51" t="s">
        <v>74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50">
        <f>ПТО!G28</f>
        <v>0</v>
      </c>
      <c r="I210" s="51" t="s">
        <v>74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50">
        <f>ПТО!G29</f>
        <v>0</v>
      </c>
      <c r="I211" s="51" t="s">
        <v>74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50">
        <f>ПТО!G30</f>
        <v>0</v>
      </c>
      <c r="I212" s="51" t="s">
        <v>74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</sheetData>
  <sheetProtection algorithmName="SHA-512" hashValue="sYEw5T4j39rT2sURUPImCRRfPoELpNsHAvGIcoyo2eb58i5TYjta1AFTImMjI4tfH9rq/8vHXC+8hSZY6BYhCw==" saltValue="S51AqtIxvH9vw5TygXaKG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182</v>
      </c>
      <c r="G1" s="103">
        <f>38210.83</f>
        <v>38210.83</v>
      </c>
    </row>
    <row r="2" spans="1:12" ht="18.75" customHeight="1">
      <c r="A2" s="119" t="s">
        <v>178</v>
      </c>
      <c r="B2" s="122" t="s">
        <v>176</v>
      </c>
      <c r="C2" s="121">
        <v>12</v>
      </c>
      <c r="D2" s="120">
        <v>5400</v>
      </c>
      <c r="E2" s="31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187</v>
      </c>
      <c r="B3" s="126" t="s">
        <v>181</v>
      </c>
      <c r="C3" s="127">
        <v>1</v>
      </c>
      <c r="D3" s="128">
        <v>300</v>
      </c>
      <c r="E3" s="129" t="s">
        <v>188</v>
      </c>
      <c r="F3" s="30"/>
      <c r="G3" s="30"/>
      <c r="L3" s="33" t="str">
        <f t="shared" si="0"/>
        <v>ТР</v>
      </c>
    </row>
    <row r="4" spans="1:12" ht="18.75" customHeight="1">
      <c r="A4" s="133" t="s">
        <v>190</v>
      </c>
      <c r="B4" s="134" t="s">
        <v>181</v>
      </c>
      <c r="C4" s="135">
        <v>1</v>
      </c>
      <c r="D4" s="136">
        <v>7042.18</v>
      </c>
      <c r="E4" s="133" t="s">
        <v>192</v>
      </c>
      <c r="F4" s="30"/>
      <c r="G4" s="30"/>
      <c r="L4" s="33" t="str">
        <f t="shared" si="0"/>
        <v>ТР</v>
      </c>
    </row>
    <row r="5" spans="1:12" ht="18.75" customHeight="1">
      <c r="A5" s="130" t="s">
        <v>189</v>
      </c>
      <c r="B5" s="131" t="s">
        <v>181</v>
      </c>
      <c r="C5" s="131">
        <v>1</v>
      </c>
      <c r="D5" s="47">
        <v>7600</v>
      </c>
      <c r="E5" s="132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138" t="s">
        <v>193</v>
      </c>
      <c r="B6" s="131" t="s">
        <v>181</v>
      </c>
      <c r="C6" s="139">
        <v>1</v>
      </c>
      <c r="D6" s="140">
        <v>542.4</v>
      </c>
      <c r="E6" s="141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45"/>
      <c r="B7" s="137"/>
      <c r="C7" s="43"/>
      <c r="D7" s="47"/>
      <c r="E7" s="45"/>
      <c r="F7" s="46"/>
      <c r="G7" s="46"/>
      <c r="K7" s="47"/>
      <c r="L7" s="33">
        <f t="shared" si="0"/>
        <v>0</v>
      </c>
    </row>
    <row r="8" spans="1:12" ht="18.75" customHeight="1">
      <c r="A8" s="30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5400</v>
      </c>
      <c r="L13" s="33">
        <f t="shared" si="0"/>
        <v>0</v>
      </c>
    </row>
    <row r="14" spans="1:12" ht="15.75">
      <c r="A14" s="30"/>
      <c r="F14" s="123"/>
      <c r="G14" s="124"/>
      <c r="L14" s="33">
        <f t="shared" si="0"/>
        <v>0</v>
      </c>
    </row>
    <row r="15" spans="1:12" ht="15.75">
      <c r="A15" s="30"/>
      <c r="F15" s="123"/>
      <c r="G15" s="124"/>
      <c r="L15" s="33">
        <f t="shared" si="0"/>
        <v>0</v>
      </c>
    </row>
    <row r="16" spans="1:12" ht="15.75">
      <c r="A16" s="30"/>
      <c r="F16" s="114"/>
      <c r="G16" s="115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45811.92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45811.92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68376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68376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29128.2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29128.2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16410.240000000002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16410.240000000002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6837.6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6837.6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28717.919999999998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28717.919999999998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196</v>
      </c>
      <c r="B46" s="142">
        <f>(E46*G52*F54*6+E46*G52*G54*6)+(F46*G58*F60*6+F46*G58*G60*6)+(F46*G62*F64*6+F46*G62*G64*6)</f>
        <v>25033.43475</v>
      </c>
      <c r="C46" s="143" t="s">
        <v>68</v>
      </c>
      <c r="D46" s="49">
        <v>12</v>
      </c>
      <c r="E46" s="142">
        <v>588.29999999999995</v>
      </c>
      <c r="F46" s="142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25033.43475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4"/>
      <c r="C47" s="143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5" t="s">
        <v>197</v>
      </c>
      <c r="F51" s="145" t="s">
        <v>198</v>
      </c>
      <c r="G51" s="145" t="s">
        <v>199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5"/>
      <c r="F52" s="142">
        <v>1129.2</v>
      </c>
      <c r="G52" s="145">
        <v>2.5</v>
      </c>
      <c r="H52" s="145">
        <f>G52*E46/F52</f>
        <v>1.302470775770457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5"/>
      <c r="F53" s="145" t="s">
        <v>200</v>
      </c>
      <c r="G53" s="145" t="s">
        <v>201</v>
      </c>
      <c r="H53" s="145">
        <f>H52*G55</f>
        <v>27.351886291179596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5"/>
      <c r="F54" s="145">
        <v>1.17</v>
      </c>
      <c r="G54" s="145">
        <v>1.23</v>
      </c>
      <c r="H54" s="145"/>
    </row>
    <row r="55" spans="5:16">
      <c r="E55" s="145"/>
      <c r="F55" s="145"/>
      <c r="G55" s="145">
        <v>21</v>
      </c>
      <c r="H55" s="145"/>
    </row>
    <row r="56" spans="5:16">
      <c r="E56" s="145"/>
      <c r="F56" s="145"/>
      <c r="G56" s="145"/>
      <c r="H56" s="145"/>
    </row>
    <row r="57" spans="5:16">
      <c r="E57" s="145" t="s">
        <v>202</v>
      </c>
      <c r="F57" s="145"/>
      <c r="G57" s="145"/>
      <c r="H57" s="145"/>
    </row>
    <row r="58" spans="5:16">
      <c r="E58" s="145"/>
      <c r="F58" s="142">
        <f>F52</f>
        <v>1129.2</v>
      </c>
      <c r="G58" s="145">
        <v>7.4999999999999997E-2</v>
      </c>
      <c r="H58" s="145">
        <f>G58*F46</f>
        <v>10.987499999999999</v>
      </c>
    </row>
    <row r="59" spans="5:16">
      <c r="E59" s="145"/>
      <c r="F59" s="145" t="s">
        <v>200</v>
      </c>
      <c r="G59" s="145" t="s">
        <v>201</v>
      </c>
      <c r="H59" s="145">
        <f>H58/F58</f>
        <v>9.7303400637619546E-3</v>
      </c>
    </row>
    <row r="60" spans="5:16">
      <c r="E60" s="145"/>
      <c r="F60" s="145">
        <v>12.94</v>
      </c>
      <c r="G60" s="145">
        <v>13.45</v>
      </c>
      <c r="H60" s="145">
        <f>H59*G55</f>
        <v>0.20433714133900105</v>
      </c>
    </row>
    <row r="61" spans="5:16">
      <c r="E61" s="145" t="s">
        <v>203</v>
      </c>
      <c r="F61" s="145"/>
      <c r="G61" s="145"/>
      <c r="H61" s="145"/>
    </row>
    <row r="62" spans="5:16">
      <c r="E62" s="145"/>
      <c r="F62" s="142">
        <f>F52</f>
        <v>1129.2</v>
      </c>
      <c r="G62" s="145">
        <v>7.4999999999999997E-2</v>
      </c>
      <c r="H62" s="145">
        <f>G62*F46</f>
        <v>10.987499999999999</v>
      </c>
    </row>
    <row r="63" spans="5:16">
      <c r="E63" s="145"/>
      <c r="F63" s="145" t="s">
        <v>200</v>
      </c>
      <c r="G63" s="145" t="s">
        <v>201</v>
      </c>
      <c r="H63" s="145">
        <f>H62/F62</f>
        <v>9.7303400637619546E-3</v>
      </c>
    </row>
    <row r="64" spans="5:16">
      <c r="E64" s="145"/>
      <c r="F64" s="145">
        <v>15.73</v>
      </c>
      <c r="G64" s="145">
        <v>16.350000000000001</v>
      </c>
      <c r="H64" s="145">
        <f>H63*G55</f>
        <v>0.20433714133900105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1" sqref="D31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1139.5999999999999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139402.49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246642.32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199462.88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47179.44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261726.66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261726.66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261726.66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124318.15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104</v>
      </c>
      <c r="B27" s="76" t="s">
        <v>4</v>
      </c>
      <c r="C27" s="87">
        <v>75877.66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107</v>
      </c>
      <c r="B30" s="76" t="s">
        <v>18</v>
      </c>
      <c r="C30" s="87">
        <v>65622.73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21613.22</v>
      </c>
      <c r="F37" s="95" t="s">
        <v>166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18011.02</v>
      </c>
      <c r="D38" s="95" t="s">
        <v>164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22295.19</v>
      </c>
      <c r="D39" s="95" t="s">
        <v>165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21613.22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21613.22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36576.129999999997</v>
      </c>
      <c r="F45" s="95" t="s">
        <v>166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2770.92</v>
      </c>
      <c r="D46" s="95" t="s">
        <v>167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39904.54</v>
      </c>
      <c r="D47" s="95" t="s">
        <v>165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36576.129999999997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36576.129999999997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72853.89</v>
      </c>
      <c r="F53" s="95" t="s">
        <v>166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4542.01</v>
      </c>
      <c r="D54" s="95" t="s">
        <v>167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77542.48</v>
      </c>
      <c r="D55" s="95" t="s">
        <v>165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72853.89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72853.89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23343.59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1768.45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24899.55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23343.59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23343.59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40509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2022-03-25T08:33:15Z</dcterms:modified>
</cp:coreProperties>
</file>