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4" i="1" l="1"/>
  <c r="A119" i="1"/>
  <c r="A123" i="1"/>
  <c r="A118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3" i="1"/>
  <c r="F173" i="1"/>
  <c r="H178" i="1"/>
  <c r="A160" i="1"/>
  <c r="A158" i="1"/>
  <c r="E155" i="1"/>
  <c r="F187" i="1" l="1"/>
  <c r="H184" i="1"/>
  <c r="F181" i="1"/>
  <c r="F176" i="1"/>
  <c r="F172" i="1"/>
  <c r="H168" i="1"/>
  <c r="F168" i="1"/>
  <c r="H164" i="1"/>
  <c r="F167" i="1"/>
  <c r="H179" i="1"/>
  <c r="H170" i="1"/>
  <c r="F165" i="1"/>
  <c r="F177" i="1"/>
  <c r="H186" i="1"/>
  <c r="F179" i="1"/>
  <c r="H177" i="1"/>
  <c r="H165" i="1"/>
  <c r="H171" i="1"/>
  <c r="H167" i="1"/>
  <c r="F175" i="1"/>
  <c r="F170" i="1"/>
  <c r="F171" i="1"/>
  <c r="F186" i="1"/>
  <c r="F180" i="1"/>
  <c r="H176" i="1"/>
  <c r="H172" i="1"/>
  <c r="F178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<sst xmlns="http://schemas.openxmlformats.org/spreadsheetml/2006/main" count="557" uniqueCount="204">
  <si>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</si>
  <si>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</si>
  <si>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</si>
  <si>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</si>
  <si>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</si>
  <si>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</si>
  <si>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</si>
  <si>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</si>
  <si>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</si>
  <si>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</si>
  <si>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</si>
  <si>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</si>
  <si>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</si>
  <si>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</si>
  <si>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</si>
  <si>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</si>
  <si>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</si>
  <si>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</si>
  <si>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</si>
  <si>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</si>
  <si>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</si>
  <si>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</si>
  <si>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</si>
  <si>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</si>
  <si>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</si>
  <si>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</si>
  <si>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</si>
  <si>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</si>
  <si>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</si>
  <si>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</si>
  <si>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</si>
  <si>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</si>
  <si>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</si>
  <si>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</si>
  <si>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</si>
  <si>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</si>
  <si>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</si>
  <si>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</si>
  <si>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</si>
  <si>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</si>
  <si>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</si>
  <si>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</si>
  <si>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</si>
  <si>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</si>
  <si>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</si>
  <si>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</si>
  <si>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</si>
  <si>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</si>
  <si>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</si>
  <si>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</si>
  <si>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</si>
  <si>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</si>
  <si>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</si>
  <si>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</si>
  <si>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</si>
  <si>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</si>
  <si>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</si>
  <si>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</si>
  <si>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</si>
  <si>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</si>
  <si>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</si>
  <si>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</si>
  <si>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</si>
  <si>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</si>
  <si>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</si>
  <si>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</si>
  <si>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</si>
  <si>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</si>
  <si>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</si>
  <si>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</si>
  <si>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</si>
  <si>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</si>
  <si>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</si>
  <si>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</si>
  <si>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</si>
  <si>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</si>
  <si>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</si>
  <si>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</si>
  <si>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</si>
  <si>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</si>
  <si>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</si>
  <si>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</si>
  <si>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</si>
  <si>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</si>
  <si>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</si>
  <si>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</si>
  <si>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</si>
  <si>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</si>
  <si>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</si>
  <si>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</si>
  <si>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</si>
  <si>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</si>
  <si>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</si>
  <si>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</si>
  <si>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</si>
  <si>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</si>
  <si>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</si>
  <si>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</si>
  <si>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</si>
  <si>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</si>
  <si>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</si>
  <si>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</si>
  <si>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</si>
  <si>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</si>
  <si>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</si>
  <si>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</si>
  <si>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</si>
  <si>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</si>
  <si>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</si>
  <si>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</si>
  <si>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</si>
  <si>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</si>
  <si>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</si>
  <si>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</si>
  <si>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</si>
  <si>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</si>
  <si>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</si>
  <si>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</si>
  <si>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</si>
  <si>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</si>
  <si>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</si>
  <si>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</si>
  <si>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</si>
  <si>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</si>
  <si>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</si>
  <si>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</si>
  <si>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</si>
  <si>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</si>
  <si>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</si>
  <si>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</si>
  <si>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</si>
  <si>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</si>
  <si>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</si>
  <si>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</si>
  <si>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</si>
  <si>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</si>
  <si>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</si>
  <si>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</si>
  <si>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</si>
  <si>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</si>
  <si>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</si>
  <si>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</si>
  <si>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</si>
  <si>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</si>
  <si>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</si>
  <si>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</si>
  <si>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</si>
  <si>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</si>
  <si>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</si>
  <si>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</si>
  <si>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</si>
  <si>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</si>
  <si>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</si>
  <si>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</si>
  <si>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</si>
  <si>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</si>
  <si>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</si>
  <si>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</si>
  <si>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</si>
  <si>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</si>
  <si>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</si>
  <si>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</si>
  <si>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</si>
  <si>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</si>
  <si>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</si>
  <si>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</si>
  <si>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</si>
  <si>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</si>
  <si>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</si>
  <si>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</si>
  <si>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</si>
  <si>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</si>
  <si>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</si>
  <si>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110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</si>
  <si>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</si>
  <si>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</si>
  <si>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</si>
  <si>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110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</si>
  <si>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</si>
  <si>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</si>
  <si>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</si>
  <si>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</si>
  <si>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</si>
  <si>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установка дверной ручки на тамбурную дверь.</t>
  </si>
  <si>
    <t>разово</t>
  </si>
  <si>
    <t>АВР 1/21 от 07.04.2021</t>
  </si>
  <si>
    <t>Замена уплотнительных прокладок и втулок на теплообменнике ГВС.</t>
  </si>
  <si>
    <t>АВР 2/21 от 28.07.2021, Решение</t>
  </si>
  <si>
    <t>Ремонт прибора учета тепловой энергии.</t>
  </si>
  <si>
    <t>АВР 4/21 от 29.11.2021, акт №300 от 27.10.2021</t>
  </si>
  <si>
    <t>Приобретение и установка информационного стенда на детскую площадку.</t>
  </si>
  <si>
    <t>АВР 3/21 от 29.11.2021, Решение</t>
  </si>
  <si>
    <t>АВР 5/21 от 30.12.2021</t>
  </si>
  <si>
    <t>Коммунальные ресурсы на содержание общего имущества</t>
  </si>
  <si>
    <t>,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</si>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</sst>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23" fillId="0" borderId="0" xfId="5" applyFont="1" applyFill="1" applyBorder="1" applyAlignment="1"/>
    <xf numFmtId="0" fontId="23" fillId="0" borderId="0" xfId="5" applyFont="1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16" fillId="0" borderId="0" xfId="0" applyFont="1" applyBorder="1"/>
    <xf numFmtId="4" fontId="16" fillId="0" borderId="0" xfId="0" applyNumberFormat="1" applyFont="1" applyBorder="1"/>
    <xf numFmtId="0" fontId="23" fillId="0" borderId="0" xfId="16" applyFont="1" applyFill="1" applyBorder="1" applyAlignment="1">
      <alignment horizontal="center"/>
    </xf>
    <xf numFmtId="4" fontId="23" fillId="0" borderId="0" xfId="16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6" fillId="0" borderId="0" xfId="16" applyFont="1" applyFill="1" applyBorder="1" applyAlignment="1"/>
    <xf numFmtId="0" fontId="6" fillId="0" borderId="0" xfId="16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12" applyFont="1" applyFill="1" applyBorder="1" applyAlignment="1"/>
    <xf numFmtId="4" fontId="6" fillId="0" borderId="0" xfId="19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5" fillId="3" borderId="0" xfId="28" applyNumberFormat="1" applyFont="1" applyFill="1" applyBorder="1" applyAlignment="1">
      <alignment horizontal="left" vertical="center" wrapText="1"/>
    </xf>
    <xf numFmtId="4" fontId="33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29">
    <cellStyle name="Обычный" xfId="0" builtinId="0"/>
    <cellStyle name="Обычный 2" xfId="1"/>
    <cellStyle name="Обычный 2 2" xfId="3"/>
    <cellStyle name="Обычный 2 3" xfId="17"/>
    <cellStyle name="Обычный 2 4" xfId="11"/>
    <cellStyle name="Обычный 2 5" xfId="23"/>
    <cellStyle name="Обычный 2 5 2" xfId="28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3 5 2" xfId="18"/>
    <cellStyle name="Обычный 3 6" xfId="12"/>
    <cellStyle name="Обычный 3 7" xfId="24"/>
    <cellStyle name="Обычный 4" xfId="4"/>
    <cellStyle name="Обычный 4 2" xfId="10"/>
    <cellStyle name="Обычный 4 2 2" xfId="22"/>
    <cellStyle name="Обычный 4 2 3" xfId="16"/>
    <cellStyle name="Обычный 4 2 4" xfId="27"/>
    <cellStyle name="Обычный 4 3" xfId="19"/>
    <cellStyle name="Обычный 4 4" xfId="13"/>
    <cellStyle name="Обычный 4 5" xfId="25"/>
    <cellStyle name="Обычный 5" xfId="5"/>
    <cellStyle name="Обычный 5 2" xfId="20"/>
    <cellStyle name="Обычный 5 3" xfId="14"/>
    <cellStyle name="Обычный 5 4" xfId="26"/>
    <cellStyle name="Финансовый 2" xfId="15"/>
    <cellStyle name="Финансовый 2 2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4" sqref="N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173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80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81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83423.02</v>
      </c>
      <c r="K10" s="111"/>
      <c r="L10" s="165"/>
      <c r="M10" s="111"/>
      <c r="N10" s="111"/>
      <c r="O10" s="71" t="s">
        <v>82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265742.89</v>
      </c>
      <c r="K11" s="111"/>
      <c r="L11" s="165"/>
      <c r="M11" s="111"/>
      <c r="N11" s="111"/>
      <c r="O11" s="71" t="s">
        <v>83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126257.43</v>
      </c>
      <c r="K12" s="111"/>
      <c r="L12" s="165"/>
      <c r="M12" s="111"/>
      <c r="N12" s="111"/>
      <c r="O12" s="71" t="s">
        <v>84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72044.639999999985</v>
      </c>
      <c r="K13" s="111"/>
      <c r="L13" s="165"/>
      <c r="M13" s="111"/>
      <c r="N13" s="111"/>
      <c r="O13" s="71" t="s">
        <v>85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67440.820000000007</v>
      </c>
      <c r="K14" s="111"/>
      <c r="L14" s="165"/>
      <c r="M14" s="111"/>
      <c r="N14" s="111"/>
      <c r="O14" s="71" t="s">
        <v>86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255509.79</v>
      </c>
      <c r="K15" s="111"/>
      <c r="L15" s="165"/>
      <c r="M15" s="111"/>
      <c r="N15" s="111"/>
      <c r="O15" s="71" t="s">
        <v>87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255509.79</v>
      </c>
      <c r="K16" s="111"/>
      <c r="L16" s="165"/>
      <c r="M16" s="111"/>
      <c r="N16" s="111"/>
      <c r="O16" s="71" t="s">
        <v>88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89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90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91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92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255509.79</v>
      </c>
      <c r="K21" s="111"/>
      <c r="L21" s="165"/>
      <c r="M21" s="111"/>
      <c r="N21" s="111"/>
      <c r="O21" s="71" t="s">
        <v>93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94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95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93656.120000000024</v>
      </c>
      <c r="K24" s="111"/>
      <c r="L24" s="165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25248.720000000001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9">
        <f>ПТО!A40</f>
        <v>0</v>
      </c>
      <c r="B29" s="149"/>
      <c r="C29" s="149"/>
      <c r="D29" s="149"/>
      <c r="E29" s="149"/>
      <c r="F29" s="154" t="e">
        <f>VLOOKUP(A29,ПТО!$A$39:$D$53,2,FALSE)</f>
        <v>#N/A</v>
      </c>
      <c r="G29" s="154"/>
      <c r="H29" s="42" t="e">
        <f>VLOOKUP(A29,ПТО!$A$39:$D$53,3,FALSE)</f>
        <v>#N/A</v>
      </c>
      <c r="I29" s="150" t="e">
        <f>VLOOKUP(A29,ПТО!$A$39:$D$53,4,FALSE)</f>
        <v>#N/A</v>
      </c>
      <c r="J29" s="150"/>
      <c r="K29" s="111"/>
      <c r="L29" s="166"/>
      <c r="M29" s="111"/>
      <c r="N29" s="111"/>
      <c r="O29" s="23">
        <f t="shared" si="1"/>
        <v>0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29082.240000000002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15863.04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6609.6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28685.64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Коммунальные ресурсы на содержание общего имущества</v>
      </c>
      <c r="B35" s="149"/>
      <c r="C35" s="149"/>
      <c r="D35" s="149"/>
      <c r="E35" s="149"/>
      <c r="F35" s="154">
        <f>VLOOKUP(A35,ПТО!$A$39:$D$53,2,FALSE)</f>
        <v>24983.310150000001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1"/>
      <c r="L35" s="166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4">
        <f>VLOOKUP(A43,ПТО!$A$2:$D$31,4,FALSE)</f>
        <v>5400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66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Приобретение и установка дверной ручки на тамбурную дверь.</v>
      </c>
      <c r="B44" s="149"/>
      <c r="C44" s="149"/>
      <c r="D44" s="149"/>
      <c r="E44" s="149"/>
      <c r="F44" s="154">
        <f>VLOOKUP(A44,ПТО!$A$2:$D$31,4,FALSE)</f>
        <v>120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8"/>
      <c r="N44" s="111"/>
      <c r="O44" s="23" t="str">
        <f t="shared" si="1"/>
        <v>Приобретение и установка дверной ручки на тамбурную дверь.</v>
      </c>
      <c r="R44" s="22" t="s">
        <v>72</v>
      </c>
    </row>
    <row r="45" spans="1:18" ht="51" customHeight="1" outlineLevel="1">
      <c r="A45" s="149" t="str">
        <f>ПТО!A4</f>
        <v>Замена уплотнительных прокладок и втулок на теплообменнике ГВС.</v>
      </c>
      <c r="B45" s="149"/>
      <c r="C45" s="149"/>
      <c r="D45" s="149"/>
      <c r="E45" s="149"/>
      <c r="F45" s="154">
        <f>VLOOKUP(A45,ПТО!$A$2:$D$31,4,FALSE)</f>
        <v>10770.06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8"/>
      <c r="N45" s="111"/>
      <c r="O45" s="23" t="str">
        <f t="shared" si="1"/>
        <v>Замена уплотнительных прокладок и втулок на теплообменнике ГВС.</v>
      </c>
      <c r="R45" s="22" t="s">
        <v>72</v>
      </c>
    </row>
    <row r="46" spans="1:18" ht="51" customHeight="1" outlineLevel="1">
      <c r="A46" s="149" t="str">
        <f>ПТО!A5</f>
        <v>Приобретение и установка информационного стенда на детскую площадку.</v>
      </c>
      <c r="B46" s="149"/>
      <c r="C46" s="149"/>
      <c r="D46" s="149"/>
      <c r="E46" s="149"/>
      <c r="F46" s="154">
        <f>VLOOKUP(A46,ПТО!$A$2:$D$31,4,FALSE)</f>
        <v>542.4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8"/>
      <c r="N46" s="111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49" t="str">
        <f>ПТО!A6</f>
        <v>Ремонт прибора учета тепловой энергии.</v>
      </c>
      <c r="B47" s="149"/>
      <c r="C47" s="149"/>
      <c r="D47" s="149"/>
      <c r="E47" s="149"/>
      <c r="F47" s="154">
        <f>VLOOKUP(A47,ПТО!$A$2:$D$31,4,FALSE)</f>
        <v>775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66"/>
      <c r="M47" s="118"/>
      <c r="N47" s="111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49" t="str">
        <f>ПТО!A7</f>
        <v>Перерасчет по итогам 2021 года.</v>
      </c>
      <c r="B48" s="149"/>
      <c r="C48" s="149"/>
      <c r="D48" s="149"/>
      <c r="E48" s="149"/>
      <c r="F48" s="154">
        <f>VLOOKUP(A48,ПТО!$A$2:$D$31,4,FALSE)</f>
        <v>133248.21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1"/>
      <c r="L48" s="166"/>
      <c r="M48" s="118"/>
      <c r="N48" s="111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1"/>
      <c r="L49" s="166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6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97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98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99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101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102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9189.7099999999991</v>
      </c>
      <c r="K83" s="111"/>
      <c r="L83" s="155"/>
      <c r="M83" s="111"/>
      <c r="N83" s="111"/>
      <c r="O83" s="71" t="s">
        <v>103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104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105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9245.27</v>
      </c>
      <c r="K86" s="111"/>
      <c r="L86" s="155"/>
      <c r="M86" s="111"/>
      <c r="N86" s="111"/>
      <c r="O86" s="71" t="s">
        <v>106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107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108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109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21583.96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17986.63</v>
      </c>
      <c r="L95" s="156"/>
      <c r="O95" s="1" t="s">
        <v>111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21528.400000000001</v>
      </c>
      <c r="L96" s="156"/>
      <c r="O96" s="1" t="s">
        <v>112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55.559999999997672</v>
      </c>
      <c r="L97" s="156"/>
      <c r="O97" s="1" t="s">
        <v>113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21583.96</v>
      </c>
      <c r="L98" s="156"/>
      <c r="O98" s="1" t="s">
        <v>114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21583.96</v>
      </c>
      <c r="L99" s="156"/>
      <c r="O99" s="1" t="s">
        <v>115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116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117</v>
      </c>
    </row>
    <row r="102" spans="1:15" ht="28.5" hidden="1" customHeight="1" outlineLevel="1">
      <c r="A102" s="151">
        <f>IF(VLOOKUP("хвс",АО,3,FALSE)&gt;0,"Холодное водоснабжение",0)</f>
        <v>0</v>
      </c>
      <c r="B102" s="151"/>
      <c r="C102" s="151"/>
      <c r="D102" s="152">
        <f>IF(VLOOKUP("хвс",АО,3,FALSE)&gt;0,VLOOKUP("хвс",АО,3,FALSE),0)</f>
        <v>0</v>
      </c>
      <c r="E102" s="152"/>
      <c r="F102" s="13">
        <f>IF(VLOOKUP("хвс",АО,3,FALSE)&gt;0,VLOOKUP("хвс",АО,4,FALSE),0)</f>
        <v>0</v>
      </c>
      <c r="G102" s="153">
        <f>VLOOKUP("хвс",АО,5,FALSE)</f>
        <v>0</v>
      </c>
      <c r="H102" s="152"/>
      <c r="I102" s="152"/>
      <c r="J102" s="152"/>
      <c r="L102" s="156"/>
    </row>
    <row r="103" spans="1:15" hidden="1" outlineLevel="2">
      <c r="A103" s="168">
        <f t="shared" ref="A103:A109" si="4">IF(VLOOKUP("хвс",АО,3,FALSE)&gt;0,VLOOKUP(O103,АО,2,FALSE),0)</f>
        <v>0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0</v>
      </c>
      <c r="L103" s="156"/>
      <c r="O103" s="1" t="s">
        <v>120</v>
      </c>
    </row>
    <row r="104" spans="1:15" ht="18.75" hidden="1" customHeight="1" outlineLevel="2">
      <c r="A104" s="168">
        <f t="shared" si="4"/>
        <v>0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0</v>
      </c>
      <c r="L104" s="156"/>
      <c r="O104" s="1" t="s">
        <v>121</v>
      </c>
    </row>
    <row r="105" spans="1:15" ht="18.75" hidden="1" customHeight="1" outlineLevel="2">
      <c r="A105" s="168">
        <f t="shared" si="4"/>
        <v>0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122</v>
      </c>
    </row>
    <row r="106" spans="1:15" ht="36.75" hidden="1" customHeight="1" outlineLevel="2">
      <c r="A106" s="168">
        <f t="shared" si="4"/>
        <v>0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0</v>
      </c>
      <c r="L106" s="156"/>
      <c r="O106" s="1" t="s">
        <v>123</v>
      </c>
    </row>
    <row r="107" spans="1:15" ht="18.75" hidden="1" customHeight="1" outlineLevel="2">
      <c r="A107" s="168">
        <f t="shared" si="4"/>
        <v>0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0</v>
      </c>
      <c r="L107" s="156"/>
      <c r="O107" s="1" t="s">
        <v>124</v>
      </c>
    </row>
    <row r="108" spans="1:15" ht="37.5" hidden="1" customHeight="1" outlineLevel="2">
      <c r="A108" s="168">
        <f t="shared" si="4"/>
        <v>0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125</v>
      </c>
    </row>
    <row r="109" spans="1:15" ht="39.75" hidden="1" customHeight="1" outlineLevel="2">
      <c r="A109" s="168">
        <f t="shared" si="4"/>
        <v>0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126</v>
      </c>
    </row>
    <row r="110" spans="1:15" ht="27" hidden="1" customHeight="1" outlineLevel="1">
      <c r="A110" s="151">
        <f>IF(VLOOKUP("воо",АО,3,FALSE)&gt;0,"Водоотведение",0)</f>
        <v>0</v>
      </c>
      <c r="B110" s="151"/>
      <c r="C110" s="151"/>
      <c r="D110" s="152">
        <f>IF(VLOOKUP("воо",АО,3,FALSE)&gt;0,VLOOKUP("воо",АО,3,FALSE),0)</f>
        <v>0</v>
      </c>
      <c r="E110" s="152"/>
      <c r="F110" s="13">
        <f>IF(VLOOKUP("воо",АО,3,FALSE)&gt;0,VLOOKUP("воо",АО,4,FALSE),0)</f>
        <v>0</v>
      </c>
      <c r="G110" s="153">
        <f>VLOOKUP("воо",АО,5,FALSE)</f>
        <v>0</v>
      </c>
      <c r="H110" s="152"/>
      <c r="I110" s="152"/>
      <c r="J110" s="152"/>
      <c r="L110" s="156"/>
    </row>
    <row r="111" spans="1:15" hidden="1" outlineLevel="2">
      <c r="A111" s="147">
        <f t="shared" ref="A111:A117" si="6">IF(VLOOKUP("воо",АО,3,FALSE)&gt;0,VLOOKUP(O111,АО,2,FALSE),0)</f>
        <v>0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0</v>
      </c>
      <c r="L111" s="156"/>
      <c r="O111" s="1" t="s">
        <v>128</v>
      </c>
    </row>
    <row r="112" spans="1:15" ht="18.75" hidden="1" customHeight="1" outlineLevel="2">
      <c r="A112" s="147">
        <f t="shared" si="6"/>
        <v>0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0</v>
      </c>
      <c r="L112" s="156"/>
      <c r="O112" s="1" t="s">
        <v>129</v>
      </c>
    </row>
    <row r="113" spans="1:15" ht="19.5" hidden="1" customHeight="1" outlineLevel="2">
      <c r="A113" s="147">
        <f t="shared" si="6"/>
        <v>0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56"/>
      <c r="O113" s="1" t="s">
        <v>130</v>
      </c>
    </row>
    <row r="114" spans="1:15" ht="33" hidden="1" customHeight="1" outlineLevel="2">
      <c r="A114" s="147">
        <f t="shared" si="6"/>
        <v>0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0</v>
      </c>
      <c r="L114" s="156"/>
      <c r="O114" s="1" t="s">
        <v>131</v>
      </c>
    </row>
    <row r="115" spans="1:15" ht="18.75" hidden="1" customHeight="1" outlineLevel="2">
      <c r="A115" s="147">
        <f t="shared" si="6"/>
        <v>0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0</v>
      </c>
      <c r="L115" s="156"/>
      <c r="O115" s="1" t="s">
        <v>132</v>
      </c>
    </row>
    <row r="116" spans="1:15" ht="33.75" hidden="1" customHeight="1" outlineLevel="2">
      <c r="A116" s="147">
        <f t="shared" si="6"/>
        <v>0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133</v>
      </c>
    </row>
    <row r="117" spans="1:15" ht="32.25" hidden="1" customHeight="1" outlineLevel="2">
      <c r="A117" s="147">
        <f t="shared" si="6"/>
        <v>0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134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1</v>
      </c>
      <c r="O144" t="s">
        <v>168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47" t="s">
        <v>171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2543.09</v>
      </c>
      <c r="O146" t="s">
        <v>170</v>
      </c>
    </row>
    <row r="149" spans="1:15" ht="52.5" customHeight="1">
      <c r="A149" s="172" t="s">
        <v>177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178</v>
      </c>
      <c r="B154" s="174"/>
      <c r="C154" s="174"/>
      <c r="D154" s="174"/>
      <c r="E154" s="27">
        <f>ПТО!G1</f>
        <v>-78811.03</v>
      </c>
    </row>
    <row r="155" spans="1:15" ht="34.5" customHeight="1">
      <c r="A155" s="173" t="s">
        <v>182</v>
      </c>
      <c r="B155" s="173"/>
      <c r="C155" s="173"/>
      <c r="D155" s="173"/>
      <c r="E155" s="28">
        <f>J13</f>
        <v>72044.639999999985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5400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Приобретение и установка дверной ручки на тамбурную дверь.</v>
      </c>
      <c r="B159" s="149"/>
      <c r="C159" s="149"/>
      <c r="D159" s="149"/>
      <c r="E159" s="149"/>
      <c r="F159" s="154">
        <f t="shared" si="15"/>
        <v>120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Приобретение и установка дверной ручки на тамбурную дверь.</v>
      </c>
    </row>
    <row r="160" spans="1:15" ht="28.5" customHeight="1">
      <c r="A160" s="149" t="str">
        <f t="shared" si="14"/>
        <v>Замена уплотнительных прокладок и втулок на теплообменнике ГВС.</v>
      </c>
      <c r="B160" s="149"/>
      <c r="C160" s="149"/>
      <c r="D160" s="149"/>
      <c r="E160" s="149"/>
      <c r="F160" s="154">
        <f t="shared" si="15"/>
        <v>10770.06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Замена уплотнительных прокладок и втулок на теплообменнике ГВС.</v>
      </c>
    </row>
    <row r="161" spans="1:14" ht="28.5" customHeight="1">
      <c r="A161" s="149" t="str">
        <f>IF(N161&gt;0,N161,0)</f>
        <v>Приобретение и установка информационного стенда на детскую площадку.</v>
      </c>
      <c r="B161" s="149"/>
      <c r="C161" s="149"/>
      <c r="D161" s="149"/>
      <c r="E161" s="149"/>
      <c r="F161" s="154">
        <f t="shared" si="15"/>
        <v>542.4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49" t="str">
        <f t="shared" si="14"/>
        <v>Ремонт прибора учета тепловой энергии.</v>
      </c>
      <c r="B162" s="149"/>
      <c r="C162" s="149"/>
      <c r="D162" s="149"/>
      <c r="E162" s="149"/>
      <c r="F162" s="154">
        <f t="shared" si="15"/>
        <v>775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49" t="str">
        <f t="shared" si="14"/>
        <v>Перерасчет по итогам 2021 года.</v>
      </c>
      <c r="B163" s="149"/>
      <c r="C163" s="149"/>
      <c r="D163" s="149"/>
      <c r="E163" s="149"/>
      <c r="F163" s="154">
        <f t="shared" si="15"/>
        <v>133248.21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74" t="s">
        <v>181</v>
      </c>
      <c r="B190" s="174"/>
      <c r="C190" s="174"/>
      <c r="D190" s="174"/>
      <c r="E190" s="27">
        <f>SUM(F158:G187)</f>
        <v>150855.66999999998</v>
      </c>
    </row>
    <row r="191" spans="1:14" ht="51.75" customHeight="1">
      <c r="A191" s="174" t="s">
        <v>180</v>
      </c>
      <c r="B191" s="174"/>
      <c r="C191" s="174"/>
      <c r="D191" s="174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48" t="s">
        <v>179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 hidden="1">
      <c r="A194" s="146">
        <f>ПТО!F12</f>
        <v>0</v>
      </c>
      <c r="B194" s="146"/>
      <c r="C194" s="146"/>
      <c r="D194" s="146"/>
      <c r="E194" s="146"/>
      <c r="F194" s="146"/>
      <c r="G194" s="146"/>
      <c r="H194" s="50">
        <f>ПТО!G12</f>
        <v>0</v>
      </c>
      <c r="I194" s="51" t="s">
        <v>73</v>
      </c>
    </row>
    <row r="195" spans="1:10" ht="18.75" hidden="1" customHeight="1">
      <c r="A195" s="146">
        <f>ПТО!F13</f>
        <v>0</v>
      </c>
      <c r="B195" s="146"/>
      <c r="C195" s="146"/>
      <c r="D195" s="146"/>
      <c r="E195" s="146"/>
      <c r="F195" s="146"/>
      <c r="G195" s="146"/>
      <c r="H195" s="50">
        <f>ПТО!G13</f>
        <v>0</v>
      </c>
      <c r="I195" s="51" t="s">
        <v>73</v>
      </c>
    </row>
    <row r="196" spans="1:10" ht="18.75" hidden="1" customHeight="1">
      <c r="A196" s="146">
        <f>ПТО!F14</f>
        <v>0</v>
      </c>
      <c r="B196" s="146"/>
      <c r="C196" s="146"/>
      <c r="D196" s="146"/>
      <c r="E196" s="146"/>
      <c r="F196" s="146"/>
      <c r="G196" s="146"/>
      <c r="H196" s="50">
        <f>ПТО!G14</f>
        <v>0</v>
      </c>
      <c r="I196" s="51" t="s">
        <v>73</v>
      </c>
    </row>
    <row r="197" spans="1:10" ht="18.75" hidden="1" customHeight="1">
      <c r="A197" s="146">
        <f>ПТО!F15</f>
        <v>0</v>
      </c>
      <c r="B197" s="146"/>
      <c r="C197" s="146"/>
      <c r="D197" s="146"/>
      <c r="E197" s="146"/>
      <c r="F197" s="146"/>
      <c r="G197" s="146"/>
      <c r="H197" s="50">
        <f>ПТО!G15</f>
        <v>0</v>
      </c>
      <c r="I197" s="51" t="s">
        <v>73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50">
        <f>ПТО!G16</f>
        <v>0</v>
      </c>
      <c r="I198" s="53" t="s">
        <v>73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73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73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73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73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73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73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73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73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73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73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73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73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73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73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5FRjMCWP5vU7jSMqY8Rc1WuBYLmQwzLTOa1iEEY90n7bFsaiccRKWkG+MWzEXD3Ta4TFT5j4SHyyDVJy5D/dog==" saltValue="coAHjoG2A8Y2c+03bPkj3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178</v>
      </c>
      <c r="G1" s="103">
        <f>-78811.03</f>
        <v>-78811.03</v>
      </c>
    </row>
    <row r="2" spans="1:12" ht="18.75" customHeight="1">
      <c r="A2" s="120" t="s">
        <v>176</v>
      </c>
      <c r="B2" s="121" t="s">
        <v>174</v>
      </c>
      <c r="C2" s="121">
        <v>12</v>
      </c>
      <c r="D2" s="122">
        <v>5400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183</v>
      </c>
      <c r="B3" s="131" t="s">
        <v>184</v>
      </c>
      <c r="C3" s="127">
        <v>1</v>
      </c>
      <c r="D3" s="128">
        <v>120</v>
      </c>
      <c r="E3" s="129" t="s">
        <v>185</v>
      </c>
      <c r="F3" s="30"/>
      <c r="G3" s="30"/>
      <c r="L3" s="33" t="str">
        <f t="shared" si="0"/>
        <v>ТР</v>
      </c>
    </row>
    <row r="4" spans="1:12" ht="18.75" customHeight="1">
      <c r="A4" s="133" t="s">
        <v>186</v>
      </c>
      <c r="B4" s="134" t="s">
        <v>184</v>
      </c>
      <c r="C4" s="135">
        <v>1</v>
      </c>
      <c r="D4" s="136">
        <v>10770.06</v>
      </c>
      <c r="E4" s="132" t="s">
        <v>187</v>
      </c>
      <c r="F4" s="46"/>
      <c r="G4" s="30"/>
      <c r="L4" s="33" t="str">
        <f t="shared" si="0"/>
        <v>ТР</v>
      </c>
    </row>
    <row r="5" spans="1:12" ht="18.75" customHeight="1">
      <c r="A5" s="137" t="s">
        <v>190</v>
      </c>
      <c r="B5" s="134" t="s">
        <v>184</v>
      </c>
      <c r="C5" s="135">
        <v>1</v>
      </c>
      <c r="D5" s="138">
        <v>542.4</v>
      </c>
      <c r="E5" s="139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188</v>
      </c>
      <c r="B6" s="43" t="s">
        <v>184</v>
      </c>
      <c r="C6" s="43">
        <v>1</v>
      </c>
      <c r="D6" s="44">
        <v>775</v>
      </c>
      <c r="E6" s="45" t="s">
        <v>189</v>
      </c>
      <c r="F6" s="45"/>
      <c r="G6" s="45"/>
      <c r="K6" s="47"/>
      <c r="L6" s="33" t="str">
        <f t="shared" si="0"/>
        <v>ТР</v>
      </c>
    </row>
    <row r="7" spans="1:12" ht="18.75" customHeight="1">
      <c r="A7" s="145" t="s">
        <v>203</v>
      </c>
      <c r="B7" s="144" t="s">
        <v>184</v>
      </c>
      <c r="C7" s="43">
        <v>1</v>
      </c>
      <c r="D7" s="44">
        <v>133248.21</v>
      </c>
      <c r="E7" s="45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179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23"/>
      <c r="G14" s="124"/>
      <c r="L14" s="33">
        <f t="shared" si="0"/>
        <v>0</v>
      </c>
    </row>
    <row r="15" spans="1:12" ht="15.75">
      <c r="A15" s="30"/>
      <c r="F15" s="125"/>
      <c r="G15" s="126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25248.720000000001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25248.720000000001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29082.240000000002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15863.04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15863.04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6609.6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6609.6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28685.64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28685.64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40">
        <f>(E46*G52*F54*6+E46*G52*G54*6)+(F46*G58*F60*6+F46*G58*G60*6)+(F46*G62*F64*6+F46*G62*G64*6)</f>
        <v>24983.310150000001</v>
      </c>
      <c r="C46" s="141" t="s">
        <v>68</v>
      </c>
      <c r="D46" s="49">
        <v>12</v>
      </c>
      <c r="E46" s="140">
        <v>587.20000000000005</v>
      </c>
      <c r="F46" s="140">
        <v>146.1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24983.310150000001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2"/>
      <c r="C47" s="141"/>
      <c r="D47" s="49"/>
      <c r="F47" s="31" t="s">
        <v>194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3" t="s">
        <v>195</v>
      </c>
      <c r="F51" s="143" t="s">
        <v>196</v>
      </c>
      <c r="G51" s="143" t="s">
        <v>197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/>
      <c r="F52" s="140">
        <v>1129.2</v>
      </c>
      <c r="G52" s="143">
        <v>2.5</v>
      </c>
      <c r="H52" s="143">
        <f>G52*E46/F52</f>
        <v>1.3000354233085369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/>
      <c r="F53" s="143" t="s">
        <v>198</v>
      </c>
      <c r="G53" s="143" t="s">
        <v>199</v>
      </c>
      <c r="H53" s="143">
        <f>H52*G55</f>
        <v>27.300743889479275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>
        <v>1.17</v>
      </c>
      <c r="G54" s="143">
        <v>1.23</v>
      </c>
      <c r="H54" s="143"/>
    </row>
    <row r="55" spans="5:16">
      <c r="E55" s="143"/>
      <c r="F55" s="143"/>
      <c r="G55" s="143">
        <v>21</v>
      </c>
      <c r="H55" s="143"/>
    </row>
    <row r="56" spans="5:16">
      <c r="E56" s="143"/>
      <c r="F56" s="143"/>
      <c r="G56" s="143"/>
      <c r="H56" s="143"/>
    </row>
    <row r="57" spans="5:16">
      <c r="E57" s="143" t="s">
        <v>200</v>
      </c>
      <c r="F57" s="143"/>
      <c r="G57" s="143"/>
      <c r="H57" s="143"/>
    </row>
    <row r="58" spans="5:16">
      <c r="E58" s="143"/>
      <c r="F58" s="140">
        <f>F52</f>
        <v>1129.2</v>
      </c>
      <c r="G58" s="143">
        <v>7.4999999999999997E-2</v>
      </c>
      <c r="H58" s="143">
        <f>G58*F46</f>
        <v>10.9575</v>
      </c>
    </row>
    <row r="59" spans="5:16">
      <c r="E59" s="143"/>
      <c r="F59" s="143" t="s">
        <v>198</v>
      </c>
      <c r="G59" s="143" t="s">
        <v>199</v>
      </c>
      <c r="H59" s="143">
        <f>H58/F58</f>
        <v>9.7037725823591915E-3</v>
      </c>
    </row>
    <row r="60" spans="5:16">
      <c r="E60" s="143"/>
      <c r="F60" s="143">
        <v>12.94</v>
      </c>
      <c r="G60" s="143">
        <v>13.45</v>
      </c>
      <c r="H60" s="143">
        <f>H59*G55</f>
        <v>0.20377922422954303</v>
      </c>
    </row>
    <row r="61" spans="5:16">
      <c r="E61" s="143" t="s">
        <v>201</v>
      </c>
      <c r="F61" s="143"/>
      <c r="G61" s="143"/>
      <c r="H61" s="143"/>
    </row>
    <row r="62" spans="5:16">
      <c r="E62" s="143"/>
      <c r="F62" s="140">
        <f>F52</f>
        <v>1129.2</v>
      </c>
      <c r="G62" s="143">
        <v>7.4999999999999997E-2</v>
      </c>
      <c r="H62" s="143">
        <f>G62*F46</f>
        <v>10.9575</v>
      </c>
    </row>
    <row r="63" spans="5:16">
      <c r="E63" s="143"/>
      <c r="F63" s="143" t="s">
        <v>198</v>
      </c>
      <c r="G63" s="143" t="s">
        <v>199</v>
      </c>
      <c r="H63" s="143">
        <f>H62/F62</f>
        <v>9.7037725823591915E-3</v>
      </c>
    </row>
    <row r="64" spans="5:16">
      <c r="E64" s="143"/>
      <c r="F64" s="143">
        <v>15.73</v>
      </c>
      <c r="G64" s="143">
        <v>16.350000000000001</v>
      </c>
      <c r="H64" s="143">
        <f>H63*G55</f>
        <v>0.20377922422954303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29" sqref="E29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1101.5999999999999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83423.02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265742.89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126257.43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72044.639999999985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67440.820000000007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255509.79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255509.79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255509.79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93656.120000000024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103</v>
      </c>
      <c r="B27" s="76" t="s">
        <v>4</v>
      </c>
      <c r="C27" s="87">
        <v>9189.7099999999991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106</v>
      </c>
      <c r="B30" s="76" t="s">
        <v>18</v>
      </c>
      <c r="C30" s="87">
        <v>9245.27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21583.96</v>
      </c>
      <c r="F37" s="95" t="s">
        <v>165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17986.63</v>
      </c>
      <c r="D38" s="95" t="s">
        <v>163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21528.400000000001</v>
      </c>
      <c r="D39" s="95" t="s">
        <v>164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55.559999999997672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21583.96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21583.96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165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0</v>
      </c>
      <c r="D54" s="95" t="s">
        <v>166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0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1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2543.09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2022-03-25T08:40:28Z</dcterms:modified>
</cp:coreProperties>
</file>