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H59" i="2" s="1"/>
  <c r="H60" i="2" s="1"/>
  <c r="F58" i="2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A112" i="1"/>
  <c r="G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F110" i="1" l="1"/>
  <c r="A116" i="1"/>
  <c r="A117" i="1"/>
  <c r="A114" i="1"/>
  <c r="A119" i="1"/>
  <c r="A110" i="1"/>
  <c r="A111" i="1"/>
  <c r="A122" i="1"/>
  <c r="A118" i="1"/>
  <c r="A12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77" i="1"/>
  <c r="F167" i="1"/>
  <c r="F179" i="1"/>
  <c r="F165" i="1"/>
  <c r="H179" i="1"/>
  <c r="F170" i="1"/>
  <c r="F186" i="1"/>
  <c r="H168" i="1"/>
  <c r="F176" i="1"/>
  <c r="H167" i="1"/>
  <c r="F178" i="1"/>
  <c r="H165" i="1"/>
  <c r="H171" i="1"/>
  <c r="H186" i="1"/>
  <c r="F177" i="1"/>
  <c r="F172" i="1"/>
  <c r="F171" i="1"/>
  <c r="H170" i="1"/>
  <c r="H173" i="1"/>
  <c r="H176" i="1"/>
  <c r="H172" i="1"/>
  <c r="H178" i="1"/>
  <c r="H184" i="1"/>
  <c r="H164" i="1"/>
  <c r="F175" i="1"/>
  <c r="F181" i="1"/>
  <c r="F187" i="1"/>
  <c r="F168" i="1"/>
  <c r="H166" i="1"/>
  <c r="F184" i="1"/>
  <c r="F180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<sst xmlns="http://schemas.openxmlformats.org/spreadsheetml/2006/main" count="551" uniqueCount="200">
  <si>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</si>
  <si>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</si>
  <si>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</si>
  <si>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</si>
  <si>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</si>
  <si>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</si>
  <si>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</si>
  <si>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</si>
  <si>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</si>
  <si>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</si>
  <si>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</si>
  <si>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</si>
  <si>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</si>
  <si>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</si>
  <si>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</si>
  <si>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</si>
  <si>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</si>
  <si>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</si>
  <si>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</si>
  <si>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</si>
  <si>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</si>
  <si>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</si>
  <si>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</si>
  <si>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</si>
  <si>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</si>
  <si>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</si>
  <si>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</si>
  <si>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</si>
  <si>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</si>
  <si>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</si>
  <si>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</si>
  <si>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</si>
  <si>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</si>
  <si>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</si>
  <si>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</si>
  <si>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</si>
  <si>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</si>
  <si>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</si>
  <si>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</si>
  <si>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</si>
  <si>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</si>
  <si>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</si>
  <si>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</si>
  <si>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</si>
  <si>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</si>
  <si>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</si>
  <si>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</si>
  <si>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</si>
  <si>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</si>
  <si>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</si>
  <si>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</si>
  <si>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</si>
  <si>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</si>
  <si>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</si>
  <si>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</si>
  <si>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</si>
  <si>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</si>
  <si>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</si>
  <si>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</si>
  <si>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</si>
  <si>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</si>
  <si>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</si>
  <si>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</si>
  <si>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</si>
  <si>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</si>
  <si>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</si>
  <si>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</si>
  <si>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</si>
  <si>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</si>
  <si>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</si>
  <si>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</si>
  <si>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</si>
  <si>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</si>
  <si>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</si>
  <si>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</si>
  <si>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</si>
  <si>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</si>
  <si>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</si>
  <si>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</si>
  <si>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</si>
  <si>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</si>
  <si>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</si>
  <si>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</si>
  <si>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</si>
  <si>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</si>
  <si>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</si>
  <si>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</si>
  <si>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</si>
  <si>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</si>
  <si>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</si>
  <si>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</si>
  <si>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</si>
  <si>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</si>
  <si>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</si>
  <si>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</si>
  <si>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</si>
  <si>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</si>
  <si>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</si>
  <si>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</si>
  <si>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</si>
  <si>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</si>
  <si>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</si>
  <si>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</si>
  <si>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</si>
  <si>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</si>
  <si>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</si>
  <si>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</si>
  <si>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</si>
  <si>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</si>
  <si>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</si>
  <si>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</si>
  <si>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</si>
  <si>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</si>
  <si>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</si>
  <si>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</si>
  <si>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</si>
  <si>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</si>
  <si>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</si>
  <si>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</si>
  <si>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</si>
  <si>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</si>
  <si>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</si>
  <si>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</si>
  <si>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</si>
  <si>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</si>
  <si>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</si>
  <si>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</si>
  <si>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</si>
  <si>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</si>
  <si>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</si>
  <si>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</si>
  <si>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</si>
  <si>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</si>
  <si>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</si>
  <si>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</si>
  <si>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</si>
  <si>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</si>
  <si>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</si>
  <si>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</si>
  <si>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</si>
  <si>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</si>
  <si>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</si>
  <si>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</si>
  <si>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</si>
  <si>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</si>
  <si>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</si>
  <si>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</si>
  <si>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</si>
  <si>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</si>
  <si>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</si>
  <si>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</si>
  <si>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</si>
  <si>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</si>
  <si>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</si>
  <si>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</si>
  <si>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</si>
  <si>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</si>
  <si>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</si>
  <si>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</si>
  <si>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</si>
  <si>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</si>
  <si>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</si>
  <si>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</si>
  <si>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</si>
  <si>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</si>
  <si>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</si>
  <si>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</si>
  <si>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</si>
  <si>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</si>
  <si>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</si>
  <si>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</si>
  <si>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</si>
  <si>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</si>
  <si>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124</t>
  </si>
  <si>
    <t>ежемесячно</t>
  </si>
  <si>
    <t>площадь дома</t>
  </si>
  <si>
    <t>с 01.08.2019 приказ№60 от 26.08.2019 Протокол №1-2 от 01.07.2019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</si>
  <si>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</si>
  <si>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124 в части текущего ремонта</t>
  </si>
  <si>
    <t>разово</t>
  </si>
  <si>
    <t>Аварийный ремонт теплообменника ГВС.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</si>
  <si>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</si>
  <si>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</si>
  <si>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</si>
  <si>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</si>
  <si>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</si>
  <si>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АВР 1/21 от 16.07.2021, счет №848 от 04.09.2020</t>
  </si>
  <si>
    <t>Ремонт уличного освещения.</t>
  </si>
  <si>
    <t>АВР 2/21 от 20.09.2021</t>
  </si>
  <si>
    <t>Приобретение и установка информационного стенда на детскую площадку.</t>
  </si>
  <si>
    <t>АВР 3/21 от 29.11.2021, Решение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</si>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</sst>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21" fillId="0" borderId="0"/>
    <xf numFmtId="0" fontId="21" fillId="0" borderId="0"/>
    <xf numFmtId="164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16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7" fillId="0" borderId="0" xfId="4" applyFill="1" applyBorder="1" applyAlignment="1">
      <alignment horizontal="center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0" fontId="2" fillId="0" borderId="0" xfId="9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" fillId="0" borderId="0" xfId="10" applyNumberFormat="1" applyFill="1" applyBorder="1" applyAlignment="1"/>
    <xf numFmtId="0" fontId="2" fillId="0" borderId="0" xfId="11" applyFont="1" applyFill="1" applyBorder="1"/>
    <xf numFmtId="0" fontId="5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4" fontId="0" fillId="0" borderId="0" xfId="0" applyNumberFormat="1" applyBorder="1" applyAlignment="1">
      <alignment horizontal="center"/>
    </xf>
    <xf numFmtId="4" fontId="22" fillId="3" borderId="0" xfId="12" applyNumberFormat="1" applyFont="1" applyFill="1" applyBorder="1" applyAlignment="1">
      <alignment horizontal="left" vertical="center" wrapText="1"/>
    </xf>
    <xf numFmtId="4" fontId="30" fillId="0" borderId="0" xfId="0" applyNumberFormat="1" applyFont="1"/>
    <xf numFmtId="0" fontId="0" fillId="0" borderId="0" xfId="0" applyBorder="1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5 2" xfId="12"/>
    <cellStyle name="Обычный 3" xfId="2"/>
    <cellStyle name="Обычный 3 2" xfId="7"/>
    <cellStyle name="Обычный 3 3" xfId="6"/>
    <cellStyle name="Обычный 3 6" xfId="9"/>
    <cellStyle name="Обычный 4" xfId="4"/>
    <cellStyle name="Обычный 4 3" xfId="10"/>
    <cellStyle name="Обычный 5" xfId="5"/>
    <cellStyle name="Обычный 5 7" xfId="11"/>
    <cellStyle name="Финансовый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33" sqref="M3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5" t="s">
        <v>173</v>
      </c>
      <c r="B2" s="155"/>
      <c r="C2" s="155"/>
      <c r="D2" s="155"/>
      <c r="E2" s="155"/>
      <c r="F2" s="155"/>
      <c r="G2" s="155"/>
      <c r="H2" s="155"/>
      <c r="I2" s="155"/>
      <c r="J2" s="15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49" t="s">
        <v>2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09"/>
      <c r="L8" s="156"/>
      <c r="M8" s="109"/>
      <c r="N8" s="109"/>
      <c r="O8" s="70" t="s">
        <v>80</v>
      </c>
      <c r="R8" s="16"/>
    </row>
    <row r="9" spans="1:18" ht="18.75" customHeight="1" outlineLevel="1">
      <c r="A9" s="149" t="s">
        <v>3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09"/>
      <c r="L9" s="156"/>
      <c r="M9" s="109"/>
      <c r="N9" s="109"/>
      <c r="O9" s="70" t="s">
        <v>81</v>
      </c>
    </row>
    <row r="10" spans="1:18" ht="18.75" customHeight="1" outlineLevel="1">
      <c r="A10" s="149" t="s">
        <v>4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76263.13</v>
      </c>
      <c r="K10" s="109"/>
      <c r="L10" s="156"/>
      <c r="M10" s="109"/>
      <c r="N10" s="109"/>
      <c r="O10" s="70" t="s">
        <v>82</v>
      </c>
    </row>
    <row r="11" spans="1:18" outlineLevel="1">
      <c r="A11" s="149" t="s">
        <v>5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223916.74000000002</v>
      </c>
      <c r="K11" s="109"/>
      <c r="L11" s="156"/>
      <c r="M11" s="109"/>
      <c r="N11" s="109"/>
      <c r="O11" s="70" t="s">
        <v>83</v>
      </c>
    </row>
    <row r="12" spans="1:18" ht="18.75" customHeight="1" outlineLevel="1">
      <c r="A12" s="149" t="s">
        <v>6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104036.52</v>
      </c>
      <c r="K12" s="109"/>
      <c r="L12" s="156"/>
      <c r="M12" s="109"/>
      <c r="N12" s="109"/>
      <c r="O12" s="70" t="s">
        <v>84</v>
      </c>
    </row>
    <row r="13" spans="1:18" ht="18.75" customHeight="1" outlineLevel="1">
      <c r="A13" s="149" t="s">
        <v>7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61096.680000000008</v>
      </c>
      <c r="K13" s="109"/>
      <c r="L13" s="156"/>
      <c r="M13" s="109"/>
      <c r="N13" s="109"/>
      <c r="O13" s="70" t="s">
        <v>85</v>
      </c>
    </row>
    <row r="14" spans="1:18" ht="18.75" customHeight="1" outlineLevel="1">
      <c r="A14" s="149" t="s">
        <v>8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58783.54</v>
      </c>
      <c r="K14" s="109"/>
      <c r="L14" s="156"/>
      <c r="M14" s="109"/>
      <c r="N14" s="109"/>
      <c r="O14" s="70" t="s">
        <v>86</v>
      </c>
    </row>
    <row r="15" spans="1:18" ht="18.75" customHeight="1" outlineLevel="1">
      <c r="A15" s="149" t="s">
        <v>9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244000.78</v>
      </c>
      <c r="K15" s="109"/>
      <c r="L15" s="156"/>
      <c r="M15" s="109"/>
      <c r="N15" s="109"/>
      <c r="O15" s="70" t="s">
        <v>87</v>
      </c>
    </row>
    <row r="16" spans="1:18" ht="18.75" customHeight="1" outlineLevel="1">
      <c r="A16" s="149" t="s">
        <v>10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244000.78</v>
      </c>
      <c r="K16" s="109"/>
      <c r="L16" s="156"/>
      <c r="M16" s="109"/>
      <c r="N16" s="109"/>
      <c r="O16" s="70" t="s">
        <v>88</v>
      </c>
    </row>
    <row r="17" spans="1:23" ht="18.75" customHeight="1" outlineLevel="1">
      <c r="A17" s="149" t="s">
        <v>11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09"/>
      <c r="L17" s="156"/>
      <c r="M17" s="109"/>
      <c r="N17" s="109"/>
      <c r="O17" s="70" t="s">
        <v>89</v>
      </c>
    </row>
    <row r="18" spans="1:23" ht="18.75" customHeight="1" outlineLevel="1">
      <c r="A18" s="149" t="s">
        <v>12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09"/>
      <c r="L18" s="156"/>
      <c r="M18" s="109"/>
      <c r="N18" s="109"/>
      <c r="O18" s="70" t="s">
        <v>90</v>
      </c>
    </row>
    <row r="19" spans="1:23" ht="18.75" customHeight="1" outlineLevel="1">
      <c r="A19" s="149" t="s">
        <v>13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09"/>
      <c r="L19" s="156"/>
      <c r="M19" s="109"/>
      <c r="N19" s="109"/>
      <c r="O19" s="70" t="s">
        <v>91</v>
      </c>
    </row>
    <row r="20" spans="1:23" ht="18.75" customHeight="1" outlineLevel="1">
      <c r="A20" s="149" t="s">
        <v>14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09"/>
      <c r="L20" s="156"/>
      <c r="M20" s="109"/>
      <c r="N20" s="109"/>
      <c r="O20" s="70" t="s">
        <v>92</v>
      </c>
    </row>
    <row r="21" spans="1:23" ht="18.75" customHeight="1" outlineLevel="1">
      <c r="A21" s="149" t="s">
        <v>15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244000.78</v>
      </c>
      <c r="K21" s="109"/>
      <c r="L21" s="156"/>
      <c r="M21" s="109"/>
      <c r="N21" s="109"/>
      <c r="O21" s="70" t="s">
        <v>93</v>
      </c>
    </row>
    <row r="22" spans="1:23" ht="18.75" customHeight="1" outlineLevel="1">
      <c r="A22" s="149" t="s">
        <v>16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09"/>
      <c r="L22" s="156"/>
      <c r="M22" s="109"/>
      <c r="N22" s="109"/>
      <c r="O22" s="70" t="s">
        <v>94</v>
      </c>
    </row>
    <row r="23" spans="1:23" ht="18.75" customHeight="1" outlineLevel="1">
      <c r="A23" s="149" t="s">
        <v>17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09"/>
      <c r="L23" s="156"/>
      <c r="M23" s="109"/>
      <c r="N23" s="109"/>
      <c r="O23" s="70" t="s">
        <v>95</v>
      </c>
    </row>
    <row r="24" spans="1:23" ht="18.75" customHeight="1" outlineLevel="1">
      <c r="A24" s="149" t="s">
        <v>18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56179.09</v>
      </c>
      <c r="K24" s="109"/>
      <c r="L24" s="156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09"/>
      <c r="L27" s="15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5">
        <f>VLOOKUP(A28,ПТО!$A$39:$D$53,2,FALSE)</f>
        <v>25223.4</v>
      </c>
      <c r="G28" s="145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09"/>
      <c r="L28" s="15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0">
        <f>ПТО!A40</f>
        <v>0</v>
      </c>
      <c r="B29" s="140"/>
      <c r="C29" s="140"/>
      <c r="D29" s="140"/>
      <c r="E29" s="140"/>
      <c r="F29" s="145" t="e">
        <f>VLOOKUP(A29,ПТО!$A$39:$D$53,2,FALSE)</f>
        <v>#N/A</v>
      </c>
      <c r="G29" s="145"/>
      <c r="H29" s="42" t="e">
        <f>VLOOKUP(A29,ПТО!$A$39:$D$53,3,FALSE)</f>
        <v>#N/A</v>
      </c>
      <c r="I29" s="141" t="e">
        <f>VLOOKUP(A29,ПТО!$A$39:$D$53,4,FALSE)</f>
        <v>#N/A</v>
      </c>
      <c r="J29" s="141"/>
      <c r="K29" s="109"/>
      <c r="L29" s="157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5">
        <f>VLOOKUP(A30,ПТО!$A$39:$D$53,2,FALSE)</f>
        <v>29147.040000000001</v>
      </c>
      <c r="G30" s="145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09"/>
      <c r="L30" s="15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5">
        <f>VLOOKUP(A31,ПТО!$A$39:$D$53,2,FALSE)</f>
        <v>13452.48</v>
      </c>
      <c r="G31" s="145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09"/>
      <c r="L31" s="15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09"/>
      <c r="L32" s="15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5">
        <f>VLOOKUP(A33,ПТО!$A$39:$D$53,2,FALSE)</f>
        <v>5605.2</v>
      </c>
      <c r="G33" s="145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09"/>
      <c r="L33" s="15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5">
        <f>VLOOKUP(A34,ПТО!$A$39:$D$53,2,FALSE)</f>
        <v>28698.6</v>
      </c>
      <c r="G34" s="145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09"/>
      <c r="L34" s="15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0" t="str">
        <f>ПТО!A46</f>
        <v>Коммунальные ресурсы на содержание общего имущества</v>
      </c>
      <c r="B35" s="140"/>
      <c r="C35" s="140"/>
      <c r="D35" s="140"/>
      <c r="E35" s="140"/>
      <c r="F35" s="145">
        <f>VLOOKUP(A35,ПТО!$A$39:$D$53,2,FALSE)</f>
        <v>17871.907499999998</v>
      </c>
      <c r="G35" s="145"/>
      <c r="H35" s="42" t="str">
        <f>VLOOKUP(A35,ПТО!$A$39:$D$53,3,FALSE)</f>
        <v>Ежемесячно</v>
      </c>
      <c r="I35" s="141">
        <f>VLOOKUP(A35,ПТО!$A$39:$D$53,4,FALSE)</f>
        <v>12</v>
      </c>
      <c r="J35" s="141"/>
      <c r="K35" s="109"/>
      <c r="L35" s="157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09"/>
      <c r="L36" s="157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09"/>
      <c r="L37" s="157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09"/>
      <c r="L38" s="157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09"/>
      <c r="L39" s="157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09"/>
      <c r="L40" s="157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09"/>
      <c r="L41" s="157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09"/>
      <c r="L42" s="157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0" t="str">
        <f>ПТО!A2</f>
        <v>Техническое обслуживание охранной сигнализации.</v>
      </c>
      <c r="B43" s="140"/>
      <c r="C43" s="140"/>
      <c r="D43" s="140"/>
      <c r="E43" s="140"/>
      <c r="F43" s="145">
        <f>VLOOKUP(A43,ПТО!$A$2:$D$31,4,FALSE)</f>
        <v>7190.6399999999994</v>
      </c>
      <c r="G43" s="145"/>
      <c r="H43" s="19" t="str">
        <f>VLOOKUP(A43,ПТО!$A$2:$D$31,2,FALSE)</f>
        <v>ежемесячно</v>
      </c>
      <c r="I43" s="141">
        <f>VLOOKUP(A43,ПТО!$A$2:$D$31,3,FALSE)</f>
        <v>12</v>
      </c>
      <c r="J43" s="141"/>
      <c r="K43" s="109"/>
      <c r="L43" s="157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0" t="str">
        <f>ПТО!A3</f>
        <v>Аварийный ремонт теплообменника ГВС.</v>
      </c>
      <c r="B44" s="140"/>
      <c r="C44" s="140"/>
      <c r="D44" s="140"/>
      <c r="E44" s="140"/>
      <c r="F44" s="145">
        <f>VLOOKUP(A44,ПТО!$A$2:$D$31,4,FALSE)</f>
        <v>23124.92</v>
      </c>
      <c r="G44" s="145"/>
      <c r="H44" s="25" t="str">
        <f>VLOOKUP(A44,ПТО!$A$2:$D$31,2,FALSE)</f>
        <v>разово</v>
      </c>
      <c r="I44" s="141">
        <f>VLOOKUP(A44,ПТО!$A$2:$D$31,3,FALSE)</f>
        <v>1</v>
      </c>
      <c r="J44" s="141"/>
      <c r="K44" s="109"/>
      <c r="L44" s="157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40" t="str">
        <f>ПТО!A4</f>
        <v>Ремонт уличного освещения.</v>
      </c>
      <c r="B45" s="140"/>
      <c r="C45" s="140"/>
      <c r="D45" s="140"/>
      <c r="E45" s="140"/>
      <c r="F45" s="145">
        <f>VLOOKUP(A45,ПТО!$A$2:$D$31,4,FALSE)</f>
        <v>2000</v>
      </c>
      <c r="G45" s="145"/>
      <c r="H45" s="25" t="str">
        <f>VLOOKUP(A45,ПТО!$A$2:$D$31,2,FALSE)</f>
        <v>разово</v>
      </c>
      <c r="I45" s="141">
        <f>VLOOKUP(A45,ПТО!$A$2:$D$31,3,FALSE)</f>
        <v>1</v>
      </c>
      <c r="J45" s="141"/>
      <c r="K45" s="109"/>
      <c r="L45" s="157"/>
      <c r="M45" s="116"/>
      <c r="N45" s="109"/>
      <c r="O45" s="23" t="str">
        <f t="shared" si="1"/>
        <v>Ремонт уличного освещения.</v>
      </c>
      <c r="R45" s="22" t="s">
        <v>72</v>
      </c>
    </row>
    <row r="46" spans="1:18" ht="51" customHeight="1" outlineLevel="1">
      <c r="A46" s="140" t="str">
        <f>ПТО!A5</f>
        <v>Приобретение и установка информационного стенда на детскую площадку.</v>
      </c>
      <c r="B46" s="140"/>
      <c r="C46" s="140"/>
      <c r="D46" s="140"/>
      <c r="E46" s="140"/>
      <c r="F46" s="145">
        <f>VLOOKUP(A46,ПТО!$A$2:$D$31,4,FALSE)</f>
        <v>542.4</v>
      </c>
      <c r="G46" s="145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09"/>
      <c r="L46" s="157"/>
      <c r="M46" s="116"/>
      <c r="N46" s="109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hidden="1" customHeight="1" outlineLevel="1">
      <c r="A47" s="140">
        <f>ПТО!A6</f>
        <v>0</v>
      </c>
      <c r="B47" s="140"/>
      <c r="C47" s="140"/>
      <c r="D47" s="140"/>
      <c r="E47" s="140"/>
      <c r="F47" s="145" t="e">
        <f>VLOOKUP(A47,ПТО!$A$2:$D$31,4,FALSE)</f>
        <v>#N/A</v>
      </c>
      <c r="G47" s="145"/>
      <c r="H47" s="25" t="e">
        <f>VLOOKUP(A47,ПТО!$A$2:$D$31,2,FALSE)</f>
        <v>#N/A</v>
      </c>
      <c r="I47" s="141" t="e">
        <f>VLOOKUP(A47,ПТО!$A$2:$D$31,3,FALSE)</f>
        <v>#N/A</v>
      </c>
      <c r="J47" s="141"/>
      <c r="K47" s="109"/>
      <c r="L47" s="157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40">
        <f>ПТО!A7</f>
        <v>0</v>
      </c>
      <c r="B48" s="140"/>
      <c r="C48" s="140"/>
      <c r="D48" s="140"/>
      <c r="E48" s="140"/>
      <c r="F48" s="145" t="e">
        <f>VLOOKUP(A48,ПТО!$A$2:$D$31,4,FALSE)</f>
        <v>#N/A</v>
      </c>
      <c r="G48" s="145"/>
      <c r="H48" s="25" t="e">
        <f>VLOOKUP(A48,ПТО!$A$2:$D$31,2,FALSE)</f>
        <v>#N/A</v>
      </c>
      <c r="I48" s="141" t="e">
        <f>VLOOKUP(A48,ПТО!$A$2:$D$31,3,FALSE)</f>
        <v>#N/A</v>
      </c>
      <c r="J48" s="141"/>
      <c r="K48" s="109"/>
      <c r="L48" s="157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5" t="e">
        <f>VLOOKUP(A49,ПТО!$A$2:$D$31,4,FALSE)</f>
        <v>#N/A</v>
      </c>
      <c r="G49" s="145"/>
      <c r="H49" s="25" t="e">
        <f>VLOOKUP(A49,ПТО!$A$2:$D$31,2,FALSE)</f>
        <v>#N/A</v>
      </c>
      <c r="I49" s="141" t="e">
        <f>VLOOKUP(A49,ПТО!$A$2:$D$31,3,FALSE)</f>
        <v>#N/A</v>
      </c>
      <c r="J49" s="141"/>
      <c r="K49" s="109"/>
      <c r="L49" s="157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5" t="e">
        <f>VLOOKUP(A50,ПТО!$A$2:$D$31,4,FALSE)</f>
        <v>#N/A</v>
      </c>
      <c r="G50" s="145"/>
      <c r="H50" s="25" t="e">
        <f>VLOOKUP(A50,ПТО!$A$2:$D$31,2,FALSE)</f>
        <v>#N/A</v>
      </c>
      <c r="I50" s="141" t="e">
        <f>VLOOKUP(A50,ПТО!$A$2:$D$31,3,FALSE)</f>
        <v>#N/A</v>
      </c>
      <c r="J50" s="141"/>
      <c r="K50" s="109"/>
      <c r="L50" s="157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09"/>
      <c r="L51" s="157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09"/>
      <c r="L52" s="157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09"/>
      <c r="L53" s="157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09"/>
      <c r="L54" s="157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09"/>
      <c r="L55" s="157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09"/>
      <c r="L56" s="157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09"/>
      <c r="L57" s="157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09"/>
      <c r="L58" s="157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09"/>
      <c r="L59" s="157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09"/>
      <c r="L60" s="157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09"/>
      <c r="L61" s="157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09"/>
      <c r="L62" s="157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09"/>
      <c r="L63" s="157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09"/>
      <c r="L64" s="157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09"/>
      <c r="L65" s="157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09"/>
      <c r="L66" s="157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09"/>
      <c r="L67" s="157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09"/>
      <c r="L68" s="157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09"/>
      <c r="L69" s="157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09"/>
      <c r="L70" s="157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6"/>
      <c r="L71" s="157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09"/>
      <c r="L72" s="157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09"/>
      <c r="L75" s="160"/>
      <c r="M75" s="109"/>
      <c r="N75" s="109"/>
      <c r="O75" s="70" t="s">
        <v>97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09"/>
      <c r="L76" s="160"/>
      <c r="M76" s="109"/>
      <c r="N76" s="109"/>
      <c r="O76" s="70" t="s">
        <v>98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09"/>
      <c r="L77" s="160"/>
      <c r="M77" s="109"/>
      <c r="N77" s="109"/>
      <c r="O77" s="70" t="s">
        <v>99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7">
        <f>VLOOKUP(O78,АО,3,FALSE)</f>
        <v>0</v>
      </c>
      <c r="K78" s="109"/>
      <c r="L78" s="160"/>
      <c r="M78" s="109"/>
      <c r="N78" s="109"/>
      <c r="O78" s="70" t="s">
        <v>100</v>
      </c>
    </row>
    <row r="79" spans="1:16384">
      <c r="A79" s="115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38" t="s">
        <v>2</v>
      </c>
      <c r="B81" s="138"/>
      <c r="C81" s="138"/>
      <c r="D81" s="138"/>
      <c r="E81" s="138"/>
      <c r="F81" s="138"/>
      <c r="G81" s="138"/>
      <c r="H81" s="138"/>
      <c r="I81" s="138"/>
      <c r="J81" s="97">
        <f t="shared" ref="J81:J90" si="2">VLOOKUP(O81,АО,3,FALSE)</f>
        <v>0</v>
      </c>
      <c r="K81" s="109"/>
      <c r="L81" s="146"/>
      <c r="M81" s="109"/>
      <c r="N81" s="109"/>
      <c r="O81" s="70" t="s">
        <v>101</v>
      </c>
    </row>
    <row r="82" spans="1:15" outlineLevel="1">
      <c r="A82" s="138" t="s">
        <v>3</v>
      </c>
      <c r="B82" s="138"/>
      <c r="C82" s="138"/>
      <c r="D82" s="138"/>
      <c r="E82" s="138"/>
      <c r="F82" s="138"/>
      <c r="G82" s="138"/>
      <c r="H82" s="138"/>
      <c r="I82" s="138"/>
      <c r="J82" s="97">
        <f t="shared" si="2"/>
        <v>0</v>
      </c>
      <c r="K82" s="109"/>
      <c r="L82" s="146"/>
      <c r="M82" s="109"/>
      <c r="N82" s="109"/>
      <c r="O82" s="70" t="s">
        <v>102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7">
        <f t="shared" si="2"/>
        <v>13450.12</v>
      </c>
      <c r="K83" s="109"/>
      <c r="L83" s="146"/>
      <c r="M83" s="109"/>
      <c r="N83" s="109"/>
      <c r="O83" s="70" t="s">
        <v>103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7">
        <f t="shared" si="2"/>
        <v>0</v>
      </c>
      <c r="K84" s="109"/>
      <c r="L84" s="146"/>
      <c r="M84" s="109"/>
      <c r="N84" s="109"/>
      <c r="O84" s="70" t="s">
        <v>104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7">
        <f t="shared" si="2"/>
        <v>0</v>
      </c>
      <c r="K85" s="109"/>
      <c r="L85" s="146"/>
      <c r="M85" s="109"/>
      <c r="N85" s="109"/>
      <c r="O85" s="70" t="s">
        <v>105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7">
        <f t="shared" si="2"/>
        <v>7548.04</v>
      </c>
      <c r="K86" s="109"/>
      <c r="L86" s="146"/>
      <c r="M86" s="109"/>
      <c r="N86" s="109"/>
      <c r="O86" s="70" t="s">
        <v>106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09"/>
      <c r="L87" s="146"/>
      <c r="M87" s="109"/>
      <c r="N87" s="109"/>
      <c r="O87" s="70" t="s">
        <v>107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09"/>
      <c r="L88" s="146"/>
      <c r="M88" s="109"/>
      <c r="N88" s="109"/>
      <c r="O88" s="70" t="s">
        <v>108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09"/>
      <c r="L89" s="146"/>
      <c r="M89" s="109"/>
      <c r="N89" s="109"/>
      <c r="O89" s="70" t="s">
        <v>109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7">
        <f t="shared" si="2"/>
        <v>0</v>
      </c>
      <c r="K90" s="109"/>
      <c r="L90" s="146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1" t="s">
        <v>48</v>
      </c>
      <c r="B93" s="161"/>
      <c r="C93" s="161"/>
      <c r="D93" s="162" t="s">
        <v>49</v>
      </c>
      <c r="E93" s="162"/>
      <c r="F93" s="10" t="s">
        <v>50</v>
      </c>
      <c r="G93" s="161" t="s">
        <v>51</v>
      </c>
      <c r="H93" s="161"/>
      <c r="I93" s="161"/>
      <c r="J93" s="161"/>
      <c r="K93" s="109"/>
      <c r="L93" s="109"/>
      <c r="M93" s="109"/>
      <c r="N93" s="109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4">
        <f>VLOOKUP("эл",АО,5,FALSE)</f>
        <v>15071.08</v>
      </c>
      <c r="H94" s="143"/>
      <c r="I94" s="143"/>
      <c r="J94" s="143"/>
      <c r="K94" s="1" t="str">
        <f>VLOOKUP("эл",АО,2,FALSE)</f>
        <v>Электроснабжение</v>
      </c>
      <c r="L94" s="147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12559.23</v>
      </c>
      <c r="L95" s="147"/>
      <c r="O95" s="1" t="s">
        <v>111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15423.63</v>
      </c>
      <c r="L96" s="147"/>
      <c r="O96" s="1" t="s">
        <v>112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0</v>
      </c>
      <c r="L97" s="147"/>
      <c r="O97" s="1" t="s">
        <v>113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15071.08</v>
      </c>
      <c r="L98" s="147"/>
      <c r="O98" s="1" t="s">
        <v>114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15071.08</v>
      </c>
      <c r="L99" s="147"/>
      <c r="O99" s="1" t="s">
        <v>115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47"/>
      <c r="O100" s="1" t="s">
        <v>116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47"/>
      <c r="O101" s="1" t="s">
        <v>117</v>
      </c>
    </row>
    <row r="102" spans="1:15" ht="28.5" customHeight="1" outlineLevel="1">
      <c r="A102" s="142">
        <f>IF(VLOOKUP("хвс",АО,3,FALSE)&gt;0,"Холодное водоснабжение",0)</f>
        <v>0</v>
      </c>
      <c r="B102" s="142"/>
      <c r="C102" s="142"/>
      <c r="D102" s="143">
        <f>IF(VLOOKUP("хвс",АО,3,FALSE)&gt;0,VLOOKUP("хвс",АО,3,FALSE),0)</f>
        <v>0</v>
      </c>
      <c r="E102" s="143"/>
      <c r="F102" s="13">
        <f>IF(VLOOKUP("хвс",АО,3,FALSE)&gt;0,VLOOKUP("хвс",АО,4,FALSE),0)</f>
        <v>0</v>
      </c>
      <c r="G102" s="144">
        <f>VLOOKUP("хвс",АО,5,FALSE)</f>
        <v>0</v>
      </c>
      <c r="H102" s="143"/>
      <c r="I102" s="143"/>
      <c r="J102" s="143"/>
      <c r="L102" s="147"/>
    </row>
    <row r="103" spans="1:15" outlineLevel="2">
      <c r="A103" s="159">
        <f t="shared" ref="A103:A109" si="4">IF(VLOOKUP("хвс",АО,3,FALSE)&gt;0,VLOOKUP(O103,АО,2,FALSE),0)</f>
        <v>0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0</v>
      </c>
      <c r="L103" s="147"/>
      <c r="O103" s="1" t="s">
        <v>120</v>
      </c>
    </row>
    <row r="104" spans="1:15" ht="18.75" customHeight="1" outlineLevel="2">
      <c r="A104" s="159">
        <f t="shared" si="4"/>
        <v>0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0</v>
      </c>
      <c r="L104" s="147"/>
      <c r="O104" s="1" t="s">
        <v>121</v>
      </c>
    </row>
    <row r="105" spans="1:15" ht="18.75" customHeight="1" outlineLevel="2">
      <c r="A105" s="159">
        <f t="shared" si="4"/>
        <v>0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0</v>
      </c>
      <c r="L105" s="147"/>
      <c r="O105" s="1" t="s">
        <v>122</v>
      </c>
    </row>
    <row r="106" spans="1:15" ht="36.75" customHeight="1" outlineLevel="2">
      <c r="A106" s="159">
        <f t="shared" si="4"/>
        <v>0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0</v>
      </c>
      <c r="L106" s="147"/>
      <c r="O106" s="1" t="s">
        <v>123</v>
      </c>
    </row>
    <row r="107" spans="1:15" ht="18.75" customHeight="1" outlineLevel="2">
      <c r="A107" s="159">
        <f t="shared" si="4"/>
        <v>0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0</v>
      </c>
      <c r="L107" s="147"/>
      <c r="O107" s="1" t="s">
        <v>124</v>
      </c>
    </row>
    <row r="108" spans="1:15" ht="37.5" customHeight="1" outlineLevel="2">
      <c r="A108" s="159">
        <f t="shared" si="4"/>
        <v>0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47"/>
      <c r="O108" s="1" t="s">
        <v>125</v>
      </c>
    </row>
    <row r="109" spans="1:15" ht="39.75" customHeight="1" outlineLevel="2">
      <c r="A109" s="159">
        <f t="shared" si="4"/>
        <v>0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47"/>
      <c r="O109" s="1" t="s">
        <v>126</v>
      </c>
    </row>
    <row r="110" spans="1:15" ht="27" customHeight="1" outlineLevel="1">
      <c r="A110" s="142">
        <f>IF(VLOOKUP("воо",АО,3,FALSE)&gt;0,"Водоотведение",0)</f>
        <v>0</v>
      </c>
      <c r="B110" s="142"/>
      <c r="C110" s="142"/>
      <c r="D110" s="143">
        <f>IF(VLOOKUP("воо",АО,3,FALSE)&gt;0,VLOOKUP("воо",АО,3,FALSE),0)</f>
        <v>0</v>
      </c>
      <c r="E110" s="143"/>
      <c r="F110" s="13">
        <f>IF(VLOOKUP("воо",АО,3,FALSE)&gt;0,VLOOKUP("воо",АО,4,FALSE),0)</f>
        <v>0</v>
      </c>
      <c r="G110" s="144">
        <f>VLOOKUP("воо",АО,5,FALSE)</f>
        <v>0</v>
      </c>
      <c r="H110" s="143"/>
      <c r="I110" s="143"/>
      <c r="J110" s="143"/>
      <c r="L110" s="147"/>
    </row>
    <row r="111" spans="1:15" outlineLevel="2">
      <c r="A111" s="138">
        <f t="shared" ref="A111:A117" si="6">IF(VLOOKUP("воо",АО,3,FALSE)&gt;0,VLOOKUP(O111,АО,2,FALSE),0)</f>
        <v>0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0</v>
      </c>
      <c r="L111" s="147"/>
      <c r="O111" s="1" t="s">
        <v>128</v>
      </c>
    </row>
    <row r="112" spans="1:15" ht="18.75" customHeight="1" outlineLevel="2">
      <c r="A112" s="138">
        <f t="shared" si="6"/>
        <v>0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5549.53</v>
      </c>
      <c r="L112" s="147"/>
      <c r="O112" s="1" t="s">
        <v>129</v>
      </c>
    </row>
    <row r="113" spans="1:15" ht="19.5" customHeight="1" outlineLevel="2">
      <c r="A113" s="138">
        <f t="shared" si="6"/>
        <v>0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0</v>
      </c>
      <c r="L113" s="147"/>
      <c r="O113" s="1" t="s">
        <v>130</v>
      </c>
    </row>
    <row r="114" spans="1:15" ht="33" customHeight="1" outlineLevel="2">
      <c r="A114" s="138">
        <f t="shared" si="6"/>
        <v>0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0</v>
      </c>
      <c r="L114" s="147"/>
      <c r="O114" s="1" t="s">
        <v>131</v>
      </c>
    </row>
    <row r="115" spans="1:15" ht="18.75" customHeight="1" outlineLevel="2">
      <c r="A115" s="138">
        <f t="shared" si="6"/>
        <v>0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0</v>
      </c>
      <c r="L115" s="147"/>
      <c r="O115" s="1" t="s">
        <v>132</v>
      </c>
    </row>
    <row r="116" spans="1:15" ht="33.75" customHeight="1" outlineLevel="2">
      <c r="A116" s="138">
        <f t="shared" si="6"/>
        <v>0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47"/>
      <c r="O116" s="1" t="s">
        <v>133</v>
      </c>
    </row>
    <row r="117" spans="1:15" ht="32.25" customHeight="1" outlineLevel="2">
      <c r="A117" s="138">
        <f t="shared" si="6"/>
        <v>0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47"/>
      <c r="O117" s="1" t="s">
        <v>134</v>
      </c>
    </row>
    <row r="118" spans="1:15" ht="32.25" hidden="1" customHeight="1" outlineLevel="1">
      <c r="A118" s="142">
        <f>IF(VLOOKUP("тко",АО,3,FALSE)&gt;0,"Обращение с ТКО",0)</f>
        <v>0</v>
      </c>
      <c r="B118" s="142"/>
      <c r="C118" s="142"/>
      <c r="D118" s="143">
        <f>IF(VLOOKUP("тко",АО,3,FALSE)&gt;0,VLOOKUP("тко",АО,3,FALSE),0)</f>
        <v>0</v>
      </c>
      <c r="E118" s="143"/>
      <c r="F118" s="13">
        <f>IF(VLOOKUP("тко",АО,3,FALSE)&gt;0,VLOOKUP("тко",АО,4,FALSE),0)</f>
        <v>0</v>
      </c>
      <c r="G118" s="144">
        <f>VLOOKUP("тко",АО,5,FALSE)</f>
        <v>0</v>
      </c>
      <c r="H118" s="143"/>
      <c r="I118" s="143"/>
      <c r="J118" s="143"/>
      <c r="L118" s="47"/>
    </row>
    <row r="119" spans="1:15" ht="32.25" hidden="1" customHeight="1" outlineLevel="2">
      <c r="A119" s="138">
        <f t="shared" ref="A119:A125" si="8">IF(VLOOKUP("тко",АО,3,FALSE)&gt;0,VLOOKUP(O119,АО,2,FALSE),0)</f>
        <v>0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38">
        <f t="shared" si="8"/>
        <v>0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38">
        <f t="shared" si="8"/>
        <v>0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38">
        <f t="shared" si="8"/>
        <v>0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38">
        <f t="shared" si="8"/>
        <v>0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38">
        <f t="shared" si="8"/>
        <v>0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38">
        <f t="shared" si="8"/>
        <v>0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42">
        <f>IF(VLOOKUP("гвс",АО,3,FALSE)&gt;0,"Горячее водоснабжение",0)</f>
        <v>0</v>
      </c>
      <c r="B126" s="142"/>
      <c r="C126" s="142"/>
      <c r="D126" s="143">
        <f>IF(VLOOKUP("гвс",АО,3,FALSE)&gt;0,VLOOKUP("гвс",АО,3,FALSE),0)</f>
        <v>0</v>
      </c>
      <c r="E126" s="143"/>
      <c r="F126" s="13">
        <f>IF(VLOOKUP("гвс",АО,3,FALSE)&gt;0,VLOOKUP("гвс",АО,4,FALSE),0)</f>
        <v>0</v>
      </c>
      <c r="G126" s="144">
        <f>VLOOKUP("гвс",АО,5,FALSE)</f>
        <v>0</v>
      </c>
      <c r="H126" s="143"/>
      <c r="I126" s="143"/>
      <c r="J126" s="143"/>
      <c r="L126" s="47"/>
    </row>
    <row r="127" spans="1:15" ht="32.25" hidden="1" customHeight="1" outlineLevel="2">
      <c r="A127" s="138">
        <f t="shared" ref="A127:A133" si="10">IF(VLOOKUP("гвс",АО,3,FALSE)&gt;0,VLOOKUP(O127,АО,2,FALSE),0)</f>
        <v>0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38">
        <f t="shared" si="10"/>
        <v>0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38">
        <f t="shared" si="10"/>
        <v>0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38">
        <f t="shared" si="10"/>
        <v>0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38">
        <f t="shared" si="10"/>
        <v>0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38">
        <f t="shared" si="10"/>
        <v>0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38">
        <f t="shared" si="10"/>
        <v>0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3"/>
      <c r="I134" s="143"/>
      <c r="J134" s="143"/>
      <c r="L134" s="47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7"/>
      <c r="O141" s="1" t="s">
        <v>158</v>
      </c>
    </row>
    <row r="143" spans="1:15">
      <c r="A143" s="11" t="s">
        <v>44</v>
      </c>
    </row>
    <row r="144" spans="1:15" ht="18.75" customHeight="1" outlineLevel="1">
      <c r="A144" s="138" t="s">
        <v>45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0</v>
      </c>
      <c r="O144" t="s">
        <v>168</v>
      </c>
    </row>
    <row r="145" spans="1:15" ht="18.75" customHeight="1" outlineLevel="1">
      <c r="A145" s="138" t="s">
        <v>46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2</v>
      </c>
      <c r="L145" s="15"/>
      <c r="O145" t="s">
        <v>169</v>
      </c>
    </row>
    <row r="146" spans="1:15" ht="30" customHeight="1" outlineLevel="1">
      <c r="A146" s="138" t="s">
        <v>171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66853.350000000006</v>
      </c>
      <c r="O146" t="s">
        <v>170</v>
      </c>
    </row>
    <row r="149" spans="1:15" ht="52.5" customHeight="1">
      <c r="A149" s="163" t="s">
        <v>178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5" t="s">
        <v>181</v>
      </c>
      <c r="B154" s="165"/>
      <c r="C154" s="165"/>
      <c r="D154" s="165"/>
      <c r="E154" s="27">
        <f>ПТО!G1</f>
        <v>25148.13</v>
      </c>
    </row>
    <row r="155" spans="1:15" ht="34.5" customHeight="1">
      <c r="A155" s="164" t="s">
        <v>183</v>
      </c>
      <c r="B155" s="164"/>
      <c r="C155" s="164"/>
      <c r="D155" s="164"/>
      <c r="E155" s="28">
        <f>J13</f>
        <v>61096.680000000008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0" t="str">
        <f t="shared" ref="A158:A163" si="14">IF(N158&gt;0,N158,0)</f>
        <v>Техническое обслуживание охранной сигнализации.</v>
      </c>
      <c r="B158" s="140"/>
      <c r="C158" s="140"/>
      <c r="D158" s="140"/>
      <c r="E158" s="140"/>
      <c r="F158" s="145">
        <f t="shared" ref="F158:F163" si="15">IF(ISERROR(VLOOKUP(A158,$A$28:$J$72,6,FALSE)),0,VLOOKUP(A158,$A$28:$J$72,6,FALSE))</f>
        <v>7190.6399999999994</v>
      </c>
      <c r="G158" s="145"/>
      <c r="H158" s="24" t="str">
        <f t="shared" ref="H158:H187" si="16">VLOOKUP(A158,$A$28:$J$72,8,FALSE)</f>
        <v>ежемесячно</v>
      </c>
      <c r="I158" s="141">
        <f t="shared" ref="I158:I161" si="17">VLOOKUP(A158,$A$28:$J$72,9,FALSE)</f>
        <v>12</v>
      </c>
      <c r="J158" s="14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0" t="str">
        <f t="shared" si="14"/>
        <v>Аварийный ремонт теплообменника ГВС.</v>
      </c>
      <c r="B159" s="140"/>
      <c r="C159" s="140"/>
      <c r="D159" s="140"/>
      <c r="E159" s="140"/>
      <c r="F159" s="145">
        <f t="shared" si="15"/>
        <v>23124.92</v>
      </c>
      <c r="G159" s="145"/>
      <c r="H159" s="24" t="str">
        <f t="shared" si="16"/>
        <v>разово</v>
      </c>
      <c r="I159" s="141">
        <f t="shared" si="17"/>
        <v>1</v>
      </c>
      <c r="J159" s="141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40" t="str">
        <f t="shared" si="14"/>
        <v>Ремонт уличного освещения.</v>
      </c>
      <c r="B160" s="140"/>
      <c r="C160" s="140"/>
      <c r="D160" s="140"/>
      <c r="E160" s="140"/>
      <c r="F160" s="145">
        <f t="shared" si="15"/>
        <v>2000</v>
      </c>
      <c r="G160" s="145"/>
      <c r="H160" s="24" t="str">
        <f t="shared" si="16"/>
        <v>разово</v>
      </c>
      <c r="I160" s="141">
        <f t="shared" si="17"/>
        <v>1</v>
      </c>
      <c r="J160" s="141"/>
      <c r="M160" s="22" t="s">
        <v>72</v>
      </c>
      <c r="N160" s="1" t="str">
        <v>Ремонт уличного освещения.</v>
      </c>
    </row>
    <row r="161" spans="1:14" ht="28.5" customHeight="1">
      <c r="A161" s="140" t="str">
        <f>IF(N161&gt;0,N161,0)</f>
        <v>Приобретение и установка информационного стенда на детскую площадку.</v>
      </c>
      <c r="B161" s="140"/>
      <c r="C161" s="140"/>
      <c r="D161" s="140"/>
      <c r="E161" s="140"/>
      <c r="F161" s="145">
        <f t="shared" si="15"/>
        <v>542.4</v>
      </c>
      <c r="G161" s="145"/>
      <c r="H161" s="24" t="str">
        <f t="shared" si="16"/>
        <v>разово</v>
      </c>
      <c r="I161" s="141">
        <f t="shared" si="17"/>
        <v>1</v>
      </c>
      <c r="J161" s="141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hidden="1" customHeight="1">
      <c r="A162" s="140">
        <f t="shared" si="14"/>
        <v>0</v>
      </c>
      <c r="B162" s="140"/>
      <c r="C162" s="140"/>
      <c r="D162" s="140"/>
      <c r="E162" s="140"/>
      <c r="F162" s="145">
        <f t="shared" si="15"/>
        <v>0</v>
      </c>
      <c r="G162" s="145"/>
      <c r="H162" s="24" t="e">
        <f t="shared" si="16"/>
        <v>#N/A</v>
      </c>
      <c r="I162" s="141" t="e">
        <f>VLOOKUP(A162,$A$28:$J$72,9,FALSE)</f>
        <v>#N/A</v>
      </c>
      <c r="J162" s="141"/>
      <c r="M162" s="22" t="s">
        <v>72</v>
      </c>
      <c r="N162" s="1">
        <v>0</v>
      </c>
    </row>
    <row r="163" spans="1:14" ht="28.5" hidden="1" customHeight="1">
      <c r="A163" s="140">
        <f t="shared" si="14"/>
        <v>0</v>
      </c>
      <c r="B163" s="140"/>
      <c r="C163" s="140"/>
      <c r="D163" s="140"/>
      <c r="E163" s="140"/>
      <c r="F163" s="145">
        <f t="shared" si="15"/>
        <v>0</v>
      </c>
      <c r="G163" s="145"/>
      <c r="H163" s="24" t="e">
        <f t="shared" si="16"/>
        <v>#N/A</v>
      </c>
      <c r="I163" s="141" t="e">
        <f>VLOOKUP(A163,$A$28:$J$72,9,FALSE)</f>
        <v>#N/A</v>
      </c>
      <c r="J163" s="141"/>
      <c r="M163" s="22" t="s">
        <v>72</v>
      </c>
      <c r="N163" s="1">
        <v>0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5">
        <f t="shared" ref="F164:F187" si="19">IF(ISERROR(VLOOKUP(A164,$A$28:$J$72,6,FALSE)),0,VLOOKUP(A164,$A$28:$J$72,6,FALSE))</f>
        <v>0</v>
      </c>
      <c r="G164" s="145"/>
      <c r="H164" s="29" t="e">
        <f t="shared" si="16"/>
        <v>#N/A</v>
      </c>
      <c r="I164" s="141" t="e">
        <f t="shared" ref="I164:I187" si="20">VLOOKUP(A164,$A$28:$J$72,9,FALSE)</f>
        <v>#N/A</v>
      </c>
      <c r="J164" s="141"/>
      <c r="M164" s="22" t="s">
        <v>72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5">
        <f t="shared" si="19"/>
        <v>0</v>
      </c>
      <c r="G165" s="145"/>
      <c r="H165" s="29" t="e">
        <f t="shared" si="16"/>
        <v>#N/A</v>
      </c>
      <c r="I165" s="141" t="e">
        <f t="shared" si="20"/>
        <v>#N/A</v>
      </c>
      <c r="J165" s="141"/>
      <c r="M165" s="22" t="s">
        <v>72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5">
        <f t="shared" si="19"/>
        <v>0</v>
      </c>
      <c r="G166" s="145"/>
      <c r="H166" s="29" t="e">
        <f t="shared" si="16"/>
        <v>#N/A</v>
      </c>
      <c r="I166" s="141" t="e">
        <f t="shared" si="20"/>
        <v>#N/A</v>
      </c>
      <c r="J166" s="141"/>
      <c r="M166" s="22" t="s">
        <v>72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5">
        <f t="shared" si="19"/>
        <v>0</v>
      </c>
      <c r="G167" s="145"/>
      <c r="H167" s="29" t="e">
        <f t="shared" si="16"/>
        <v>#N/A</v>
      </c>
      <c r="I167" s="141" t="e">
        <f t="shared" si="20"/>
        <v>#N/A</v>
      </c>
      <c r="J167" s="141"/>
      <c r="M167" s="22" t="s">
        <v>72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5">
        <f t="shared" si="19"/>
        <v>0</v>
      </c>
      <c r="G168" s="145"/>
      <c r="H168" s="29" t="e">
        <f t="shared" si="16"/>
        <v>#N/A</v>
      </c>
      <c r="I168" s="141" t="e">
        <f t="shared" si="20"/>
        <v>#N/A</v>
      </c>
      <c r="J168" s="141"/>
      <c r="M168" s="22" t="s">
        <v>72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5">
        <f t="shared" si="19"/>
        <v>0</v>
      </c>
      <c r="G169" s="145"/>
      <c r="H169" s="29" t="e">
        <f t="shared" si="16"/>
        <v>#N/A</v>
      </c>
      <c r="I169" s="141" t="e">
        <f t="shared" si="20"/>
        <v>#N/A</v>
      </c>
      <c r="J169" s="141"/>
      <c r="M169" s="22" t="s">
        <v>72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5">
        <f t="shared" si="19"/>
        <v>0</v>
      </c>
      <c r="G170" s="145"/>
      <c r="H170" s="29" t="e">
        <f t="shared" si="16"/>
        <v>#N/A</v>
      </c>
      <c r="I170" s="141" t="e">
        <f t="shared" si="20"/>
        <v>#N/A</v>
      </c>
      <c r="J170" s="141"/>
      <c r="M170" s="22" t="s">
        <v>72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5">
        <f t="shared" si="19"/>
        <v>0</v>
      </c>
      <c r="G171" s="145"/>
      <c r="H171" s="29" t="e">
        <f t="shared" si="16"/>
        <v>#N/A</v>
      </c>
      <c r="I171" s="141" t="e">
        <f t="shared" si="20"/>
        <v>#N/A</v>
      </c>
      <c r="J171" s="141"/>
      <c r="M171" s="22" t="s">
        <v>72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5">
        <f t="shared" si="19"/>
        <v>0</v>
      </c>
      <c r="G172" s="145"/>
      <c r="H172" s="29" t="e">
        <f t="shared" si="16"/>
        <v>#N/A</v>
      </c>
      <c r="I172" s="141" t="e">
        <f t="shared" si="20"/>
        <v>#N/A</v>
      </c>
      <c r="J172" s="141"/>
      <c r="M172" s="22" t="s">
        <v>72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5">
        <f t="shared" si="19"/>
        <v>0</v>
      </c>
      <c r="G173" s="145"/>
      <c r="H173" s="29" t="e">
        <f t="shared" si="16"/>
        <v>#N/A</v>
      </c>
      <c r="I173" s="141" t="e">
        <f t="shared" si="20"/>
        <v>#N/A</v>
      </c>
      <c r="J173" s="141"/>
      <c r="M173" s="22" t="s">
        <v>72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5">
        <f t="shared" si="19"/>
        <v>0</v>
      </c>
      <c r="G174" s="145"/>
      <c r="H174" s="29" t="e">
        <f t="shared" si="16"/>
        <v>#N/A</v>
      </c>
      <c r="I174" s="141" t="e">
        <f t="shared" si="20"/>
        <v>#N/A</v>
      </c>
      <c r="J174" s="141"/>
      <c r="M174" s="22" t="s">
        <v>72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5">
        <f t="shared" si="19"/>
        <v>0</v>
      </c>
      <c r="G175" s="145"/>
      <c r="H175" s="29" t="e">
        <f t="shared" si="16"/>
        <v>#N/A</v>
      </c>
      <c r="I175" s="141" t="e">
        <f t="shared" si="20"/>
        <v>#N/A</v>
      </c>
      <c r="J175" s="141"/>
      <c r="M175" s="22" t="s">
        <v>72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5">
        <f t="shared" si="19"/>
        <v>0</v>
      </c>
      <c r="G176" s="145"/>
      <c r="H176" s="29" t="e">
        <f t="shared" si="16"/>
        <v>#N/A</v>
      </c>
      <c r="I176" s="141" t="e">
        <f t="shared" si="20"/>
        <v>#N/A</v>
      </c>
      <c r="J176" s="141"/>
      <c r="M176" s="22" t="s">
        <v>72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5">
        <f t="shared" si="19"/>
        <v>0</v>
      </c>
      <c r="G177" s="145"/>
      <c r="H177" s="29" t="e">
        <f t="shared" si="16"/>
        <v>#N/A</v>
      </c>
      <c r="I177" s="141" t="e">
        <f t="shared" si="20"/>
        <v>#N/A</v>
      </c>
      <c r="J177" s="141"/>
      <c r="M177" s="22" t="s">
        <v>72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5">
        <f t="shared" si="19"/>
        <v>0</v>
      </c>
      <c r="G178" s="145"/>
      <c r="H178" s="29" t="e">
        <f t="shared" si="16"/>
        <v>#N/A</v>
      </c>
      <c r="I178" s="141" t="e">
        <f t="shared" si="20"/>
        <v>#N/A</v>
      </c>
      <c r="J178" s="141"/>
      <c r="M178" s="22" t="s">
        <v>72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5">
        <f t="shared" si="19"/>
        <v>0</v>
      </c>
      <c r="G179" s="145"/>
      <c r="H179" s="29" t="e">
        <f t="shared" si="16"/>
        <v>#N/A</v>
      </c>
      <c r="I179" s="141" t="e">
        <f t="shared" si="20"/>
        <v>#N/A</v>
      </c>
      <c r="J179" s="141"/>
      <c r="M179" s="22" t="s">
        <v>72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5">
        <f t="shared" si="19"/>
        <v>0</v>
      </c>
      <c r="G180" s="145"/>
      <c r="H180" s="29" t="e">
        <f t="shared" si="16"/>
        <v>#N/A</v>
      </c>
      <c r="I180" s="141" t="e">
        <f t="shared" si="20"/>
        <v>#N/A</v>
      </c>
      <c r="J180" s="141"/>
      <c r="M180" s="22" t="s">
        <v>72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5">
        <f t="shared" si="19"/>
        <v>0</v>
      </c>
      <c r="G181" s="145"/>
      <c r="H181" s="29" t="e">
        <f t="shared" si="16"/>
        <v>#N/A</v>
      </c>
      <c r="I181" s="141" t="e">
        <f t="shared" si="20"/>
        <v>#N/A</v>
      </c>
      <c r="J181" s="141"/>
      <c r="M181" s="22" t="s">
        <v>72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5">
        <f t="shared" si="19"/>
        <v>0</v>
      </c>
      <c r="G182" s="145"/>
      <c r="H182" s="29" t="e">
        <f t="shared" si="16"/>
        <v>#N/A</v>
      </c>
      <c r="I182" s="141" t="e">
        <f t="shared" si="20"/>
        <v>#N/A</v>
      </c>
      <c r="J182" s="141"/>
      <c r="M182" s="22" t="s">
        <v>72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5">
        <f t="shared" si="19"/>
        <v>0</v>
      </c>
      <c r="G183" s="145"/>
      <c r="H183" s="29" t="e">
        <f t="shared" si="16"/>
        <v>#N/A</v>
      </c>
      <c r="I183" s="141" t="e">
        <f t="shared" si="20"/>
        <v>#N/A</v>
      </c>
      <c r="J183" s="141"/>
      <c r="M183" s="22" t="s">
        <v>72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5">
        <f t="shared" si="19"/>
        <v>0</v>
      </c>
      <c r="G184" s="145"/>
      <c r="H184" s="29" t="e">
        <f t="shared" si="16"/>
        <v>#N/A</v>
      </c>
      <c r="I184" s="141" t="e">
        <f t="shared" si="20"/>
        <v>#N/A</v>
      </c>
      <c r="J184" s="141"/>
      <c r="M184" s="22" t="s">
        <v>72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5">
        <f t="shared" si="19"/>
        <v>0</v>
      </c>
      <c r="G185" s="145"/>
      <c r="H185" s="29" t="e">
        <f t="shared" si="16"/>
        <v>#N/A</v>
      </c>
      <c r="I185" s="141" t="e">
        <f t="shared" si="20"/>
        <v>#N/A</v>
      </c>
      <c r="J185" s="141"/>
      <c r="M185" s="22" t="s">
        <v>72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5">
        <f t="shared" si="19"/>
        <v>0</v>
      </c>
      <c r="G186" s="145"/>
      <c r="H186" s="29" t="e">
        <f t="shared" si="16"/>
        <v>#N/A</v>
      </c>
      <c r="I186" s="141" t="e">
        <f t="shared" si="20"/>
        <v>#N/A</v>
      </c>
      <c r="J186" s="141"/>
      <c r="M186" s="22" t="s">
        <v>72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5">
        <f t="shared" si="19"/>
        <v>0</v>
      </c>
      <c r="G187" s="145"/>
      <c r="H187" s="29" t="e">
        <f t="shared" si="16"/>
        <v>#N/A</v>
      </c>
      <c r="I187" s="141" t="e">
        <f t="shared" si="20"/>
        <v>#N/A</v>
      </c>
      <c r="J187" s="141"/>
      <c r="M187" s="22" t="s">
        <v>72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65" t="s">
        <v>184</v>
      </c>
      <c r="B190" s="165"/>
      <c r="C190" s="165"/>
      <c r="D190" s="165"/>
      <c r="E190" s="27">
        <f>SUM(F158:G187)</f>
        <v>32857.96</v>
      </c>
    </row>
    <row r="191" spans="1:14" ht="51.75" customHeight="1">
      <c r="A191" s="165" t="s">
        <v>185</v>
      </c>
      <c r="B191" s="165"/>
      <c r="C191" s="165"/>
      <c r="D191" s="165"/>
      <c r="E191" s="27">
        <f>E190+E154-E155</f>
        <v>-3090.5900000000111</v>
      </c>
    </row>
    <row r="192" spans="1:14">
      <c r="A192" s="104" t="s">
        <v>172</v>
      </c>
    </row>
    <row r="193" spans="1:10" ht="62.25" customHeight="1">
      <c r="A193" s="139" t="s">
        <v>182</v>
      </c>
      <c r="B193" s="139"/>
      <c r="C193" s="139"/>
      <c r="D193" s="139"/>
      <c r="E193" s="139"/>
      <c r="F193" s="139"/>
      <c r="G193" s="139"/>
      <c r="H193" s="139"/>
      <c r="I193" s="139"/>
      <c r="J193" s="139"/>
    </row>
    <row r="194" spans="1:10" hidden="1">
      <c r="A194" s="137">
        <f>ПТО!F12</f>
        <v>0</v>
      </c>
      <c r="B194" s="137"/>
      <c r="C194" s="137"/>
      <c r="D194" s="137"/>
      <c r="E194" s="137"/>
      <c r="F194" s="137"/>
      <c r="G194" s="137"/>
      <c r="H194" s="49">
        <f>ПТО!G12</f>
        <v>0</v>
      </c>
      <c r="I194" s="50" t="s">
        <v>73</v>
      </c>
    </row>
    <row r="195" spans="1:10" ht="18.75" hidden="1" customHeight="1">
      <c r="A195" s="137">
        <f>ПТО!F13</f>
        <v>0</v>
      </c>
      <c r="B195" s="137"/>
      <c r="C195" s="137"/>
      <c r="D195" s="137"/>
      <c r="E195" s="137"/>
      <c r="F195" s="137"/>
      <c r="G195" s="137"/>
      <c r="H195" s="49">
        <f>ПТО!G13</f>
        <v>0</v>
      </c>
      <c r="I195" s="50" t="s">
        <v>73</v>
      </c>
    </row>
    <row r="196" spans="1:10" ht="18.75" hidden="1" customHeight="1">
      <c r="A196" s="137">
        <f>ПТО!F14</f>
        <v>0</v>
      </c>
      <c r="B196" s="137"/>
      <c r="C196" s="137"/>
      <c r="D196" s="137"/>
      <c r="E196" s="137"/>
      <c r="F196" s="137"/>
      <c r="G196" s="137"/>
      <c r="H196" s="49">
        <f>ПТО!G14</f>
        <v>0</v>
      </c>
      <c r="I196" s="50" t="s">
        <v>73</v>
      </c>
    </row>
    <row r="197" spans="1:10" ht="18.75" hidden="1" customHeight="1">
      <c r="A197" s="137">
        <f>ПТО!F15</f>
        <v>0</v>
      </c>
      <c r="B197" s="137"/>
      <c r="C197" s="137"/>
      <c r="D197" s="137"/>
      <c r="E197" s="137"/>
      <c r="F197" s="137"/>
      <c r="G197" s="137"/>
      <c r="H197" s="49">
        <f>ПТО!G15</f>
        <v>0</v>
      </c>
      <c r="I197" s="50" t="s">
        <v>73</v>
      </c>
    </row>
    <row r="198" spans="1:10" ht="18.75" hidden="1" customHeight="1">
      <c r="A198" s="137">
        <f>ПТО!F16</f>
        <v>0</v>
      </c>
      <c r="B198" s="137"/>
      <c r="C198" s="137"/>
      <c r="D198" s="137"/>
      <c r="E198" s="137"/>
      <c r="F198" s="137"/>
      <c r="G198" s="137"/>
      <c r="H198" s="49">
        <f>ПТО!G16</f>
        <v>0</v>
      </c>
      <c r="I198" s="52" t="s">
        <v>73</v>
      </c>
    </row>
    <row r="199" spans="1:10" ht="18.75" hidden="1" customHeight="1">
      <c r="A199" s="137">
        <f>ПТО!F17</f>
        <v>0</v>
      </c>
      <c r="B199" s="137"/>
      <c r="C199" s="137"/>
      <c r="D199" s="137"/>
      <c r="E199" s="137"/>
      <c r="F199" s="137"/>
      <c r="G199" s="137"/>
      <c r="H199" s="49">
        <f>ПТО!G17</f>
        <v>0</v>
      </c>
      <c r="I199" s="50" t="s">
        <v>73</v>
      </c>
    </row>
    <row r="200" spans="1:10" hidden="1">
      <c r="A200" s="137">
        <f>ПТО!F18</f>
        <v>0</v>
      </c>
      <c r="B200" s="137"/>
      <c r="C200" s="137"/>
      <c r="D200" s="137"/>
      <c r="E200" s="137"/>
      <c r="F200" s="137"/>
      <c r="G200" s="137"/>
      <c r="H200" s="49">
        <f>ПТО!G18</f>
        <v>0</v>
      </c>
      <c r="I200" s="50" t="s">
        <v>73</v>
      </c>
    </row>
    <row r="201" spans="1:10" hidden="1">
      <c r="A201" s="137">
        <f>ПТО!F19</f>
        <v>0</v>
      </c>
      <c r="B201" s="137"/>
      <c r="C201" s="137"/>
      <c r="D201" s="137"/>
      <c r="E201" s="137"/>
      <c r="F201" s="137"/>
      <c r="G201" s="137"/>
      <c r="H201" s="49">
        <f>ПТО!G19</f>
        <v>0</v>
      </c>
      <c r="I201" s="50" t="s">
        <v>73</v>
      </c>
    </row>
    <row r="202" spans="1:10" hidden="1">
      <c r="A202" s="137">
        <f>ПТО!F20</f>
        <v>0</v>
      </c>
      <c r="B202" s="137"/>
      <c r="C202" s="137"/>
      <c r="D202" s="137"/>
      <c r="E202" s="137"/>
      <c r="F202" s="137"/>
      <c r="G202" s="137"/>
      <c r="H202" s="49">
        <f>ПТО!G20</f>
        <v>0</v>
      </c>
      <c r="I202" s="50" t="s">
        <v>73</v>
      </c>
    </row>
    <row r="203" spans="1:10" hidden="1">
      <c r="A203" s="137">
        <f>ПТО!F21</f>
        <v>0</v>
      </c>
      <c r="B203" s="137"/>
      <c r="C203" s="137"/>
      <c r="D203" s="137"/>
      <c r="E203" s="137"/>
      <c r="F203" s="137"/>
      <c r="G203" s="137"/>
      <c r="H203" s="49">
        <f>ПТО!G21</f>
        <v>0</v>
      </c>
      <c r="I203" s="50" t="s">
        <v>73</v>
      </c>
    </row>
    <row r="204" spans="1:10" hidden="1">
      <c r="A204" s="137">
        <f>ПТО!F22</f>
        <v>0</v>
      </c>
      <c r="B204" s="137"/>
      <c r="C204" s="137"/>
      <c r="D204" s="137"/>
      <c r="E204" s="137"/>
      <c r="F204" s="137"/>
      <c r="G204" s="137"/>
      <c r="H204" s="49">
        <f>ПТО!G22</f>
        <v>0</v>
      </c>
      <c r="I204" s="50" t="s">
        <v>73</v>
      </c>
    </row>
    <row r="205" spans="1:10" hidden="1">
      <c r="A205" s="137">
        <f>ПТО!F23</f>
        <v>0</v>
      </c>
      <c r="B205" s="137"/>
      <c r="C205" s="137"/>
      <c r="D205" s="137"/>
      <c r="E205" s="137"/>
      <c r="F205" s="137"/>
      <c r="G205" s="137"/>
      <c r="H205" s="49">
        <f>ПТО!G23</f>
        <v>0</v>
      </c>
      <c r="I205" s="50" t="s">
        <v>73</v>
      </c>
    </row>
    <row r="206" spans="1:10" hidden="1">
      <c r="A206" s="137">
        <f>ПТО!F24</f>
        <v>0</v>
      </c>
      <c r="B206" s="137"/>
      <c r="C206" s="137"/>
      <c r="D206" s="137"/>
      <c r="E206" s="137"/>
      <c r="F206" s="137"/>
      <c r="G206" s="137"/>
      <c r="H206" s="49">
        <f>ПТО!G24</f>
        <v>0</v>
      </c>
      <c r="I206" s="50" t="s">
        <v>73</v>
      </c>
    </row>
    <row r="207" spans="1:10" hidden="1">
      <c r="A207" s="137">
        <f>ПТО!F25</f>
        <v>0</v>
      </c>
      <c r="B207" s="137"/>
      <c r="C207" s="137"/>
      <c r="D207" s="137"/>
      <c r="E207" s="137"/>
      <c r="F207" s="137"/>
      <c r="G207" s="137"/>
      <c r="H207" s="49">
        <f>ПТО!G25</f>
        <v>0</v>
      </c>
      <c r="I207" s="50" t="s">
        <v>73</v>
      </c>
    </row>
    <row r="208" spans="1:10" hidden="1">
      <c r="A208" s="137">
        <f>ПТО!F26</f>
        <v>0</v>
      </c>
      <c r="B208" s="137"/>
      <c r="C208" s="137"/>
      <c r="D208" s="137"/>
      <c r="E208" s="137"/>
      <c r="F208" s="137"/>
      <c r="G208" s="137"/>
      <c r="H208" s="49">
        <f>ПТО!G26</f>
        <v>0</v>
      </c>
      <c r="I208" s="50" t="s">
        <v>73</v>
      </c>
    </row>
    <row r="209" spans="1:9" hidden="1">
      <c r="A209" s="137">
        <f>ПТО!F27</f>
        <v>0</v>
      </c>
      <c r="B209" s="137"/>
      <c r="C209" s="137"/>
      <c r="D209" s="137"/>
      <c r="E209" s="137"/>
      <c r="F209" s="137"/>
      <c r="G209" s="137"/>
      <c r="H209" s="49">
        <f>ПТО!G27</f>
        <v>0</v>
      </c>
      <c r="I209" s="50" t="s">
        <v>73</v>
      </c>
    </row>
    <row r="210" spans="1:9" hidden="1">
      <c r="A210" s="137">
        <f>ПТО!F28</f>
        <v>0</v>
      </c>
      <c r="B210" s="137"/>
      <c r="C210" s="137"/>
      <c r="D210" s="137"/>
      <c r="E210" s="137"/>
      <c r="F210" s="137"/>
      <c r="G210" s="137"/>
      <c r="H210" s="49">
        <f>ПТО!G28</f>
        <v>0</v>
      </c>
      <c r="I210" s="50" t="s">
        <v>73</v>
      </c>
    </row>
    <row r="211" spans="1:9" hidden="1">
      <c r="A211" s="137">
        <f>ПТО!F29</f>
        <v>0</v>
      </c>
      <c r="B211" s="137"/>
      <c r="C211" s="137"/>
      <c r="D211" s="137"/>
      <c r="E211" s="137"/>
      <c r="F211" s="137"/>
      <c r="G211" s="137"/>
      <c r="H211" s="49">
        <f>ПТО!G29</f>
        <v>0</v>
      </c>
      <c r="I211" s="50" t="s">
        <v>73</v>
      </c>
    </row>
    <row r="212" spans="1:9" hidden="1">
      <c r="A212" s="137">
        <f>ПТО!F30</f>
        <v>0</v>
      </c>
      <c r="B212" s="137"/>
      <c r="C212" s="137"/>
      <c r="D212" s="137"/>
      <c r="E212" s="137"/>
      <c r="F212" s="137"/>
      <c r="G212" s="137"/>
      <c r="H212" s="49">
        <f>ПТО!G30</f>
        <v>0</v>
      </c>
      <c r="I212" s="50" t="s">
        <v>73</v>
      </c>
    </row>
    <row r="213" spans="1:9" hidden="1">
      <c r="A213" s="137">
        <f>ПТО!F31</f>
        <v>0</v>
      </c>
      <c r="B213" s="137"/>
      <c r="C213" s="137"/>
      <c r="D213" s="137"/>
      <c r="E213" s="137"/>
      <c r="F213" s="137"/>
      <c r="G213" s="137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0</v>
      </c>
      <c r="I214" s="56" t="s">
        <v>75</v>
      </c>
    </row>
  </sheetData>
  <sheetProtection algorithmName="SHA-512" hashValue="urU18JFwKkdwEqz0CcWRq0H0Z2/QoMd5b6VE1MgxBO8AFDmUlg0zd2QZh+gtufl77ekFWjrVrRM8MJwFKNz23A==" saltValue="NZZuegdedD/ZOKbbN273K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181</v>
      </c>
      <c r="G1" s="101">
        <f>25148.13</f>
        <v>25148.13</v>
      </c>
    </row>
    <row r="2" spans="1:12" ht="18.75" customHeight="1">
      <c r="A2" s="130" t="s">
        <v>177</v>
      </c>
      <c r="B2" s="131" t="s">
        <v>174</v>
      </c>
      <c r="C2" s="131">
        <v>12</v>
      </c>
      <c r="D2" s="132">
        <v>7190.6399999999994</v>
      </c>
      <c r="E2" s="31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4" t="s">
        <v>180</v>
      </c>
      <c r="B3" s="123" t="s">
        <v>179</v>
      </c>
      <c r="C3" s="120">
        <v>1</v>
      </c>
      <c r="D3" s="46">
        <v>23124.92</v>
      </c>
      <c r="E3" s="44" t="s">
        <v>186</v>
      </c>
      <c r="F3" s="30"/>
      <c r="G3" s="30"/>
      <c r="L3" s="33" t="str">
        <f t="shared" si="0"/>
        <v>ТР</v>
      </c>
    </row>
    <row r="4" spans="1:12" ht="18.75" customHeight="1">
      <c r="A4" s="44" t="s">
        <v>187</v>
      </c>
      <c r="B4" s="124" t="s">
        <v>179</v>
      </c>
      <c r="C4" s="120">
        <v>1</v>
      </c>
      <c r="D4" s="43">
        <v>2000</v>
      </c>
      <c r="E4" s="44" t="s">
        <v>188</v>
      </c>
      <c r="F4" s="30"/>
      <c r="G4" s="30"/>
      <c r="L4" s="33" t="str">
        <f t="shared" si="0"/>
        <v>ТР</v>
      </c>
    </row>
    <row r="5" spans="1:12" ht="18.75" customHeight="1">
      <c r="A5" s="125" t="s">
        <v>189</v>
      </c>
      <c r="B5" s="126" t="s">
        <v>179</v>
      </c>
      <c r="C5" s="127">
        <v>1</v>
      </c>
      <c r="D5" s="128">
        <v>542.4</v>
      </c>
      <c r="E5" s="129" t="s">
        <v>190</v>
      </c>
      <c r="F5" s="44"/>
      <c r="G5" s="44"/>
      <c r="K5" s="46"/>
      <c r="L5" s="33" t="str">
        <f t="shared" si="0"/>
        <v>ТР</v>
      </c>
    </row>
    <row r="6" spans="1:12" ht="18.75" customHeight="1">
      <c r="A6" s="30"/>
      <c r="F6" s="44"/>
      <c r="G6" s="44"/>
      <c r="K6" s="46"/>
      <c r="L6" s="33">
        <f t="shared" si="0"/>
        <v>0</v>
      </c>
    </row>
    <row r="7" spans="1:12" ht="18.75" customHeight="1">
      <c r="A7" s="30"/>
      <c r="F7" s="45"/>
      <c r="G7" s="45"/>
      <c r="K7" s="46"/>
      <c r="L7" s="33">
        <f t="shared" si="0"/>
        <v>0</v>
      </c>
    </row>
    <row r="8" spans="1:12" ht="18.75" customHeight="1">
      <c r="A8" s="30"/>
      <c r="F8" s="45"/>
      <c r="G8" s="45"/>
      <c r="K8" s="43"/>
      <c r="L8" s="33">
        <f t="shared" si="0"/>
        <v>0</v>
      </c>
    </row>
    <row r="9" spans="1:12">
      <c r="A9" s="30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182</v>
      </c>
      <c r="G11" s="111"/>
      <c r="L11" s="33">
        <f t="shared" si="0"/>
        <v>0</v>
      </c>
    </row>
    <row r="12" spans="1:12" ht="15.75">
      <c r="A12" s="30"/>
      <c r="F12" s="112"/>
      <c r="G12" s="113"/>
      <c r="L12" s="33">
        <f t="shared" si="0"/>
        <v>0</v>
      </c>
    </row>
    <row r="13" spans="1:12" ht="15.75">
      <c r="A13" s="30"/>
      <c r="F13" s="112"/>
      <c r="G13" s="113"/>
      <c r="L13" s="33">
        <f t="shared" si="0"/>
        <v>0</v>
      </c>
    </row>
    <row r="14" spans="1:12" ht="15.75">
      <c r="F14" s="121"/>
      <c r="G14" s="122"/>
      <c r="L14" s="33">
        <f t="shared" si="0"/>
        <v>0</v>
      </c>
    </row>
    <row r="15" spans="1:12" ht="15.75"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25223.4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25223.4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29147.040000000001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29147.040000000001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13452.48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13452.48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5605.2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5605.2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28698.6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28698.6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33">
        <f>(E46*G52*F54*6+E46*G52*G54*6)+(F46*G58*F60*6+F46*G58*G60*6)+(F46*G62*F64*6+F46*G62*G64*6)</f>
        <v>17871.907499999998</v>
      </c>
      <c r="C46" s="134" t="s">
        <v>68</v>
      </c>
      <c r="D46" s="48">
        <v>12</v>
      </c>
      <c r="E46" s="133">
        <v>419.7</v>
      </c>
      <c r="F46" s="133">
        <v>105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17871.907499999998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5"/>
      <c r="C47" s="134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6" t="s">
        <v>193</v>
      </c>
      <c r="F51" s="136" t="s">
        <v>194</v>
      </c>
      <c r="G51" s="136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/>
      <c r="F52" s="133">
        <v>1129.2</v>
      </c>
      <c r="G52" s="136">
        <v>2.5</v>
      </c>
      <c r="H52" s="136">
        <f>G52*E46/F52</f>
        <v>0.92919766206163656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/>
      <c r="F53" s="136" t="s">
        <v>196</v>
      </c>
      <c r="G53" s="136" t="s">
        <v>197</v>
      </c>
      <c r="H53" s="136">
        <f>H52*G55</f>
        <v>19.513150903294367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>
        <v>1.17</v>
      </c>
      <c r="G54" s="136">
        <v>1.23</v>
      </c>
      <c r="H54" s="136"/>
    </row>
    <row r="55" spans="5:16">
      <c r="E55" s="136"/>
      <c r="F55" s="136"/>
      <c r="G55" s="136">
        <v>21</v>
      </c>
      <c r="H55" s="136"/>
    </row>
    <row r="56" spans="5:16">
      <c r="E56" s="136"/>
      <c r="F56" s="136"/>
      <c r="G56" s="136"/>
      <c r="H56" s="136"/>
    </row>
    <row r="57" spans="5:16">
      <c r="E57" s="136" t="s">
        <v>198</v>
      </c>
      <c r="F57" s="136"/>
      <c r="G57" s="136"/>
      <c r="H57" s="136"/>
    </row>
    <row r="58" spans="5:16">
      <c r="E58" s="136"/>
      <c r="F58" s="133">
        <f>F52</f>
        <v>1129.2</v>
      </c>
      <c r="G58" s="136">
        <v>7.4999999999999997E-2</v>
      </c>
      <c r="H58" s="136">
        <f>G58*F46</f>
        <v>7.875</v>
      </c>
    </row>
    <row r="59" spans="5:16">
      <c r="E59" s="136"/>
      <c r="F59" s="136" t="s">
        <v>196</v>
      </c>
      <c r="G59" s="136" t="s">
        <v>197</v>
      </c>
      <c r="H59" s="136">
        <f>H58/F58</f>
        <v>6.9739638682252917E-3</v>
      </c>
    </row>
    <row r="60" spans="5:16">
      <c r="E60" s="136"/>
      <c r="F60" s="136">
        <v>12.94</v>
      </c>
      <c r="G60" s="136">
        <v>13.45</v>
      </c>
      <c r="H60" s="136">
        <f>H59*G55</f>
        <v>0.14645324123273112</v>
      </c>
    </row>
    <row r="61" spans="5:16">
      <c r="E61" s="136" t="s">
        <v>199</v>
      </c>
      <c r="F61" s="136"/>
      <c r="G61" s="136"/>
      <c r="H61" s="136"/>
    </row>
    <row r="62" spans="5:16">
      <c r="E62" s="136"/>
      <c r="F62" s="133">
        <f>F52</f>
        <v>1129.2</v>
      </c>
      <c r="G62" s="136">
        <v>7.4999999999999997E-2</v>
      </c>
      <c r="H62" s="136">
        <f>G62*F46</f>
        <v>7.875</v>
      </c>
    </row>
    <row r="63" spans="5:16">
      <c r="E63" s="136"/>
      <c r="F63" s="136" t="s">
        <v>196</v>
      </c>
      <c r="G63" s="136" t="s">
        <v>197</v>
      </c>
      <c r="H63" s="136">
        <f>H62/F62</f>
        <v>6.9739638682252917E-3</v>
      </c>
    </row>
    <row r="64" spans="5:16">
      <c r="E64" s="136"/>
      <c r="F64" s="136">
        <v>15.73</v>
      </c>
      <c r="G64" s="136">
        <v>16.350000000000001</v>
      </c>
      <c r="H64" s="136">
        <f>H63*G55</f>
        <v>0.14645324123273112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175</v>
      </c>
      <c r="F1" s="60">
        <v>934.2</v>
      </c>
    </row>
    <row r="2" spans="1:10" ht="15.75" customHeight="1">
      <c r="A2" s="70" t="s">
        <v>80</v>
      </c>
      <c r="B2" s="72" t="s">
        <v>2</v>
      </c>
      <c r="C2" s="83">
        <v>0</v>
      </c>
      <c r="D2" s="81" t="s">
        <v>58</v>
      </c>
      <c r="E2" s="118">
        <v>5.45</v>
      </c>
      <c r="F2" s="119" t="s">
        <v>176</v>
      </c>
      <c r="G2" s="119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76263.13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223916.74000000002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104036.52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F1*5.45*12</f>
        <v>61096.680000000008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58783.54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244000.78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244000.78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244000.78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56179.09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8"/>
      <c r="N20" s="62"/>
    </row>
    <row r="21" spans="1:15" ht="15.75" customHeight="1">
      <c r="A21" s="70" t="s">
        <v>98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8"/>
      <c r="N21" s="62"/>
    </row>
    <row r="22" spans="1:15" ht="15.75" customHeight="1">
      <c r="A22" s="70" t="s">
        <v>99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8"/>
      <c r="N22" s="62"/>
    </row>
    <row r="23" spans="1:15" ht="15.75" customHeight="1">
      <c r="A23" s="70" t="s">
        <v>100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8"/>
      <c r="N23" s="62"/>
    </row>
    <row r="24" spans="1:15" ht="18.75">
      <c r="A24" s="73" t="s">
        <v>160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7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7"/>
      <c r="N26" s="63"/>
    </row>
    <row r="27" spans="1:15" ht="18.75" customHeight="1">
      <c r="A27" s="70" t="s">
        <v>103</v>
      </c>
      <c r="B27" s="75" t="s">
        <v>4</v>
      </c>
      <c r="C27" s="86">
        <v>13450.12</v>
      </c>
      <c r="D27" s="81" t="s">
        <v>60</v>
      </c>
      <c r="E27" s="64"/>
      <c r="F27" s="64"/>
      <c r="G27" s="64"/>
      <c r="H27" s="64"/>
      <c r="I27" s="64"/>
      <c r="J27" s="64"/>
      <c r="M27" s="167"/>
      <c r="N27" s="63"/>
    </row>
    <row r="28" spans="1:15" ht="18.75" customHeight="1">
      <c r="A28" s="70" t="s">
        <v>104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7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7"/>
      <c r="N29" s="63"/>
    </row>
    <row r="30" spans="1:15" ht="18.75" customHeight="1">
      <c r="A30" s="70" t="s">
        <v>106</v>
      </c>
      <c r="B30" s="75" t="s">
        <v>18</v>
      </c>
      <c r="C30" s="86">
        <v>7548.04</v>
      </c>
      <c r="D30" s="81" t="s">
        <v>66</v>
      </c>
      <c r="E30" s="64"/>
      <c r="F30" s="64"/>
      <c r="G30" s="64"/>
      <c r="H30" s="64"/>
      <c r="I30" s="64"/>
      <c r="J30" s="64"/>
      <c r="M30" s="167"/>
      <c r="N30" s="63"/>
    </row>
    <row r="31" spans="1:15" ht="18.75" customHeight="1">
      <c r="A31" s="70" t="s">
        <v>107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7"/>
      <c r="N31" s="63"/>
    </row>
    <row r="32" spans="1:15" ht="18.75" customHeight="1">
      <c r="A32" s="70" t="s">
        <v>108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7"/>
      <c r="N32" s="63"/>
    </row>
    <row r="33" spans="1:15" ht="18.75" customHeight="1">
      <c r="A33" s="70" t="s">
        <v>109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7"/>
      <c r="N33" s="63"/>
    </row>
    <row r="34" spans="1:15" ht="18.75" customHeight="1">
      <c r="A34" s="70" t="s">
        <v>110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7"/>
      <c r="N34" s="63"/>
    </row>
    <row r="35" spans="1:15" ht="18.75">
      <c r="A35" s="73" t="s">
        <v>161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162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15071.08</v>
      </c>
      <c r="F37" s="94" t="s">
        <v>165</v>
      </c>
      <c r="G37" s="66"/>
      <c r="H37" s="66"/>
      <c r="I37" s="66"/>
      <c r="L37" s="63"/>
      <c r="M37" s="166"/>
      <c r="N37" s="63"/>
      <c r="O37" s="63"/>
    </row>
    <row r="38" spans="1:15" ht="18.75" customHeight="1">
      <c r="A38" s="70" t="s">
        <v>111</v>
      </c>
      <c r="B38" s="78" t="s">
        <v>37</v>
      </c>
      <c r="C38" s="90">
        <v>12559.23</v>
      </c>
      <c r="D38" s="94" t="s">
        <v>163</v>
      </c>
      <c r="E38" s="68"/>
      <c r="G38" s="67"/>
      <c r="H38" s="67"/>
      <c r="L38" s="63"/>
      <c r="M38" s="166"/>
      <c r="N38" s="63"/>
      <c r="O38" s="63"/>
    </row>
    <row r="39" spans="1:15" ht="18.75" customHeight="1">
      <c r="A39" s="70" t="s">
        <v>112</v>
      </c>
      <c r="B39" s="78" t="s">
        <v>38</v>
      </c>
      <c r="C39" s="91">
        <v>15423.63</v>
      </c>
      <c r="D39" s="94" t="s">
        <v>164</v>
      </c>
      <c r="E39" s="68"/>
      <c r="G39" s="67"/>
      <c r="H39" s="67"/>
      <c r="L39" s="63"/>
      <c r="M39" s="166"/>
      <c r="N39" s="63"/>
      <c r="O39" s="63"/>
    </row>
    <row r="40" spans="1:15" ht="18.75" customHeight="1">
      <c r="A40" s="70" t="s">
        <v>113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66"/>
      <c r="N40" s="63"/>
      <c r="O40" s="63"/>
    </row>
    <row r="41" spans="1:15" ht="18.75" customHeight="1">
      <c r="A41" s="70" t="s">
        <v>114</v>
      </c>
      <c r="B41" s="78" t="s">
        <v>40</v>
      </c>
      <c r="C41" s="93">
        <f>E37</f>
        <v>15071.08</v>
      </c>
      <c r="D41" s="80" t="s">
        <v>59</v>
      </c>
      <c r="E41" s="68"/>
      <c r="G41" s="67"/>
      <c r="H41" s="67"/>
      <c r="L41" s="63"/>
      <c r="M41" s="166"/>
      <c r="N41" s="63"/>
      <c r="O41" s="63"/>
    </row>
    <row r="42" spans="1:15" ht="18.75" customHeight="1">
      <c r="A42" s="70" t="s">
        <v>115</v>
      </c>
      <c r="B42" s="78" t="s">
        <v>41</v>
      </c>
      <c r="C42" s="93">
        <f>E37</f>
        <v>15071.08</v>
      </c>
      <c r="D42" s="80" t="s">
        <v>59</v>
      </c>
      <c r="E42" s="68"/>
      <c r="G42" s="67"/>
      <c r="H42" s="67"/>
      <c r="L42" s="63"/>
      <c r="M42" s="166"/>
      <c r="N42" s="63"/>
      <c r="O42" s="63"/>
    </row>
    <row r="43" spans="1:15" ht="18.75" customHeight="1">
      <c r="A43" s="70" t="s">
        <v>116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6"/>
      <c r="N43" s="63"/>
      <c r="O43" s="63"/>
    </row>
    <row r="44" spans="1:15" ht="30" customHeight="1">
      <c r="A44" s="70" t="s">
        <v>117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6"/>
      <c r="N44" s="63"/>
      <c r="O44" s="63"/>
    </row>
    <row r="45" spans="1:15" ht="18.75">
      <c r="A45" s="73" t="s">
        <v>119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165</v>
      </c>
      <c r="G45" s="66"/>
      <c r="H45" s="66"/>
      <c r="L45" s="63"/>
      <c r="M45" s="166"/>
      <c r="N45" s="63"/>
      <c r="O45" s="63"/>
    </row>
    <row r="46" spans="1:15" ht="18.75" customHeight="1">
      <c r="A46" s="73" t="s">
        <v>120</v>
      </c>
      <c r="B46" s="78" t="s">
        <v>37</v>
      </c>
      <c r="C46" s="90">
        <v>0</v>
      </c>
      <c r="D46" s="94" t="s">
        <v>166</v>
      </c>
      <c r="E46" s="68"/>
      <c r="G46" s="67"/>
      <c r="H46" s="67"/>
      <c r="L46" s="63"/>
      <c r="M46" s="166"/>
      <c r="N46" s="63"/>
      <c r="O46" s="63"/>
    </row>
    <row r="47" spans="1:15" ht="18.75" customHeight="1">
      <c r="A47" s="73" t="s">
        <v>121</v>
      </c>
      <c r="B47" s="78" t="s">
        <v>38</v>
      </c>
      <c r="C47" s="91">
        <v>0</v>
      </c>
      <c r="D47" s="94" t="s">
        <v>164</v>
      </c>
      <c r="E47" s="68"/>
      <c r="G47" s="67"/>
      <c r="H47" s="67"/>
      <c r="L47" s="63"/>
      <c r="M47" s="166"/>
      <c r="N47" s="63"/>
      <c r="O47" s="63"/>
    </row>
    <row r="48" spans="1:15" ht="18.75" customHeight="1">
      <c r="A48" s="73" t="s">
        <v>122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6"/>
      <c r="N48" s="63"/>
      <c r="O48" s="63"/>
    </row>
    <row r="49" spans="1:15" ht="18.75" customHeight="1">
      <c r="A49" s="73" t="s">
        <v>123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166"/>
      <c r="N49" s="63"/>
      <c r="O49" s="63"/>
    </row>
    <row r="50" spans="1:15" ht="18.75" customHeight="1">
      <c r="A50" s="73" t="s">
        <v>124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166"/>
      <c r="N50" s="63"/>
      <c r="O50" s="63"/>
    </row>
    <row r="51" spans="1:15" ht="18.75" customHeight="1">
      <c r="A51" s="73" t="s">
        <v>125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6"/>
      <c r="N51" s="63"/>
      <c r="O51" s="63"/>
    </row>
    <row r="52" spans="1:15" ht="29.25" customHeight="1">
      <c r="A52" s="73" t="s">
        <v>126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6"/>
      <c r="N52" s="63"/>
      <c r="O52" s="63"/>
    </row>
    <row r="53" spans="1:15" ht="18.75">
      <c r="A53" s="73" t="s">
        <v>127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165</v>
      </c>
      <c r="G53" s="66"/>
      <c r="H53" s="66"/>
      <c r="L53" s="63"/>
      <c r="M53" s="166"/>
      <c r="N53" s="63"/>
      <c r="O53" s="63"/>
    </row>
    <row r="54" spans="1:15" ht="18.75" customHeight="1">
      <c r="A54" s="73" t="s">
        <v>128</v>
      </c>
      <c r="B54" s="75" t="s">
        <v>37</v>
      </c>
      <c r="C54" s="98">
        <v>0</v>
      </c>
      <c r="D54" s="94" t="s">
        <v>166</v>
      </c>
      <c r="E54" s="69"/>
      <c r="F54" s="89"/>
      <c r="G54" s="64"/>
      <c r="H54" s="64"/>
      <c r="L54" s="63"/>
      <c r="M54" s="166"/>
      <c r="N54" s="63"/>
      <c r="O54" s="63"/>
    </row>
    <row r="55" spans="1:15" ht="18.75" customHeight="1">
      <c r="A55" s="73" t="s">
        <v>129</v>
      </c>
      <c r="B55" s="75" t="s">
        <v>38</v>
      </c>
      <c r="C55" s="86">
        <v>5549.53</v>
      </c>
      <c r="D55" s="94" t="s">
        <v>164</v>
      </c>
      <c r="E55" s="69"/>
      <c r="G55" s="64"/>
      <c r="H55" s="64"/>
      <c r="L55" s="63"/>
      <c r="M55" s="166"/>
      <c r="N55" s="63"/>
      <c r="O55" s="63"/>
    </row>
    <row r="56" spans="1:15" ht="18.75" customHeight="1">
      <c r="A56" s="73" t="s">
        <v>130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6"/>
      <c r="N56" s="63"/>
      <c r="O56" s="63"/>
    </row>
    <row r="57" spans="1:15" ht="18.75" customHeight="1">
      <c r="A57" s="73" t="s">
        <v>131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166"/>
      <c r="N57" s="63"/>
      <c r="O57" s="63"/>
    </row>
    <row r="58" spans="1:15" ht="18.75" customHeight="1">
      <c r="A58" s="73" t="s">
        <v>132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166"/>
      <c r="N58" s="63"/>
      <c r="O58" s="63"/>
    </row>
    <row r="59" spans="1:15" ht="18.75" customHeight="1">
      <c r="A59" s="73" t="s">
        <v>133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6"/>
      <c r="N59" s="63"/>
      <c r="O59" s="63"/>
    </row>
    <row r="60" spans="1:15" ht="33.75" customHeight="1">
      <c r="A60" s="73" t="s">
        <v>134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6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37</v>
      </c>
      <c r="C62" s="98">
        <v>0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38</v>
      </c>
      <c r="C63" s="86">
        <v>0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139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140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141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142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37</v>
      </c>
      <c r="C70" s="98">
        <v>0</v>
      </c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38</v>
      </c>
      <c r="C71" s="86">
        <v>0</v>
      </c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147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148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149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150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>
        <v>0</v>
      </c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37</v>
      </c>
      <c r="C78" s="98">
        <v>0</v>
      </c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38</v>
      </c>
      <c r="C79" s="86">
        <v>0</v>
      </c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155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156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157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158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47</v>
      </c>
      <c r="C4" s="106">
        <v>66853.350000000006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2022-03-25T09:02:03Z</dcterms:modified>
</cp:coreProperties>
</file>