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A105" i="1"/>
  <c r="G102" i="1"/>
  <c r="F102" i="1"/>
  <c r="J101" i="1"/>
  <c r="J96" i="1"/>
  <c r="J95" i="1"/>
  <c r="G94" i="1"/>
  <c r="K94" i="1"/>
  <c r="A116" i="1" l="1"/>
  <c r="F110" i="1"/>
  <c r="A119" i="1"/>
  <c r="A122" i="1"/>
  <c r="A118" i="1"/>
  <c r="A123" i="1"/>
  <c r="A112" i="1"/>
  <c r="A117" i="1"/>
  <c r="D110" i="1"/>
  <c r="A113" i="1"/>
  <c r="A100" i="1"/>
  <c r="A141" i="1"/>
  <c r="A95" i="1"/>
  <c r="F134" i="1"/>
  <c r="A120" i="1"/>
  <c r="A124" i="1"/>
  <c r="A94" i="1"/>
  <c r="A96" i="1"/>
  <c r="D118" i="1"/>
  <c r="D94" i="1"/>
  <c r="A99" i="1"/>
  <c r="A110" i="1"/>
  <c r="A111" i="1"/>
  <c r="F118" i="1"/>
  <c r="A121" i="1"/>
  <c r="A137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<sst xmlns="http://schemas.openxmlformats.org/spreadsheetml/2006/main" count="564" uniqueCount="209">
  <si>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</si>
  <si>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</si>
  <si>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</si>
  <si>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</si>
  <si>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</si>
  <si>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</si>
  <si>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</si>
  <si>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</si>
  <si>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</si>
  <si>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</si>
  <si>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</si>
  <si>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</si>
  <si>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</si>
  <si>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</si>
  <si>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</si>
  <si>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</si>
  <si>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</si>
  <si>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</si>
  <si>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</si>
  <si>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</si>
  <si>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</si>
  <si>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</si>
  <si>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</si>
  <si>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</si>
  <si>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</si>
  <si>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</si>
  <si>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</si>
  <si>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</si>
  <si>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</si>
  <si>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</si>
  <si>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</si>
  <si>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</si>
  <si>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</si>
  <si>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</si>
  <si>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</si>
  <si>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</si>
  <si>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</si>
  <si>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</si>
  <si>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</si>
  <si>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</si>
  <si>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</si>
  <si>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</si>
  <si>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</si>
  <si>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</si>
  <si>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</si>
  <si>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</si>
  <si>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</si>
  <si>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</si>
  <si>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</si>
  <si>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</si>
  <si>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</si>
  <si>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</si>
  <si>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</si>
  <si>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</si>
  <si>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</si>
  <si>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</si>
  <si>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</si>
  <si>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</si>
  <si>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</si>
  <si>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</si>
  <si>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</si>
  <si>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</si>
  <si>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</si>
  <si>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</si>
  <si>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</si>
  <si>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</si>
  <si>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</si>
  <si>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</si>
  <si>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</si>
  <si>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</si>
  <si>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</si>
  <si>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</si>
  <si>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</si>
  <si>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</si>
  <si>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</si>
  <si>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</si>
  <si>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</si>
  <si>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</si>
  <si>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</si>
  <si>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</si>
  <si>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</si>
  <si>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</si>
  <si>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</si>
  <si>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</si>
  <si>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</si>
  <si>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</si>
  <si>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</si>
  <si>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</si>
  <si>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</si>
  <si>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</si>
  <si>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</si>
  <si>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</si>
  <si>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</si>
  <si>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</si>
  <si>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</si>
  <si>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</si>
  <si>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</si>
  <si>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</si>
  <si>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</si>
  <si>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</si>
  <si>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</si>
  <si>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</si>
  <si>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</si>
  <si>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</si>
  <si>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</si>
  <si>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</si>
  <si>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</si>
  <si>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</si>
  <si>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</si>
  <si>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</si>
  <si>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</si>
  <si>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</si>
  <si>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</si>
  <si>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</si>
  <si>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</si>
  <si>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</si>
  <si>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</si>
  <si>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</si>
  <si>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</si>
  <si>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</si>
  <si>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</si>
  <si>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</si>
  <si>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</si>
  <si>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</si>
  <si>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</si>
  <si>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</si>
  <si>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</si>
  <si>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</si>
  <si>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</si>
  <si>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</si>
  <si>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</si>
  <si>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</si>
  <si>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</si>
  <si>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</si>
  <si>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</si>
  <si>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</si>
  <si>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</si>
  <si>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</si>
  <si>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</si>
  <si>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</si>
  <si>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</si>
  <si>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</si>
  <si>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</si>
  <si>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</si>
  <si>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</si>
  <si>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</si>
  <si>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</si>
  <si>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</si>
  <si>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</si>
  <si>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</si>
  <si>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</si>
  <si>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</si>
  <si>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</si>
  <si>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</si>
  <si>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</si>
  <si>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</si>
  <si>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</si>
  <si>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</si>
  <si>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</si>
  <si>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</si>
  <si>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</si>
  <si>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</si>
  <si>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</si>
  <si>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</si>
  <si>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</si>
  <si>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</si>
  <si>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</si>
  <si>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</si>
  <si>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</si>
  <si>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</si>
  <si>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</si>
  <si>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</si>
  <si>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</si>
  <si>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</si>
  <si>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126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</si>
  <si>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</si>
  <si>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</si>
  <si>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</si>
  <si>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</si>
  <si>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126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</si>
  <si>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</si>
  <si>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</si>
  <si>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</si>
  <si>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</si>
  <si>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</si>
  <si>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Аварийный ремонт теплообменника отопления.</t>
  </si>
  <si>
    <t>разово</t>
  </si>
  <si>
    <t>АВР 1/21 от 18.01.2021</t>
  </si>
  <si>
    <t>Замена аккумулятора охранной сигнализации.</t>
  </si>
  <si>
    <t>АВР 3/21 от 12.05. 2021, счет №4008 от 26.01.2021</t>
  </si>
  <si>
    <t>Приобретение и установка датчика движения.</t>
  </si>
  <si>
    <t>Ремонт погодоведомого оборудования.</t>
  </si>
  <si>
    <t>Приобретение и установка профлиста на приямки.</t>
  </si>
  <si>
    <t>АВР 5/21 от 30.11.2021, Решение, счет №328 от 09.11.21</t>
  </si>
  <si>
    <t>Приобретение и установка информационного стенда на детскую площадку.</t>
  </si>
  <si>
    <t>АВР 4/21 от 29.11.2021</t>
  </si>
  <si>
    <t>АВР 6/21 от 29.11.2021, счет №154 от 02.06.2021</t>
  </si>
  <si>
    <t>АВР 2/21 от 28.04.2021</t>
  </si>
  <si>
    <t>АВР 7/21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</si>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</sst>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9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2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</cellStyleXfs>
  <cellXfs count="190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0" fontId="14" fillId="0" borderId="0" xfId="4" applyFill="1" applyBorder="1" applyAlignment="1">
      <alignment horizontal="center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0" fontId="13" fillId="0" borderId="0" xfId="2" applyFont="1" applyFill="1" applyBorder="1" applyAlignment="1"/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12" fillId="0" borderId="0" xfId="5" applyNumberFormat="1" applyBorder="1" applyAlignment="1"/>
    <xf numFmtId="0" fontId="12" fillId="0" borderId="0" xfId="5" applyFill="1" applyBorder="1" applyAlignment="1">
      <alignment horizontal="center" vertical="center"/>
    </xf>
    <xf numFmtId="0" fontId="12" fillId="0" borderId="0" xfId="5" applyFill="1" applyBorder="1" applyAlignment="1">
      <alignment horizontal="center"/>
    </xf>
    <xf numFmtId="0" fontId="0" fillId="0" borderId="0" xfId="0" applyBorder="1" applyProtection="1">
      <protection locked="0"/>
    </xf>
    <xf numFmtId="0" fontId="0" fillId="0" borderId="0" xfId="0" applyFill="1"/>
    <xf numFmtId="0" fontId="10" fillId="0" borderId="0" xfId="5" applyFont="1" applyFill="1" applyBorder="1" applyAlignment="1"/>
    <xf numFmtId="0" fontId="0" fillId="0" borderId="0" xfId="0" applyFill="1" applyBorder="1" applyAlignment="1"/>
    <xf numFmtId="0" fontId="27" fillId="0" borderId="0" xfId="14" applyFont="1" applyFill="1" applyBorder="1" applyAlignment="1">
      <alignment horizontal="center"/>
    </xf>
    <xf numFmtId="4" fontId="27" fillId="0" borderId="0" xfId="14" applyNumberFormat="1" applyFont="1" applyFill="1" applyBorder="1" applyAlignment="1"/>
    <xf numFmtId="4" fontId="27" fillId="0" borderId="0" xfId="0" applyNumberFormat="1" applyFont="1" applyFill="1" applyBorder="1" applyAlignment="1">
      <alignment horizontal="left"/>
    </xf>
    <xf numFmtId="0" fontId="9" fillId="0" borderId="0" xfId="15" applyFont="1" applyFill="1" applyBorder="1" applyAlignment="1">
      <alignment horizontal="center"/>
    </xf>
    <xf numFmtId="0" fontId="27" fillId="0" borderId="0" xfId="15" applyFont="1" applyFill="1" applyBorder="1" applyAlignment="1">
      <alignment horizontal="center"/>
    </xf>
    <xf numFmtId="4" fontId="27" fillId="0" borderId="0" xfId="15" applyNumberFormat="1" applyFont="1" applyFill="1" applyBorder="1" applyAlignment="1"/>
    <xf numFmtId="0" fontId="8" fillId="0" borderId="0" xfId="14" applyFont="1" applyFill="1" applyBorder="1" applyAlignment="1"/>
    <xf numFmtId="0" fontId="8" fillId="0" borderId="0" xfId="14" applyFont="1" applyFill="1" applyBorder="1" applyAlignment="1">
      <alignment horizontal="center"/>
    </xf>
    <xf numFmtId="0" fontId="4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27" fillId="0" borderId="0" xfId="4" applyFont="1" applyFill="1" applyBorder="1" applyAlignment="1">
      <alignment horizontal="center"/>
    </xf>
    <xf numFmtId="4" fontId="11" fillId="0" borderId="0" xfId="14" applyNumberFormat="1" applyFill="1" applyBorder="1" applyAlignment="1"/>
    <xf numFmtId="0" fontId="11" fillId="0" borderId="0" xfId="14" applyFill="1" applyBorder="1" applyAlignment="1">
      <alignment horizontal="center"/>
    </xf>
    <xf numFmtId="0" fontId="6" fillId="0" borderId="0" xfId="14" applyFont="1" applyFill="1" applyBorder="1" applyAlignment="1"/>
    <xf numFmtId="0" fontId="6" fillId="0" borderId="0" xfId="14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3" fillId="0" borderId="0" xfId="41" applyFont="1" applyFill="1" applyBorder="1" applyAlignment="1"/>
    <xf numFmtId="4" fontId="3" fillId="0" borderId="0" xfId="42" applyNumberFormat="1" applyFill="1" applyBorder="1" applyAlignment="1"/>
    <xf numFmtId="0" fontId="3" fillId="0" borderId="0" xfId="31" applyFont="1" applyFill="1" applyBorder="1"/>
    <xf numFmtId="0" fontId="7" fillId="0" borderId="0" xfId="14" applyFont="1" applyFill="1" applyBorder="1" applyAlignment="1"/>
    <xf numFmtId="0" fontId="7" fillId="0" borderId="0" xfId="1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9" fillId="3" borderId="0" xfId="58" applyNumberFormat="1" applyFont="1" applyFill="1" applyBorder="1" applyAlignment="1">
      <alignment horizontal="left" vertical="center" wrapText="1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0" fontId="20" fillId="0" borderId="0" xfId="0" applyFont="1" applyBorder="1" applyAlignment="1"/>
    <xf numFmtId="4" fontId="20" fillId="0" borderId="0" xfId="0" applyNumberFormat="1" applyFont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59">
    <cellStyle name="Обычный" xfId="0" builtinId="0"/>
    <cellStyle name="Обычный 2" xfId="1"/>
    <cellStyle name="Обычный 2 2" xfId="3"/>
    <cellStyle name="Обычный 2 3" xfId="9"/>
    <cellStyle name="Обычный 2 3 2" xfId="50"/>
    <cellStyle name="Обычный 2 3 3" xfId="33"/>
    <cellStyle name="Обычный 2 3 4" xfId="23"/>
    <cellStyle name="Обычный 2 4" xfId="40"/>
    <cellStyle name="Обычный 2 5" xfId="45"/>
    <cellStyle name="Обычный 2 5 2" xfId="58"/>
    <cellStyle name="Обычный 2 6" xfId="53"/>
    <cellStyle name="Обычный 2 7" xfId="28"/>
    <cellStyle name="Обычный 2 8" xfId="16"/>
    <cellStyle name="Обычный 3" xfId="2"/>
    <cellStyle name="Обычный 3 10" xfId="17"/>
    <cellStyle name="Обычный 3 2" xfId="8"/>
    <cellStyle name="Обычный 3 3" xfId="7"/>
    <cellStyle name="Обычный 3 4" xfId="6"/>
    <cellStyle name="Обычный 3 4 2" xfId="51"/>
    <cellStyle name="Обычный 3 4 3" xfId="38"/>
    <cellStyle name="Обычный 3 4 4" xfId="24"/>
    <cellStyle name="Обычный 3 5" xfId="10"/>
    <cellStyle name="Обычный 3 5 2" xfId="34"/>
    <cellStyle name="Обычный 3 6" xfId="41"/>
    <cellStyle name="Обычный 3 7" xfId="46"/>
    <cellStyle name="Обычный 3 8" xfId="54"/>
    <cellStyle name="Обычный 3 9" xfId="29"/>
    <cellStyle name="Обычный 4" xfId="4"/>
    <cellStyle name="Обычный 4 2" xfId="14"/>
    <cellStyle name="Обычный 4 2 2" xfId="15"/>
    <cellStyle name="Обычный 4 2 2 2" xfId="52"/>
    <cellStyle name="Обычный 4 2 3" xfId="35"/>
    <cellStyle name="Обычный 4 2 4" xfId="25"/>
    <cellStyle name="Обычный 4 3" xfId="11"/>
    <cellStyle name="Обычный 4 3 2" xfId="42"/>
    <cellStyle name="Обычный 4 4" xfId="47"/>
    <cellStyle name="Обычный 4 5" xfId="55"/>
    <cellStyle name="Обычный 4 6" xfId="30"/>
    <cellStyle name="Обычный 4 7" xfId="18"/>
    <cellStyle name="Обычный 5" xfId="5"/>
    <cellStyle name="Обычный 5 2" xfId="12"/>
    <cellStyle name="Обычный 5 2 2" xfId="36"/>
    <cellStyle name="Обычный 5 2 3" xfId="26"/>
    <cellStyle name="Обычный 5 3" xfId="43"/>
    <cellStyle name="Обычный 5 4" xfId="39"/>
    <cellStyle name="Обычный 5 4 2" xfId="44"/>
    <cellStyle name="Обычный 5 4 3" xfId="57"/>
    <cellStyle name="Обычный 5 5" xfId="48"/>
    <cellStyle name="Обычный 5 6" xfId="56"/>
    <cellStyle name="Обычный 5 7" xfId="31"/>
    <cellStyle name="Обычный 5 8" xfId="19"/>
    <cellStyle name="Обычный 6" xfId="21"/>
    <cellStyle name="Финансовый 2" xfId="13"/>
    <cellStyle name="Финансовый 2 2" xfId="27"/>
    <cellStyle name="Финансовый 2 2 2" xfId="37"/>
    <cellStyle name="Финансовый 2 3" xfId="49"/>
    <cellStyle name="Финансовый 2 4" xfId="32"/>
    <cellStyle name="Финансовый 2 5" xfId="20"/>
    <cellStyle name="Финансовый 3" xfId="2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5" sqref="K2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76" t="s">
        <v>174</v>
      </c>
      <c r="B2" s="176"/>
      <c r="C2" s="176"/>
      <c r="D2" s="176"/>
      <c r="E2" s="176"/>
      <c r="F2" s="176"/>
      <c r="G2" s="176"/>
      <c r="H2" s="176"/>
      <c r="I2" s="176"/>
      <c r="J2" s="176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11"/>
      <c r="L8" s="177"/>
      <c r="M8" s="111"/>
      <c r="N8" s="111"/>
      <c r="O8" s="71" t="s">
        <v>81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11"/>
      <c r="L9" s="177"/>
      <c r="M9" s="111"/>
      <c r="N9" s="111"/>
      <c r="O9" s="71" t="s">
        <v>82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111579.45</v>
      </c>
      <c r="K10" s="111"/>
      <c r="L10" s="177"/>
      <c r="M10" s="111"/>
      <c r="N10" s="111"/>
      <c r="O10" s="71" t="s">
        <v>83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249215.31</v>
      </c>
      <c r="K11" s="111"/>
      <c r="L11" s="177"/>
      <c r="M11" s="111"/>
      <c r="N11" s="111"/>
      <c r="O11" s="71" t="s">
        <v>84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106322.07</v>
      </c>
      <c r="K12" s="111"/>
      <c r="L12" s="177"/>
      <c r="M12" s="111"/>
      <c r="N12" s="111"/>
      <c r="O12" s="71" t="s">
        <v>85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73712.34</v>
      </c>
      <c r="K13" s="111"/>
      <c r="L13" s="177"/>
      <c r="M13" s="111"/>
      <c r="N13" s="111"/>
      <c r="O13" s="71" t="s">
        <v>86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69180.899999999994</v>
      </c>
      <c r="K14" s="111"/>
      <c r="L14" s="177"/>
      <c r="M14" s="111"/>
      <c r="N14" s="111"/>
      <c r="O14" s="71" t="s">
        <v>87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270200.53999999998</v>
      </c>
      <c r="K15" s="111"/>
      <c r="L15" s="177"/>
      <c r="M15" s="111"/>
      <c r="N15" s="111"/>
      <c r="O15" s="71" t="s">
        <v>88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270200.53999999998</v>
      </c>
      <c r="K16" s="111"/>
      <c r="L16" s="177"/>
      <c r="M16" s="111"/>
      <c r="N16" s="111"/>
      <c r="O16" s="71" t="s">
        <v>89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11"/>
      <c r="L17" s="177"/>
      <c r="M17" s="111"/>
      <c r="N17" s="111"/>
      <c r="O17" s="71" t="s">
        <v>90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11"/>
      <c r="L18" s="177"/>
      <c r="M18" s="111"/>
      <c r="N18" s="111"/>
      <c r="O18" s="71" t="s">
        <v>91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11"/>
      <c r="L19" s="177"/>
      <c r="M19" s="111"/>
      <c r="N19" s="111"/>
      <c r="O19" s="71" t="s">
        <v>92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11"/>
      <c r="L20" s="177"/>
      <c r="M20" s="111"/>
      <c r="N20" s="111"/>
      <c r="O20" s="71" t="s">
        <v>93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270200.53999999998</v>
      </c>
      <c r="K21" s="111"/>
      <c r="L21" s="177"/>
      <c r="M21" s="111"/>
      <c r="N21" s="111"/>
      <c r="O21" s="71" t="s">
        <v>94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11"/>
      <c r="L22" s="177"/>
      <c r="M22" s="111"/>
      <c r="N22" s="111"/>
      <c r="O22" s="71" t="s">
        <v>95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11"/>
      <c r="L23" s="177"/>
      <c r="M23" s="111"/>
      <c r="N23" s="111"/>
      <c r="O23" s="71" t="s">
        <v>96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90594.22000000003</v>
      </c>
      <c r="K24" s="111"/>
      <c r="L24" s="177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11"/>
      <c r="L27" s="178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1"/>
      <c r="C28" s="161"/>
      <c r="D28" s="161"/>
      <c r="E28" s="161"/>
      <c r="F28" s="166">
        <f>VLOOKUP(A28,ПТО!$A$39:$D$53,2,FALSE)</f>
        <v>22181.279999999999</v>
      </c>
      <c r="G28" s="166"/>
      <c r="H28" s="6" t="str">
        <f>VLOOKUP(A28,ПТО!$A$39:$D$53,3,FALSE)</f>
        <v>Ежемесячно</v>
      </c>
      <c r="I28" s="162">
        <f>VLOOKUP(A28,ПТО!$A$39:$D$53,4,FALSE)</f>
        <v>12</v>
      </c>
      <c r="J28" s="162"/>
      <c r="K28" s="111"/>
      <c r="L28" s="178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1">
        <f>ПТО!A40</f>
        <v>0</v>
      </c>
      <c r="B29" s="161"/>
      <c r="C29" s="161"/>
      <c r="D29" s="161"/>
      <c r="E29" s="161"/>
      <c r="F29" s="166" t="e">
        <f>VLOOKUP(A29,ПТО!$A$39:$D$53,2,FALSE)</f>
        <v>#N/A</v>
      </c>
      <c r="G29" s="166"/>
      <c r="H29" s="42" t="e">
        <f>VLOOKUP(A29,ПТО!$A$39:$D$53,3,FALSE)</f>
        <v>#N/A</v>
      </c>
      <c r="I29" s="162" t="e">
        <f>VLOOKUP(A29,ПТО!$A$39:$D$53,4,FALSE)</f>
        <v>#N/A</v>
      </c>
      <c r="J29" s="162"/>
      <c r="K29" s="111"/>
      <c r="L29" s="178"/>
      <c r="M29" s="111"/>
      <c r="N29" s="111"/>
      <c r="O29" s="23">
        <f t="shared" si="1"/>
        <v>0</v>
      </c>
      <c r="R29" s="1" t="s">
        <v>71</v>
      </c>
    </row>
    <row r="30" spans="1:23" ht="45.75" customHeight="1" outlineLevel="1">
      <c r="A30" s="16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1"/>
      <c r="C30" s="161"/>
      <c r="D30" s="161"/>
      <c r="E30" s="161"/>
      <c r="F30" s="166">
        <f>VLOOKUP(A30,ПТО!$A$39:$D$53,2,FALSE)</f>
        <v>28673.399999999998</v>
      </c>
      <c r="G30" s="166"/>
      <c r="H30" s="42" t="str">
        <f>VLOOKUP(A30,ПТО!$A$39:$D$53,3,FALSE)</f>
        <v>В соответствии с графиком</v>
      </c>
      <c r="I30" s="162">
        <f>VLOOKUP(A30,ПТО!$A$39:$D$53,4,FALSE)</f>
        <v>12</v>
      </c>
      <c r="J30" s="162"/>
      <c r="K30" s="111"/>
      <c r="L30" s="178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1" t="str">
        <f>ПТО!A42</f>
        <v>Работы, выполняемые для надлежащего содержания электрооборудования дома</v>
      </c>
      <c r="B31" s="161"/>
      <c r="C31" s="161"/>
      <c r="D31" s="161"/>
      <c r="E31" s="161"/>
      <c r="F31" s="166">
        <f>VLOOKUP(A31,ПТО!$A$39:$D$53,2,FALSE)</f>
        <v>15959.76</v>
      </c>
      <c r="G31" s="166"/>
      <c r="H31" s="42" t="str">
        <f>VLOOKUP(A31,ПТО!$A$39:$D$53,3,FALSE)</f>
        <v>Ежемесячно</v>
      </c>
      <c r="I31" s="162">
        <f>VLOOKUP(A31,ПТО!$A$39:$D$53,4,FALSE)</f>
        <v>12</v>
      </c>
      <c r="J31" s="162"/>
      <c r="K31" s="111"/>
      <c r="L31" s="178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1">
        <f>ПТО!A43</f>
        <v>0</v>
      </c>
      <c r="B32" s="161"/>
      <c r="C32" s="161"/>
      <c r="D32" s="161"/>
      <c r="E32" s="161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2" t="e">
        <f>VLOOKUP(A32,ПТО!$A$39:$D$53,4,FALSE)</f>
        <v>#N/A</v>
      </c>
      <c r="J32" s="162"/>
      <c r="K32" s="111"/>
      <c r="L32" s="178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61" t="str">
        <f>ПТО!A44</f>
        <v>Обеспечение устранения аварий на внутридомовых инженерных системах в многоквартирном доме</v>
      </c>
      <c r="B33" s="161"/>
      <c r="C33" s="161"/>
      <c r="D33" s="161"/>
      <c r="E33" s="161"/>
      <c r="F33" s="166">
        <f>VLOOKUP(A33,ПТО!$A$39:$D$53,2,FALSE)</f>
        <v>6762.6</v>
      </c>
      <c r="G33" s="166"/>
      <c r="H33" s="42" t="str">
        <f>VLOOKUP(A33,ПТО!$A$39:$D$53,3,FALSE)</f>
        <v>Круглосуточно</v>
      </c>
      <c r="I33" s="162">
        <f>VLOOKUP(A33,ПТО!$A$39:$D$53,4,FALSE)</f>
        <v>12</v>
      </c>
      <c r="J33" s="162"/>
      <c r="K33" s="111"/>
      <c r="L33" s="178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1" t="str">
        <f>ПТО!A45</f>
        <v>Работы по содержанию помещений, входящих в состав общего имущества в многоквартирном доме</v>
      </c>
      <c r="B34" s="161"/>
      <c r="C34" s="161"/>
      <c r="D34" s="161"/>
      <c r="E34" s="161"/>
      <c r="F34" s="166">
        <f>VLOOKUP(A34,ПТО!$A$39:$D$53,2,FALSE)</f>
        <v>30296.399999999998</v>
      </c>
      <c r="G34" s="166"/>
      <c r="H34" s="42" t="str">
        <f>VLOOKUP(A34,ПТО!$A$39:$D$53,3,FALSE)</f>
        <v>В соответствии с графиком</v>
      </c>
      <c r="I34" s="162">
        <f>VLOOKUP(A34,ПТО!$A$39:$D$53,4,FALSE)</f>
        <v>12</v>
      </c>
      <c r="J34" s="162"/>
      <c r="K34" s="111"/>
      <c r="L34" s="178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1" t="str">
        <f>ПТО!A46</f>
        <v>Коммунальные ресурсы на содержание общего имущества</v>
      </c>
      <c r="B35" s="161"/>
      <c r="C35" s="161"/>
      <c r="D35" s="161"/>
      <c r="E35" s="161"/>
      <c r="F35" s="166">
        <f>VLOOKUP(A35,ПТО!$A$39:$D$53,2,FALSE)</f>
        <v>24118.311600000001</v>
      </c>
      <c r="G35" s="166"/>
      <c r="H35" s="42" t="str">
        <f>VLOOKUP(A35,ПТО!$A$39:$D$53,3,FALSE)</f>
        <v>Ежемесячно</v>
      </c>
      <c r="I35" s="162">
        <f>VLOOKUP(A35,ПТО!$A$39:$D$53,4,FALSE)</f>
        <v>12</v>
      </c>
      <c r="J35" s="162"/>
      <c r="K35" s="111"/>
      <c r="L35" s="178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61">
        <f>ПТО!A47</f>
        <v>0</v>
      </c>
      <c r="B36" s="161"/>
      <c r="C36" s="161"/>
      <c r="D36" s="161"/>
      <c r="E36" s="161"/>
      <c r="F36" s="166" t="e">
        <f>VLOOKUP(A36,ПТО!$A$39:$D$53,2,FALSE)</f>
        <v>#N/A</v>
      </c>
      <c r="G36" s="166"/>
      <c r="H36" s="42" t="e">
        <f>VLOOKUP(A36,ПТО!$A$39:$D$53,3,FALSE)</f>
        <v>#N/A</v>
      </c>
      <c r="I36" s="162" t="e">
        <f>VLOOKUP(A36,ПТО!$A$39:$D$53,4,FALSE)</f>
        <v>#N/A</v>
      </c>
      <c r="J36" s="162"/>
      <c r="K36" s="111"/>
      <c r="L36" s="178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61">
        <f>ПТО!A48</f>
        <v>0</v>
      </c>
      <c r="B37" s="161"/>
      <c r="C37" s="161"/>
      <c r="D37" s="161"/>
      <c r="E37" s="161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2" t="e">
        <f>VLOOKUP(A37,ПТО!$A$39:$D$53,4,FALSE)</f>
        <v>#N/A</v>
      </c>
      <c r="J37" s="162"/>
      <c r="K37" s="111"/>
      <c r="L37" s="178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61">
        <f>ПТО!A49</f>
        <v>0</v>
      </c>
      <c r="B38" s="161"/>
      <c r="C38" s="161"/>
      <c r="D38" s="161"/>
      <c r="E38" s="161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2" t="e">
        <f>VLOOKUP(A38,ПТО!$A$39:$D$53,4,FALSE)</f>
        <v>#N/A</v>
      </c>
      <c r="J38" s="162"/>
      <c r="K38" s="111"/>
      <c r="L38" s="178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61">
        <f>ПТО!A50</f>
        <v>0</v>
      </c>
      <c r="B39" s="161"/>
      <c r="C39" s="161"/>
      <c r="D39" s="161"/>
      <c r="E39" s="161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2" t="e">
        <f>VLOOKUP(A39,ПТО!$A$39:$D$53,4,FALSE)</f>
        <v>#N/A</v>
      </c>
      <c r="J39" s="162"/>
      <c r="K39" s="111"/>
      <c r="L39" s="178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61">
        <f>ПТО!A51</f>
        <v>0</v>
      </c>
      <c r="B40" s="161"/>
      <c r="C40" s="161"/>
      <c r="D40" s="161"/>
      <c r="E40" s="161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2" t="e">
        <f>VLOOKUP(A40,ПТО!$A$39:$D$53,4,FALSE)</f>
        <v>#N/A</v>
      </c>
      <c r="J40" s="162"/>
      <c r="K40" s="111"/>
      <c r="L40" s="178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61">
        <f>ПТО!A52</f>
        <v>0</v>
      </c>
      <c r="B41" s="161"/>
      <c r="C41" s="161"/>
      <c r="D41" s="161"/>
      <c r="E41" s="161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2" t="e">
        <f>VLOOKUP(A41,ПТО!$A$39:$D$53,4,FALSE)</f>
        <v>#N/A</v>
      </c>
      <c r="J41" s="162"/>
      <c r="K41" s="111"/>
      <c r="L41" s="178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61">
        <f>ПТО!A53</f>
        <v>0</v>
      </c>
      <c r="B42" s="161"/>
      <c r="C42" s="161"/>
      <c r="D42" s="161"/>
      <c r="E42" s="161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2" t="e">
        <f>VLOOKUP(A42,ПТО!$A$39:$D$53,4,FALSE)</f>
        <v>#N/A</v>
      </c>
      <c r="J42" s="162"/>
      <c r="K42" s="111"/>
      <c r="L42" s="178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61" t="str">
        <f>ПТО!A2</f>
        <v>Техническое обслуживание охранной сигнализации.</v>
      </c>
      <c r="B43" s="161"/>
      <c r="C43" s="161"/>
      <c r="D43" s="161"/>
      <c r="E43" s="161"/>
      <c r="F43" s="166">
        <f>VLOOKUP(A43,ПТО!$A$2:$D$31,4,FALSE)</f>
        <v>5400</v>
      </c>
      <c r="G43" s="166"/>
      <c r="H43" s="19" t="str">
        <f>VLOOKUP(A43,ПТО!$A$2:$D$31,2,FALSE)</f>
        <v>ежемесячно</v>
      </c>
      <c r="I43" s="162">
        <f>VLOOKUP(A43,ПТО!$A$2:$D$31,3,FALSE)</f>
        <v>12</v>
      </c>
      <c r="J43" s="162"/>
      <c r="K43" s="111"/>
      <c r="L43" s="178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1" t="str">
        <f>ПТО!A3</f>
        <v>Аварийный ремонт теплообменника отопления.</v>
      </c>
      <c r="B44" s="161"/>
      <c r="C44" s="161"/>
      <c r="D44" s="161"/>
      <c r="E44" s="161"/>
      <c r="F44" s="166">
        <f>VLOOKUP(A44,ПТО!$A$2:$D$31,4,FALSE)</f>
        <v>1700</v>
      </c>
      <c r="G44" s="166"/>
      <c r="H44" s="25" t="str">
        <f>VLOOKUP(A44,ПТО!$A$2:$D$31,2,FALSE)</f>
        <v>разово</v>
      </c>
      <c r="I44" s="162">
        <f>VLOOKUP(A44,ПТО!$A$2:$D$31,3,FALSE)</f>
        <v>1</v>
      </c>
      <c r="J44" s="162"/>
      <c r="K44" s="111"/>
      <c r="L44" s="178"/>
      <c r="M44" s="118"/>
      <c r="N44" s="111"/>
      <c r="O44" s="23" t="str">
        <f t="shared" si="1"/>
        <v>Аварийный ремонт теплообменника отопления.</v>
      </c>
      <c r="R44" s="22" t="s">
        <v>72</v>
      </c>
    </row>
    <row r="45" spans="1:18" ht="51" customHeight="1" outlineLevel="1">
      <c r="A45" s="161" t="str">
        <f>ПТО!A4</f>
        <v>Приобретение и установка датчика движения.</v>
      </c>
      <c r="B45" s="161"/>
      <c r="C45" s="161"/>
      <c r="D45" s="161"/>
      <c r="E45" s="161"/>
      <c r="F45" s="166">
        <f>VLOOKUP(A45,ПТО!$A$2:$D$31,4,FALSE)</f>
        <v>600</v>
      </c>
      <c r="G45" s="166"/>
      <c r="H45" s="25" t="str">
        <f>VLOOKUP(A45,ПТО!$A$2:$D$31,2,FALSE)</f>
        <v>разово</v>
      </c>
      <c r="I45" s="162">
        <f>VLOOKUP(A45,ПТО!$A$2:$D$31,3,FALSE)</f>
        <v>1</v>
      </c>
      <c r="J45" s="162"/>
      <c r="K45" s="111"/>
      <c r="L45" s="178"/>
      <c r="M45" s="118"/>
      <c r="N45" s="111"/>
      <c r="O45" s="23" t="str">
        <f t="shared" si="1"/>
        <v>Приобретение и установка датчика движения.</v>
      </c>
      <c r="R45" s="22" t="s">
        <v>72</v>
      </c>
    </row>
    <row r="46" spans="1:18" ht="51" customHeight="1" outlineLevel="1">
      <c r="A46" s="161" t="str">
        <f>ПТО!A5</f>
        <v>Замена аккумулятора охранной сигнализации.</v>
      </c>
      <c r="B46" s="161"/>
      <c r="C46" s="161"/>
      <c r="D46" s="161"/>
      <c r="E46" s="161"/>
      <c r="F46" s="166">
        <f>VLOOKUP(A46,ПТО!$A$2:$D$31,4,FALSE)</f>
        <v>300</v>
      </c>
      <c r="G46" s="166"/>
      <c r="H46" s="25" t="str">
        <f>VLOOKUP(A46,ПТО!$A$2:$D$31,2,FALSE)</f>
        <v>разово</v>
      </c>
      <c r="I46" s="162">
        <f>VLOOKUP(A46,ПТО!$A$2:$D$31,3,FALSE)</f>
        <v>1</v>
      </c>
      <c r="J46" s="162"/>
      <c r="K46" s="111"/>
      <c r="L46" s="178"/>
      <c r="M46" s="118"/>
      <c r="N46" s="111"/>
      <c r="O46" s="23" t="str">
        <f t="shared" si="1"/>
        <v>Замена аккумулятора охранной сигнализации.</v>
      </c>
      <c r="R46" s="22" t="s">
        <v>72</v>
      </c>
    </row>
    <row r="47" spans="1:18" ht="51" customHeight="1" outlineLevel="1">
      <c r="A47" s="161" t="str">
        <f>ПТО!A6</f>
        <v>Приобретение и установка информационного стенда на детскую площадку.</v>
      </c>
      <c r="B47" s="161"/>
      <c r="C47" s="161"/>
      <c r="D47" s="161"/>
      <c r="E47" s="161"/>
      <c r="F47" s="166">
        <f>VLOOKUP(A47,ПТО!$A$2:$D$31,4,FALSE)</f>
        <v>542.4</v>
      </c>
      <c r="G47" s="166"/>
      <c r="H47" s="25" t="str">
        <f>VLOOKUP(A47,ПТО!$A$2:$D$31,2,FALSE)</f>
        <v>разово</v>
      </c>
      <c r="I47" s="162">
        <f>VLOOKUP(A47,ПТО!$A$2:$D$31,3,FALSE)</f>
        <v>1</v>
      </c>
      <c r="J47" s="162"/>
      <c r="K47" s="111"/>
      <c r="L47" s="178"/>
      <c r="M47" s="118"/>
      <c r="N47" s="111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customHeight="1" outlineLevel="1">
      <c r="A48" s="161" t="str">
        <f>ПТО!A7</f>
        <v>Приобретение и установка профлиста на приямки.</v>
      </c>
      <c r="B48" s="161"/>
      <c r="C48" s="161"/>
      <c r="D48" s="161"/>
      <c r="E48" s="161"/>
      <c r="F48" s="166">
        <f>VLOOKUP(A48,ПТО!$A$2:$D$31,4,FALSE)</f>
        <v>11739</v>
      </c>
      <c r="G48" s="166"/>
      <c r="H48" s="25" t="str">
        <f>VLOOKUP(A48,ПТО!$A$2:$D$31,2,FALSE)</f>
        <v>разово</v>
      </c>
      <c r="I48" s="162">
        <f>VLOOKUP(A48,ПТО!$A$2:$D$31,3,FALSE)</f>
        <v>1</v>
      </c>
      <c r="J48" s="162"/>
      <c r="K48" s="111"/>
      <c r="L48" s="178"/>
      <c r="M48" s="118"/>
      <c r="N48" s="111"/>
      <c r="O48" s="23" t="str">
        <f t="shared" si="1"/>
        <v>Приобретение и установка профлиста на приямки.</v>
      </c>
      <c r="R48" s="22" t="s">
        <v>72</v>
      </c>
    </row>
    <row r="49" spans="1:18" ht="51" customHeight="1" outlineLevel="1">
      <c r="A49" s="161" t="str">
        <f>ПТО!A8</f>
        <v>Ремонт погодоведомого оборудования.</v>
      </c>
      <c r="B49" s="161"/>
      <c r="C49" s="161"/>
      <c r="D49" s="161"/>
      <c r="E49" s="161"/>
      <c r="F49" s="166">
        <f>VLOOKUP(A49,ПТО!$A$2:$D$31,4,FALSE)</f>
        <v>1681.5</v>
      </c>
      <c r="G49" s="166"/>
      <c r="H49" s="25" t="str">
        <f>VLOOKUP(A49,ПТО!$A$2:$D$31,2,FALSE)</f>
        <v>разово</v>
      </c>
      <c r="I49" s="162">
        <f>VLOOKUP(A49,ПТО!$A$2:$D$31,3,FALSE)</f>
        <v>1</v>
      </c>
      <c r="J49" s="162"/>
      <c r="K49" s="111"/>
      <c r="L49" s="178"/>
      <c r="M49" s="118"/>
      <c r="N49" s="111"/>
      <c r="O49" s="23" t="str">
        <f t="shared" si="1"/>
        <v>Ремонт погодоведомого оборудования.</v>
      </c>
      <c r="R49" s="22" t="s">
        <v>72</v>
      </c>
    </row>
    <row r="50" spans="1:18" ht="51" customHeight="1" outlineLevel="1">
      <c r="A50" s="161" t="str">
        <f>ПТО!A9</f>
        <v>Перерасчет по итогам 2021 года.</v>
      </c>
      <c r="B50" s="161"/>
      <c r="C50" s="161"/>
      <c r="D50" s="161"/>
      <c r="E50" s="161"/>
      <c r="F50" s="166">
        <f>VLOOKUP(A50,ПТО!$A$2:$D$31,4,FALSE)</f>
        <v>92979.76</v>
      </c>
      <c r="G50" s="166"/>
      <c r="H50" s="25" t="str">
        <f>VLOOKUP(A50,ПТО!$A$2:$D$31,2,FALSE)</f>
        <v>разово</v>
      </c>
      <c r="I50" s="162">
        <f>VLOOKUP(A50,ПТО!$A$2:$D$31,3,FALSE)</f>
        <v>1</v>
      </c>
      <c r="J50" s="162"/>
      <c r="K50" s="111"/>
      <c r="L50" s="178"/>
      <c r="M50" s="118"/>
      <c r="N50" s="111"/>
      <c r="O50" s="23" t="str">
        <f t="shared" si="1"/>
        <v>Перерасчет по итогам 2021 года.</v>
      </c>
      <c r="R50" s="22" t="s">
        <v>72</v>
      </c>
    </row>
    <row r="51" spans="1:18" ht="51" hidden="1" customHeight="1" outlineLevel="1">
      <c r="A51" s="161">
        <f>ПТО!A10</f>
        <v>0</v>
      </c>
      <c r="B51" s="161"/>
      <c r="C51" s="161"/>
      <c r="D51" s="161"/>
      <c r="E51" s="161"/>
      <c r="F51" s="166" t="e">
        <f>VLOOKUP(A51,ПТО!$A$2:$D$31,4,FALSE)</f>
        <v>#N/A</v>
      </c>
      <c r="G51" s="166"/>
      <c r="H51" s="25" t="e">
        <f>VLOOKUP(A51,ПТО!$A$2:$D$31,2,FALSE)</f>
        <v>#N/A</v>
      </c>
      <c r="I51" s="162" t="e">
        <f>VLOOKUP(A51,ПТО!$A$2:$D$31,3,FALSE)</f>
        <v>#N/A</v>
      </c>
      <c r="J51" s="162"/>
      <c r="K51" s="111"/>
      <c r="L51" s="178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61">
        <f>ПТО!A11</f>
        <v>0</v>
      </c>
      <c r="B52" s="161"/>
      <c r="C52" s="161"/>
      <c r="D52" s="161"/>
      <c r="E52" s="161"/>
      <c r="F52" s="166" t="e">
        <f>VLOOKUP(A52,ПТО!$A$2:$D$31,4,FALSE)</f>
        <v>#N/A</v>
      </c>
      <c r="G52" s="166"/>
      <c r="H52" s="25" t="e">
        <f>VLOOKUP(A52,ПТО!$A$2:$D$31,2,FALSE)</f>
        <v>#N/A</v>
      </c>
      <c r="I52" s="162" t="e">
        <f>VLOOKUP(A52,ПТО!$A$2:$D$31,3,FALSE)</f>
        <v>#N/A</v>
      </c>
      <c r="J52" s="162"/>
      <c r="K52" s="111"/>
      <c r="L52" s="178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61">
        <f>ПТО!A12</f>
        <v>0</v>
      </c>
      <c r="B53" s="161"/>
      <c r="C53" s="161"/>
      <c r="D53" s="161"/>
      <c r="E53" s="161"/>
      <c r="F53" s="166" t="e">
        <f>VLOOKUP(A53,ПТО!$A$2:$D$31,4,FALSE)</f>
        <v>#N/A</v>
      </c>
      <c r="G53" s="166"/>
      <c r="H53" s="25" t="e">
        <f>VLOOKUP(A53,ПТО!$A$2:$D$31,2,FALSE)</f>
        <v>#N/A</v>
      </c>
      <c r="I53" s="162" t="e">
        <f>VLOOKUP(A53,ПТО!$A$2:$D$31,3,FALSE)</f>
        <v>#N/A</v>
      </c>
      <c r="J53" s="162"/>
      <c r="K53" s="111"/>
      <c r="L53" s="178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61">
        <f>ПТО!A13</f>
        <v>0</v>
      </c>
      <c r="B54" s="161"/>
      <c r="C54" s="161"/>
      <c r="D54" s="161"/>
      <c r="E54" s="161"/>
      <c r="F54" s="166" t="e">
        <f>VLOOKUP(A54,ПТО!$A$2:$D$31,4,FALSE)</f>
        <v>#N/A</v>
      </c>
      <c r="G54" s="166"/>
      <c r="H54" s="25" t="e">
        <f>VLOOKUP(A54,ПТО!$A$2:$D$31,2,FALSE)</f>
        <v>#N/A</v>
      </c>
      <c r="I54" s="162" t="e">
        <f>VLOOKUP(A54,ПТО!$A$2:$D$31,3,FALSE)</f>
        <v>#N/A</v>
      </c>
      <c r="J54" s="162"/>
      <c r="K54" s="111"/>
      <c r="L54" s="178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61">
        <f>ПТО!A14</f>
        <v>0</v>
      </c>
      <c r="B55" s="161"/>
      <c r="C55" s="161"/>
      <c r="D55" s="161"/>
      <c r="E55" s="161"/>
      <c r="F55" s="166" t="e">
        <f>VLOOKUP(A55,ПТО!$A$2:$D$31,4,FALSE)</f>
        <v>#N/A</v>
      </c>
      <c r="G55" s="166"/>
      <c r="H55" s="25" t="e">
        <f>VLOOKUP(A55,ПТО!$A$2:$D$31,2,FALSE)</f>
        <v>#N/A</v>
      </c>
      <c r="I55" s="162" t="e">
        <f>VLOOKUP(A55,ПТО!$A$2:$D$31,3,FALSE)</f>
        <v>#N/A</v>
      </c>
      <c r="J55" s="162"/>
      <c r="K55" s="111"/>
      <c r="L55" s="178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61">
        <f>ПТО!A15</f>
        <v>0</v>
      </c>
      <c r="B56" s="161"/>
      <c r="C56" s="161"/>
      <c r="D56" s="161"/>
      <c r="E56" s="161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2" t="e">
        <f>VLOOKUP(A56,ПТО!$A$2:$D$31,3,FALSE)</f>
        <v>#N/A</v>
      </c>
      <c r="J56" s="162"/>
      <c r="K56" s="111"/>
      <c r="L56" s="178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61">
        <f>ПТО!A16</f>
        <v>0</v>
      </c>
      <c r="B57" s="161"/>
      <c r="C57" s="161"/>
      <c r="D57" s="161"/>
      <c r="E57" s="161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2" t="e">
        <f>VLOOKUP(A57,ПТО!$A$2:$D$31,3,FALSE)</f>
        <v>#N/A</v>
      </c>
      <c r="J57" s="162"/>
      <c r="K57" s="111"/>
      <c r="L57" s="178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61">
        <f>ПТО!A17</f>
        <v>0</v>
      </c>
      <c r="B58" s="161"/>
      <c r="C58" s="161"/>
      <c r="D58" s="161"/>
      <c r="E58" s="161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2" t="e">
        <f>VLOOKUP(A58,ПТО!$A$2:$D$31,3,FALSE)</f>
        <v>#N/A</v>
      </c>
      <c r="J58" s="162"/>
      <c r="K58" s="111"/>
      <c r="L58" s="178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61">
        <f>ПТО!A18</f>
        <v>0</v>
      </c>
      <c r="B59" s="161"/>
      <c r="C59" s="161"/>
      <c r="D59" s="161"/>
      <c r="E59" s="161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2" t="e">
        <f>VLOOKUP(A59,ПТО!$A$2:$D$31,3,FALSE)</f>
        <v>#N/A</v>
      </c>
      <c r="J59" s="162"/>
      <c r="K59" s="111"/>
      <c r="L59" s="178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61">
        <f>ПТО!A19</f>
        <v>0</v>
      </c>
      <c r="B60" s="161"/>
      <c r="C60" s="161"/>
      <c r="D60" s="161"/>
      <c r="E60" s="161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2" t="e">
        <f>VLOOKUP(A60,ПТО!$A$2:$D$31,3,FALSE)</f>
        <v>#N/A</v>
      </c>
      <c r="J60" s="162"/>
      <c r="K60" s="111"/>
      <c r="L60" s="178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61">
        <f>ПТО!A20</f>
        <v>0</v>
      </c>
      <c r="B61" s="161"/>
      <c r="C61" s="161"/>
      <c r="D61" s="161"/>
      <c r="E61" s="161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2" t="e">
        <f>VLOOKUP(A61,ПТО!$A$2:$D$31,3,FALSE)</f>
        <v>#N/A</v>
      </c>
      <c r="J61" s="162"/>
      <c r="K61" s="111"/>
      <c r="L61" s="178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61">
        <f>ПТО!A21</f>
        <v>0</v>
      </c>
      <c r="B62" s="161"/>
      <c r="C62" s="161"/>
      <c r="D62" s="161"/>
      <c r="E62" s="161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2" t="e">
        <f>VLOOKUP(A62,ПТО!$A$2:$D$31,3,FALSE)</f>
        <v>#N/A</v>
      </c>
      <c r="J62" s="162"/>
      <c r="K62" s="111"/>
      <c r="L62" s="178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61">
        <f>ПТО!A22</f>
        <v>0</v>
      </c>
      <c r="B63" s="161"/>
      <c r="C63" s="161"/>
      <c r="D63" s="161"/>
      <c r="E63" s="161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2" t="e">
        <f>VLOOKUP(A63,ПТО!$A$2:$D$31,3,FALSE)</f>
        <v>#N/A</v>
      </c>
      <c r="J63" s="162"/>
      <c r="K63" s="111"/>
      <c r="L63" s="178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61">
        <f>ПТО!A23</f>
        <v>0</v>
      </c>
      <c r="B64" s="161"/>
      <c r="C64" s="161"/>
      <c r="D64" s="161"/>
      <c r="E64" s="161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2" t="e">
        <f>VLOOKUP(A64,ПТО!$A$2:$D$31,3,FALSE)</f>
        <v>#N/A</v>
      </c>
      <c r="J64" s="162"/>
      <c r="K64" s="111"/>
      <c r="L64" s="178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61">
        <f>ПТО!A24</f>
        <v>0</v>
      </c>
      <c r="B65" s="161"/>
      <c r="C65" s="161"/>
      <c r="D65" s="161"/>
      <c r="E65" s="161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2" t="e">
        <f>VLOOKUP(A65,ПТО!$A$2:$D$31,3,FALSE)</f>
        <v>#N/A</v>
      </c>
      <c r="J65" s="162"/>
      <c r="K65" s="111"/>
      <c r="L65" s="178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61">
        <f>ПТО!A25</f>
        <v>0</v>
      </c>
      <c r="B66" s="161"/>
      <c r="C66" s="161"/>
      <c r="D66" s="161"/>
      <c r="E66" s="161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2" t="e">
        <f>VLOOKUP(A66,ПТО!$A$2:$D$31,3,FALSE)</f>
        <v>#N/A</v>
      </c>
      <c r="J66" s="162"/>
      <c r="K66" s="111"/>
      <c r="L66" s="178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61">
        <f>ПТО!A26</f>
        <v>0</v>
      </c>
      <c r="B67" s="161"/>
      <c r="C67" s="161"/>
      <c r="D67" s="161"/>
      <c r="E67" s="161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2" t="e">
        <f>VLOOKUP(A67,ПТО!$A$2:$D$31,3,FALSE)</f>
        <v>#N/A</v>
      </c>
      <c r="J67" s="162"/>
      <c r="K67" s="111"/>
      <c r="L67" s="178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61">
        <f>ПТО!A27</f>
        <v>0</v>
      </c>
      <c r="B68" s="161"/>
      <c r="C68" s="161"/>
      <c r="D68" s="161"/>
      <c r="E68" s="161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2" t="e">
        <f>VLOOKUP(A68,ПТО!$A$2:$D$31,3,FALSE)</f>
        <v>#N/A</v>
      </c>
      <c r="J68" s="162"/>
      <c r="K68" s="111"/>
      <c r="L68" s="178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61">
        <f>ПТО!A28</f>
        <v>0</v>
      </c>
      <c r="B69" s="161"/>
      <c r="C69" s="161"/>
      <c r="D69" s="161"/>
      <c r="E69" s="161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2" t="e">
        <f>VLOOKUP(A69,ПТО!$A$2:$D$31,3,FALSE)</f>
        <v>#N/A</v>
      </c>
      <c r="J69" s="162"/>
      <c r="K69" s="111"/>
      <c r="L69" s="178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61">
        <f>ПТО!A29</f>
        <v>0</v>
      </c>
      <c r="B70" s="161"/>
      <c r="C70" s="161"/>
      <c r="D70" s="161"/>
      <c r="E70" s="161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2" t="e">
        <f>VLOOKUP(A70,ПТО!$A$2:$D$31,3,FALSE)</f>
        <v>#N/A</v>
      </c>
      <c r="J70" s="162"/>
      <c r="K70" s="111"/>
      <c r="L70" s="178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61">
        <f>ПТО!A30</f>
        <v>0</v>
      </c>
      <c r="B71" s="161"/>
      <c r="C71" s="161"/>
      <c r="D71" s="161"/>
      <c r="E71" s="161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2" t="e">
        <f>VLOOKUP(A71,ПТО!$A$2:$D$31,3,FALSE)</f>
        <v>#N/A</v>
      </c>
      <c r="J71" s="162"/>
      <c r="K71" s="118"/>
      <c r="L71" s="178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1">
        <f>ПТО!A31</f>
        <v>0</v>
      </c>
      <c r="B72" s="161"/>
      <c r="C72" s="161"/>
      <c r="D72" s="161"/>
      <c r="E72" s="161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2" t="e">
        <f>VLOOKUP(A72,ПТО!$A$2:$D$31,3,FALSE)</f>
        <v>#N/A</v>
      </c>
      <c r="J72" s="162"/>
      <c r="K72" s="111"/>
      <c r="L72" s="178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79" t="s">
        <v>27</v>
      </c>
      <c r="B75" s="179"/>
      <c r="C75" s="179"/>
      <c r="D75" s="179"/>
      <c r="E75" s="179"/>
      <c r="F75" s="179"/>
      <c r="G75" s="179"/>
      <c r="H75" s="179"/>
      <c r="I75" s="179"/>
      <c r="J75" s="8">
        <f>VLOOKUP(O75,АО,3,FALSE)</f>
        <v>0</v>
      </c>
      <c r="K75" s="111"/>
      <c r="L75" s="181"/>
      <c r="M75" s="111"/>
      <c r="N75" s="111"/>
      <c r="O75" s="71" t="s">
        <v>98</v>
      </c>
    </row>
    <row r="76" spans="1:16384" ht="18.75" customHeight="1" outlineLevel="1">
      <c r="A76" s="179" t="s">
        <v>28</v>
      </c>
      <c r="B76" s="179"/>
      <c r="C76" s="179"/>
      <c r="D76" s="179"/>
      <c r="E76" s="179"/>
      <c r="F76" s="179"/>
      <c r="G76" s="179"/>
      <c r="H76" s="179"/>
      <c r="I76" s="179"/>
      <c r="J76" s="8">
        <f>VLOOKUP(O76,АО,3,FALSE)</f>
        <v>0</v>
      </c>
      <c r="K76" s="111"/>
      <c r="L76" s="181"/>
      <c r="M76" s="111"/>
      <c r="N76" s="111"/>
      <c r="O76" s="71" t="s">
        <v>99</v>
      </c>
    </row>
    <row r="77" spans="1:16384" ht="21.75" customHeight="1" outlineLevel="1">
      <c r="A77" s="179" t="s">
        <v>29</v>
      </c>
      <c r="B77" s="179"/>
      <c r="C77" s="179"/>
      <c r="D77" s="179"/>
      <c r="E77" s="179"/>
      <c r="F77" s="179"/>
      <c r="G77" s="179"/>
      <c r="H77" s="179"/>
      <c r="I77" s="179"/>
      <c r="J77" s="8">
        <f>VLOOKUP(O77,АО,3,FALSE)</f>
        <v>0</v>
      </c>
      <c r="K77" s="111"/>
      <c r="L77" s="181"/>
      <c r="M77" s="111"/>
      <c r="N77" s="111"/>
      <c r="O77" s="71" t="s">
        <v>100</v>
      </c>
    </row>
    <row r="78" spans="1:16384" ht="18.75" customHeight="1" outlineLevel="1">
      <c r="A78" s="179" t="s">
        <v>30</v>
      </c>
      <c r="B78" s="179"/>
      <c r="C78" s="179"/>
      <c r="D78" s="179"/>
      <c r="E78" s="179"/>
      <c r="F78" s="179"/>
      <c r="G78" s="179"/>
      <c r="H78" s="179"/>
      <c r="I78" s="179"/>
      <c r="J78" s="98">
        <f>VLOOKUP(O78,АО,3,FALSE)</f>
        <v>0</v>
      </c>
      <c r="K78" s="111"/>
      <c r="L78" s="181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8">
        <f t="shared" ref="J81:J90" si="2">VLOOKUP(O81,АО,3,FALSE)</f>
        <v>0</v>
      </c>
      <c r="K81" s="111"/>
      <c r="L81" s="167"/>
      <c r="M81" s="111"/>
      <c r="N81" s="111"/>
      <c r="O81" s="71" t="s">
        <v>102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8">
        <f t="shared" si="2"/>
        <v>0</v>
      </c>
      <c r="K82" s="111"/>
      <c r="L82" s="167"/>
      <c r="M82" s="111"/>
      <c r="N82" s="111"/>
      <c r="O82" s="71" t="s">
        <v>103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8">
        <f t="shared" si="2"/>
        <v>85011.26</v>
      </c>
      <c r="K83" s="111"/>
      <c r="L83" s="167"/>
      <c r="M83" s="111"/>
      <c r="N83" s="111"/>
      <c r="O83" s="71" t="s">
        <v>104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8">
        <f t="shared" si="2"/>
        <v>0</v>
      </c>
      <c r="K84" s="111"/>
      <c r="L84" s="167"/>
      <c r="M84" s="111"/>
      <c r="N84" s="111"/>
      <c r="O84" s="71" t="s">
        <v>105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8">
        <f t="shared" si="2"/>
        <v>0</v>
      </c>
      <c r="K85" s="111"/>
      <c r="L85" s="167"/>
      <c r="M85" s="111"/>
      <c r="N85" s="111"/>
      <c r="O85" s="71" t="s">
        <v>106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8">
        <f t="shared" si="2"/>
        <v>68568.479999999996</v>
      </c>
      <c r="K86" s="111"/>
      <c r="L86" s="167"/>
      <c r="M86" s="111"/>
      <c r="N86" s="111"/>
      <c r="O86" s="71" t="s">
        <v>107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11"/>
      <c r="L87" s="167"/>
      <c r="M87" s="111"/>
      <c r="N87" s="111"/>
      <c r="O87" s="71" t="s">
        <v>108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11"/>
      <c r="L88" s="167"/>
      <c r="M88" s="111"/>
      <c r="N88" s="111"/>
      <c r="O88" s="71" t="s">
        <v>109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11"/>
      <c r="L89" s="167"/>
      <c r="M89" s="111"/>
      <c r="N89" s="111"/>
      <c r="O89" s="71" t="s">
        <v>110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8">
        <f t="shared" si="2"/>
        <v>0</v>
      </c>
      <c r="K90" s="111"/>
      <c r="L90" s="167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82" t="s">
        <v>48</v>
      </c>
      <c r="B93" s="182"/>
      <c r="C93" s="182"/>
      <c r="D93" s="183" t="s">
        <v>49</v>
      </c>
      <c r="E93" s="183"/>
      <c r="F93" s="10" t="s">
        <v>50</v>
      </c>
      <c r="G93" s="182" t="s">
        <v>51</v>
      </c>
      <c r="H93" s="182"/>
      <c r="I93" s="182"/>
      <c r="J93" s="182"/>
      <c r="K93" s="111"/>
      <c r="L93" s="111"/>
      <c r="M93" s="111"/>
      <c r="N93" s="111"/>
    </row>
    <row r="94" spans="1:15" outlineLevel="1">
      <c r="A94" s="163" t="str">
        <f>IF(VLOOKUP("эл",АО,3,FALSE)&gt;0,"Электроснабжение",0)</f>
        <v>Электроснабжение</v>
      </c>
      <c r="B94" s="163"/>
      <c r="C94" s="163"/>
      <c r="D94" s="164" t="str">
        <f>IF(VLOOKUP("эл",АО,3,FALSE)&gt;0,VLOOKUP("эл",АО,3,FALSE),0)</f>
        <v>Предоставляется</v>
      </c>
      <c r="E94" s="164"/>
      <c r="F94" s="13" t="str">
        <f>IF(VLOOKUP("эл",АО,3,FALSE)&gt;0,VLOOKUP("эл",АО,4,FALSE),0)</f>
        <v>кВт*ч</v>
      </c>
      <c r="G94" s="165">
        <f>VLOOKUP("эл",АО,5,FALSE)</f>
        <v>21599.89</v>
      </c>
      <c r="H94" s="164"/>
      <c r="I94" s="164"/>
      <c r="J94" s="164"/>
      <c r="K94" s="1" t="str">
        <f>VLOOKUP("эл",АО,2,FALSE)</f>
        <v>Электроснабжение</v>
      </c>
      <c r="L94" s="168"/>
    </row>
    <row r="95" spans="1:15" outlineLevel="2">
      <c r="A95" s="180" t="str">
        <f>IF(VLOOKUP("эл",АО,3,FALSE)&gt;0,VLOOKUP("эл1",АО,2,FALSE),0)</f>
        <v>Общий объем потребления, нат. показ.</v>
      </c>
      <c r="B95" s="180"/>
      <c r="C95" s="180"/>
      <c r="D95" s="180"/>
      <c r="E95" s="180"/>
      <c r="F95" s="180"/>
      <c r="G95" s="180"/>
      <c r="H95" s="180"/>
      <c r="I95" s="180"/>
      <c r="J95" s="18">
        <f t="shared" ref="J95:J101" si="3">VLOOKUP(O95,АО,3,FALSE)</f>
        <v>17999.91</v>
      </c>
      <c r="L95" s="168"/>
      <c r="O95" s="1" t="s">
        <v>112</v>
      </c>
    </row>
    <row r="96" spans="1:15" outlineLevel="2">
      <c r="A96" s="180" t="str">
        <f>IF(VLOOKUP("эл",АО,3,FALSE)&gt;0,VLOOKUP("эл2",АО,2,FALSE),0)</f>
        <v>Оплачено потребителями, руб.</v>
      </c>
      <c r="B96" s="180"/>
      <c r="C96" s="180"/>
      <c r="D96" s="180"/>
      <c r="E96" s="180"/>
      <c r="F96" s="180"/>
      <c r="G96" s="180"/>
      <c r="H96" s="180"/>
      <c r="I96" s="180"/>
      <c r="J96" s="18">
        <f t="shared" si="3"/>
        <v>22118.95</v>
      </c>
      <c r="L96" s="168"/>
      <c r="O96" s="1" t="s">
        <v>113</v>
      </c>
    </row>
    <row r="97" spans="1:15" outlineLevel="2">
      <c r="A97" s="180" t="str">
        <f>IF(VLOOKUP("эл",АО,3,FALSE)&gt;0,VLOOKUP("эл3",АО,2,FALSE),0)</f>
        <v>Задолженность потребителей, руб.</v>
      </c>
      <c r="B97" s="180"/>
      <c r="C97" s="180"/>
      <c r="D97" s="180"/>
      <c r="E97" s="180"/>
      <c r="F97" s="180"/>
      <c r="G97" s="180"/>
      <c r="H97" s="180"/>
      <c r="I97" s="180"/>
      <c r="J97" s="18">
        <f t="shared" si="3"/>
        <v>0</v>
      </c>
      <c r="L97" s="168"/>
      <c r="O97" s="1" t="s">
        <v>114</v>
      </c>
    </row>
    <row r="98" spans="1:15" ht="37.5" customHeight="1" outlineLevel="2">
      <c r="A98" s="180" t="str">
        <f>IF(VLOOKUP("эл",АО,3,FALSE)&gt;0,VLOOKUP("эл4",АО,2,FALSE),0)</f>
        <v>Начислено поставщиком (поставщиками) коммунального ресурса, руб.</v>
      </c>
      <c r="B98" s="180"/>
      <c r="C98" s="180"/>
      <c r="D98" s="180"/>
      <c r="E98" s="180"/>
      <c r="F98" s="180"/>
      <c r="G98" s="180"/>
      <c r="H98" s="180"/>
      <c r="I98" s="180"/>
      <c r="J98" s="18">
        <f t="shared" si="3"/>
        <v>21599.89</v>
      </c>
      <c r="L98" s="168"/>
      <c r="O98" s="1" t="s">
        <v>115</v>
      </c>
    </row>
    <row r="99" spans="1:15" outlineLevel="2">
      <c r="A99" s="180" t="str">
        <f>IF(VLOOKUP("эл",АО,3,FALSE)&gt;0,VLOOKUP("эл5",АО,2,FALSE),0)</f>
        <v>Оплачено поставщику (поставщикам) коммунального ресурса, руб.</v>
      </c>
      <c r="B99" s="180"/>
      <c r="C99" s="180"/>
      <c r="D99" s="180"/>
      <c r="E99" s="180"/>
      <c r="F99" s="180"/>
      <c r="G99" s="180"/>
      <c r="H99" s="180"/>
      <c r="I99" s="180"/>
      <c r="J99" s="18">
        <f t="shared" si="3"/>
        <v>21599.89</v>
      </c>
      <c r="L99" s="168"/>
      <c r="O99" s="1" t="s">
        <v>116</v>
      </c>
    </row>
    <row r="100" spans="1:15" ht="39" customHeight="1" outlineLevel="2">
      <c r="A100" s="18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0"/>
      <c r="C100" s="180"/>
      <c r="D100" s="180"/>
      <c r="E100" s="180"/>
      <c r="F100" s="180"/>
      <c r="G100" s="180"/>
      <c r="H100" s="180"/>
      <c r="I100" s="180"/>
      <c r="J100" s="18">
        <f t="shared" si="3"/>
        <v>0</v>
      </c>
      <c r="L100" s="168"/>
      <c r="O100" s="1" t="s">
        <v>117</v>
      </c>
    </row>
    <row r="101" spans="1:15" ht="34.5" customHeight="1" outlineLevel="2">
      <c r="A101" s="18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0"/>
      <c r="C101" s="180"/>
      <c r="D101" s="180"/>
      <c r="E101" s="180"/>
      <c r="F101" s="180"/>
      <c r="G101" s="180"/>
      <c r="H101" s="180"/>
      <c r="I101" s="180"/>
      <c r="J101" s="18">
        <f t="shared" si="3"/>
        <v>0</v>
      </c>
      <c r="L101" s="168"/>
      <c r="O101" s="1" t="s">
        <v>118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4" t="str">
        <f>IF(VLOOKUP("хвс",АО,3,FALSE)&gt;0,VLOOKUP("хвс",АО,3,FALSE),0)</f>
        <v>Предоставляется</v>
      </c>
      <c r="E102" s="164"/>
      <c r="F102" s="13" t="str">
        <f>IF(VLOOKUP("хвс",АО,3,FALSE)&gt;0,VLOOKUP("хвс",АО,4,FALSE),0)</f>
        <v>куб.м.</v>
      </c>
      <c r="G102" s="165">
        <f>VLOOKUP("хвс",АО,5,FALSE)</f>
        <v>51073.58</v>
      </c>
      <c r="H102" s="164"/>
      <c r="I102" s="164"/>
      <c r="J102" s="164"/>
      <c r="L102" s="168"/>
    </row>
    <row r="103" spans="1:15" outlineLevel="2">
      <c r="A103" s="180" t="str">
        <f t="shared" ref="A103:A109" si="4">IF(VLOOKUP("хвс",АО,3,FALSE)&gt;0,VLOOKUP(O103,АО,2,FALSE),0)</f>
        <v>Общий объем потребления, нат. показ.</v>
      </c>
      <c r="B103" s="180"/>
      <c r="C103" s="180"/>
      <c r="D103" s="180"/>
      <c r="E103" s="180"/>
      <c r="F103" s="180"/>
      <c r="G103" s="180"/>
      <c r="H103" s="180"/>
      <c r="I103" s="180"/>
      <c r="J103" s="18">
        <f t="shared" ref="J103:J109" si="5">VLOOKUP(O103,АО,3,FALSE)</f>
        <v>3869.21</v>
      </c>
      <c r="L103" s="168"/>
      <c r="O103" s="1" t="s">
        <v>121</v>
      </c>
    </row>
    <row r="104" spans="1:15" ht="18.75" customHeight="1" outlineLevel="2">
      <c r="A104" s="180" t="str">
        <f t="shared" si="4"/>
        <v>Оплачено потребителями, руб.</v>
      </c>
      <c r="B104" s="180"/>
      <c r="C104" s="180"/>
      <c r="D104" s="180"/>
      <c r="E104" s="180"/>
      <c r="F104" s="180"/>
      <c r="G104" s="180"/>
      <c r="H104" s="180"/>
      <c r="I104" s="180"/>
      <c r="J104" s="18">
        <f t="shared" si="5"/>
        <v>55637.68</v>
      </c>
      <c r="L104" s="168"/>
      <c r="O104" s="1" t="s">
        <v>122</v>
      </c>
    </row>
    <row r="105" spans="1:15" ht="18.75" customHeight="1" outlineLevel="2">
      <c r="A105" s="180" t="str">
        <f t="shared" si="4"/>
        <v>Задолженность потребителей, руб.</v>
      </c>
      <c r="B105" s="180"/>
      <c r="C105" s="180"/>
      <c r="D105" s="180"/>
      <c r="E105" s="180"/>
      <c r="F105" s="180"/>
      <c r="G105" s="180"/>
      <c r="H105" s="180"/>
      <c r="I105" s="180"/>
      <c r="J105" s="18">
        <f t="shared" si="5"/>
        <v>0</v>
      </c>
      <c r="L105" s="168"/>
      <c r="O105" s="1" t="s">
        <v>123</v>
      </c>
    </row>
    <row r="106" spans="1:15" ht="36.75" customHeight="1" outlineLevel="2">
      <c r="A106" s="180" t="str">
        <f t="shared" si="4"/>
        <v>Начислено поставщиком (поставщиками) коммунального ресурса, руб.</v>
      </c>
      <c r="B106" s="180"/>
      <c r="C106" s="180"/>
      <c r="D106" s="180"/>
      <c r="E106" s="180"/>
      <c r="F106" s="180"/>
      <c r="G106" s="180"/>
      <c r="H106" s="180"/>
      <c r="I106" s="180"/>
      <c r="J106" s="18">
        <f t="shared" si="5"/>
        <v>51073.58</v>
      </c>
      <c r="L106" s="168"/>
      <c r="O106" s="1" t="s">
        <v>124</v>
      </c>
    </row>
    <row r="107" spans="1:15" ht="18.75" customHeight="1" outlineLevel="2">
      <c r="A107" s="180" t="str">
        <f t="shared" si="4"/>
        <v>Оплачено поставщику (поставщикам) коммунального ресурса, руб.</v>
      </c>
      <c r="B107" s="180"/>
      <c r="C107" s="180"/>
      <c r="D107" s="180"/>
      <c r="E107" s="180"/>
      <c r="F107" s="180"/>
      <c r="G107" s="180"/>
      <c r="H107" s="180"/>
      <c r="I107" s="180"/>
      <c r="J107" s="18">
        <f t="shared" si="5"/>
        <v>51073.58</v>
      </c>
      <c r="L107" s="168"/>
      <c r="O107" s="1" t="s">
        <v>125</v>
      </c>
    </row>
    <row r="108" spans="1:15" ht="37.5" customHeight="1" outlineLevel="2">
      <c r="A108" s="180" t="str">
        <f t="shared" si="4"/>
        <v>Задолженность перед поставщиком (поставщиками) коммунального ресурса, руб.</v>
      </c>
      <c r="B108" s="180"/>
      <c r="C108" s="180"/>
      <c r="D108" s="180"/>
      <c r="E108" s="180"/>
      <c r="F108" s="180"/>
      <c r="G108" s="180"/>
      <c r="H108" s="180"/>
      <c r="I108" s="180"/>
      <c r="J108" s="18">
        <f t="shared" si="5"/>
        <v>0</v>
      </c>
      <c r="L108" s="168"/>
      <c r="O108" s="1" t="s">
        <v>126</v>
      </c>
    </row>
    <row r="109" spans="1:15" ht="39.75" customHeight="1" outlineLevel="2">
      <c r="A109" s="180" t="str">
        <f t="shared" si="4"/>
        <v>Размер пени и штрафов, уплаченных поставщику (поставщикам) коммунального ресурса, руб.</v>
      </c>
      <c r="B109" s="180"/>
      <c r="C109" s="180"/>
      <c r="D109" s="180"/>
      <c r="E109" s="180"/>
      <c r="F109" s="180"/>
      <c r="G109" s="180"/>
      <c r="H109" s="180"/>
      <c r="I109" s="180"/>
      <c r="J109" s="18">
        <f t="shared" si="5"/>
        <v>0</v>
      </c>
      <c r="L109" s="168"/>
      <c r="O109" s="1" t="s">
        <v>127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4" t="str">
        <f>IF(VLOOKUP("воо",АО,3,FALSE)&gt;0,VLOOKUP("воо",АО,3,FALSE),0)</f>
        <v>Предоставляется</v>
      </c>
      <c r="E110" s="164"/>
      <c r="F110" s="13" t="str">
        <f>IF(VLOOKUP("воо",АО,3,FALSE)&gt;0,VLOOKUP("воо",АО,4,FALSE),0)</f>
        <v>куб.м.</v>
      </c>
      <c r="G110" s="165">
        <f>VLOOKUP("воо",АО,5,FALSE)</f>
        <v>105907.26</v>
      </c>
      <c r="H110" s="164"/>
      <c r="I110" s="164"/>
      <c r="J110" s="164"/>
      <c r="L110" s="168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6602.7</v>
      </c>
      <c r="L111" s="168"/>
      <c r="O111" s="1" t="s">
        <v>129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113615.98</v>
      </c>
      <c r="L112" s="168"/>
      <c r="O112" s="1" t="s">
        <v>130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68"/>
      <c r="O113" s="1" t="s">
        <v>131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105907.26</v>
      </c>
      <c r="L114" s="168"/>
      <c r="O114" s="1" t="s">
        <v>132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105907.26</v>
      </c>
      <c r="L115" s="168"/>
      <c r="O115" s="1" t="s">
        <v>133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68"/>
      <c r="O116" s="1" t="s">
        <v>134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68"/>
      <c r="O117" s="1" t="s">
        <v>135</v>
      </c>
    </row>
    <row r="118" spans="1:15" ht="32.25" hidden="1" customHeight="1" outlineLevel="1">
      <c r="A118" s="163">
        <f>IF(VLOOKUP("тко",АО,3,FALSE)&gt;0,"Обращение с ТКО",0)</f>
        <v>0</v>
      </c>
      <c r="B118" s="163"/>
      <c r="C118" s="163"/>
      <c r="D118" s="164">
        <f>IF(VLOOKUP("тко",АО,3,FALSE)&gt;0,VLOOKUP("тко",АО,3,FALSE),0)</f>
        <v>0</v>
      </c>
      <c r="E118" s="164"/>
      <c r="F118" s="13">
        <f>IF(VLOOKUP("тко",АО,3,FALSE)&gt;0,VLOOKUP("тко",АО,4,FALSE),0)</f>
        <v>0</v>
      </c>
      <c r="G118" s="165">
        <f>VLOOKUP("тко",АО,5,FALSE)</f>
        <v>0</v>
      </c>
      <c r="H118" s="164"/>
      <c r="I118" s="164"/>
      <c r="J118" s="164"/>
      <c r="L118" s="48"/>
    </row>
    <row r="119" spans="1:15" ht="32.25" hidden="1" customHeight="1" outlineLevel="2">
      <c r="A119" s="159">
        <f t="shared" ref="A119:A125" si="8">IF(VLOOKUP("тко",АО,3,FALSE)&gt;0,VLOOKUP(O119,АО,2,FALSE),0)</f>
        <v>0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9">
        <f t="shared" si="8"/>
        <v>0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9">
        <f t="shared" si="8"/>
        <v>0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9">
        <f t="shared" si="8"/>
        <v>0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9">
        <f t="shared" si="8"/>
        <v>0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9">
        <f t="shared" si="8"/>
        <v>0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9">
        <f t="shared" si="8"/>
        <v>0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63" t="str">
        <f>IF(VLOOKUP("гвс",АО,3,FALSE)&gt;0,"Горячее водоснабжение",0)</f>
        <v>Горячее водоснабжение</v>
      </c>
      <c r="B126" s="163"/>
      <c r="C126" s="163"/>
      <c r="D126" s="164" t="str">
        <f>IF(VLOOKUP("гвс",АО,3,FALSE)&gt;0,VLOOKUP("гвс",АО,3,FALSE),0)</f>
        <v>Предоставляется</v>
      </c>
      <c r="E126" s="164"/>
      <c r="F126" s="13" t="str">
        <f>IF(VLOOKUP("гвс",АО,3,FALSE)&gt;0,VLOOKUP("гвс",АО,4,FALSE),0)</f>
        <v>куб.м.</v>
      </c>
      <c r="G126" s="165">
        <f>VLOOKUP("гвс",АО,5,FALSE)</f>
        <v>36014.81</v>
      </c>
      <c r="H126" s="164"/>
      <c r="I126" s="164"/>
      <c r="J126" s="164"/>
      <c r="L126" s="48"/>
    </row>
    <row r="127" spans="1:15" ht="32.25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2728.39</v>
      </c>
      <c r="L127" s="48"/>
      <c r="O127" s="1" t="s">
        <v>145</v>
      </c>
    </row>
    <row r="128" spans="1:15" ht="32.25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39665.71</v>
      </c>
      <c r="L128" s="48"/>
      <c r="O128" s="1" t="s">
        <v>146</v>
      </c>
    </row>
    <row r="129" spans="1:15" ht="32.25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8"/>
      <c r="O129" s="1" t="s">
        <v>147</v>
      </c>
    </row>
    <row r="130" spans="1:15" ht="32.25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36014.81</v>
      </c>
      <c r="L130" s="48"/>
      <c r="O130" s="1" t="s">
        <v>148</v>
      </c>
    </row>
    <row r="131" spans="1:15" ht="32.25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36014.81</v>
      </c>
      <c r="L131" s="48"/>
      <c r="O131" s="1" t="s">
        <v>149</v>
      </c>
    </row>
    <row r="132" spans="1:15" ht="32.25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63">
        <f>IF(VLOOKUP("отопление",АО,3,FALSE)&gt;0,"Отопление",0)</f>
        <v>0</v>
      </c>
      <c r="B134" s="163"/>
      <c r="C134" s="163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5">
        <f>VLOOKUP("отопление",АО,5,FALSE)</f>
        <v>0</v>
      </c>
      <c r="H134" s="164"/>
      <c r="I134" s="164"/>
      <c r="J134" s="164"/>
      <c r="L134" s="48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169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59" t="s">
        <v>172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49181.43</v>
      </c>
      <c r="O146" t="s">
        <v>171</v>
      </c>
    </row>
    <row r="149" spans="1:15" ht="52.5" customHeight="1">
      <c r="A149" s="184" t="s">
        <v>179</v>
      </c>
      <c r="B149" s="184"/>
      <c r="C149" s="184"/>
      <c r="D149" s="184"/>
      <c r="E149" s="184"/>
      <c r="F149" s="184"/>
      <c r="G149" s="184"/>
      <c r="H149" s="184"/>
      <c r="I149" s="184"/>
      <c r="J149" s="184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6" t="s">
        <v>180</v>
      </c>
      <c r="B154" s="186"/>
      <c r="C154" s="186"/>
      <c r="D154" s="186"/>
      <c r="E154" s="27">
        <f>ПТО!G1</f>
        <v>-41230.32</v>
      </c>
    </row>
    <row r="155" spans="1:15" ht="34.5" customHeight="1">
      <c r="A155" s="185" t="s">
        <v>184</v>
      </c>
      <c r="B155" s="185"/>
      <c r="C155" s="185"/>
      <c r="D155" s="185"/>
      <c r="E155" s="28">
        <f>J13</f>
        <v>73712.34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1" t="str">
        <f t="shared" ref="A158:A163" si="14">IF(N158&gt;0,N158,0)</f>
        <v>Техническое обслуживание охранной сигнализации.</v>
      </c>
      <c r="B158" s="161"/>
      <c r="C158" s="161"/>
      <c r="D158" s="161"/>
      <c r="E158" s="161"/>
      <c r="F158" s="166">
        <f t="shared" ref="F158:F163" si="15">IF(ISERROR(VLOOKUP(A158,$A$28:$J$72,6,FALSE)),0,VLOOKUP(A158,$A$28:$J$72,6,FALSE))</f>
        <v>5400</v>
      </c>
      <c r="G158" s="166"/>
      <c r="H158" s="24" t="str">
        <f t="shared" ref="H158:H187" si="16">VLOOKUP(A158,$A$28:$J$72,8,FALSE)</f>
        <v>ежемесячно</v>
      </c>
      <c r="I158" s="162">
        <f t="shared" ref="I158:I161" si="17">VLOOKUP(A158,$A$28:$J$72,9,FALSE)</f>
        <v>12</v>
      </c>
      <c r="J158" s="16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1" t="str">
        <f t="shared" si="14"/>
        <v>Аварийный ремонт теплообменника отопления.</v>
      </c>
      <c r="B159" s="161"/>
      <c r="C159" s="161"/>
      <c r="D159" s="161"/>
      <c r="E159" s="161"/>
      <c r="F159" s="166">
        <f t="shared" si="15"/>
        <v>1700</v>
      </c>
      <c r="G159" s="166"/>
      <c r="H159" s="24" t="str">
        <f t="shared" si="16"/>
        <v>разово</v>
      </c>
      <c r="I159" s="162">
        <f t="shared" si="17"/>
        <v>1</v>
      </c>
      <c r="J159" s="162"/>
      <c r="M159" s="22" t="s">
        <v>72</v>
      </c>
      <c r="N159" s="1" t="str">
        <v>Аварийный ремонт теплообменника отопления.</v>
      </c>
    </row>
    <row r="160" spans="1:15" ht="28.5" customHeight="1">
      <c r="A160" s="161" t="str">
        <f t="shared" si="14"/>
        <v>Приобретение и установка датчика движения.</v>
      </c>
      <c r="B160" s="161"/>
      <c r="C160" s="161"/>
      <c r="D160" s="161"/>
      <c r="E160" s="161"/>
      <c r="F160" s="166">
        <f t="shared" si="15"/>
        <v>600</v>
      </c>
      <c r="G160" s="166"/>
      <c r="H160" s="24" t="str">
        <f t="shared" si="16"/>
        <v>разово</v>
      </c>
      <c r="I160" s="162">
        <f t="shared" si="17"/>
        <v>1</v>
      </c>
      <c r="J160" s="162"/>
      <c r="M160" s="22" t="s">
        <v>72</v>
      </c>
      <c r="N160" s="1" t="str">
        <v>Приобретение и установка датчика движения.</v>
      </c>
    </row>
    <row r="161" spans="1:14" ht="28.5" customHeight="1">
      <c r="A161" s="161" t="str">
        <f>IF(N161&gt;0,N161,0)</f>
        <v>Замена аккумулятора охранной сигнализации.</v>
      </c>
      <c r="B161" s="161"/>
      <c r="C161" s="161"/>
      <c r="D161" s="161"/>
      <c r="E161" s="161"/>
      <c r="F161" s="166">
        <f t="shared" si="15"/>
        <v>300</v>
      </c>
      <c r="G161" s="166"/>
      <c r="H161" s="24" t="str">
        <f t="shared" si="16"/>
        <v>разово</v>
      </c>
      <c r="I161" s="162">
        <f t="shared" si="17"/>
        <v>1</v>
      </c>
      <c r="J161" s="162"/>
      <c r="M161" s="22" t="s">
        <v>72</v>
      </c>
      <c r="N161" s="1" t="str">
        <v>Замена аккумулятора охранной сигнализации.</v>
      </c>
    </row>
    <row r="162" spans="1:14" ht="28.5" customHeight="1">
      <c r="A162" s="161" t="str">
        <f t="shared" si="14"/>
        <v>Приобретение и установка информационного стенда на детскую площадку.</v>
      </c>
      <c r="B162" s="161"/>
      <c r="C162" s="161"/>
      <c r="D162" s="161"/>
      <c r="E162" s="161"/>
      <c r="F162" s="166">
        <f t="shared" si="15"/>
        <v>542.4</v>
      </c>
      <c r="G162" s="166"/>
      <c r="H162" s="24" t="str">
        <f t="shared" si="16"/>
        <v>разово</v>
      </c>
      <c r="I162" s="162">
        <f>VLOOKUP(A162,$A$28:$J$72,9,FALSE)</f>
        <v>1</v>
      </c>
      <c r="J162" s="162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customHeight="1">
      <c r="A163" s="161" t="str">
        <f t="shared" si="14"/>
        <v>Приобретение и установка профлиста на приямки.</v>
      </c>
      <c r="B163" s="161"/>
      <c r="C163" s="161"/>
      <c r="D163" s="161"/>
      <c r="E163" s="161"/>
      <c r="F163" s="166">
        <f t="shared" si="15"/>
        <v>11739</v>
      </c>
      <c r="G163" s="166"/>
      <c r="H163" s="24" t="str">
        <f t="shared" si="16"/>
        <v>разово</v>
      </c>
      <c r="I163" s="162">
        <f>VLOOKUP(A163,$A$28:$J$72,9,FALSE)</f>
        <v>1</v>
      </c>
      <c r="J163" s="162"/>
      <c r="M163" s="22" t="s">
        <v>72</v>
      </c>
      <c r="N163" s="1" t="str">
        <v>Приобретение и установка профлиста на приямки.</v>
      </c>
    </row>
    <row r="164" spans="1:14" ht="28.5" customHeight="1">
      <c r="A164" s="161" t="str">
        <f t="shared" ref="A164:A187" si="18">IF(N164&gt;0,N164,0)</f>
        <v>Ремонт погодоведомого оборудования.</v>
      </c>
      <c r="B164" s="161"/>
      <c r="C164" s="161"/>
      <c r="D164" s="161"/>
      <c r="E164" s="161"/>
      <c r="F164" s="166">
        <f t="shared" ref="F164:F187" si="19">IF(ISERROR(VLOOKUP(A164,$A$28:$J$72,6,FALSE)),0,VLOOKUP(A164,$A$28:$J$72,6,FALSE))</f>
        <v>1681.5</v>
      </c>
      <c r="G164" s="166"/>
      <c r="H164" s="29" t="str">
        <f t="shared" si="16"/>
        <v>разово</v>
      </c>
      <c r="I164" s="162">
        <f t="shared" ref="I164:I187" si="20">VLOOKUP(A164,$A$28:$J$72,9,FALSE)</f>
        <v>1</v>
      </c>
      <c r="J164" s="162"/>
      <c r="M164" s="22" t="s">
        <v>72</v>
      </c>
      <c r="N164" s="1" t="str">
        <v>Ремонт погодоведомого оборудования.</v>
      </c>
    </row>
    <row r="165" spans="1:14" ht="28.5" customHeight="1">
      <c r="A165" s="161" t="str">
        <f t="shared" si="18"/>
        <v>Перерасчет по итогам 2021 года.</v>
      </c>
      <c r="B165" s="161"/>
      <c r="C165" s="161"/>
      <c r="D165" s="161"/>
      <c r="E165" s="161"/>
      <c r="F165" s="166">
        <f t="shared" si="19"/>
        <v>92979.76</v>
      </c>
      <c r="G165" s="166"/>
      <c r="H165" s="29" t="str">
        <f t="shared" si="16"/>
        <v>разово</v>
      </c>
      <c r="I165" s="162">
        <f t="shared" si="20"/>
        <v>1</v>
      </c>
      <c r="J165" s="162"/>
      <c r="M165" s="22" t="s">
        <v>72</v>
      </c>
      <c r="N165" s="1" t="str">
        <v>Перерасчет по итогам 2021 года.</v>
      </c>
    </row>
    <row r="166" spans="1:14" ht="28.5" hidden="1" customHeight="1">
      <c r="A166" s="161">
        <f t="shared" si="18"/>
        <v>0</v>
      </c>
      <c r="B166" s="161"/>
      <c r="C166" s="161"/>
      <c r="D166" s="161"/>
      <c r="E166" s="161"/>
      <c r="F166" s="166">
        <f t="shared" si="19"/>
        <v>0</v>
      </c>
      <c r="G166" s="166"/>
      <c r="H166" s="29" t="e">
        <f t="shared" si="16"/>
        <v>#N/A</v>
      </c>
      <c r="I166" s="162" t="e">
        <f t="shared" si="20"/>
        <v>#N/A</v>
      </c>
      <c r="J166" s="162"/>
      <c r="M166" s="22" t="s">
        <v>72</v>
      </c>
      <c r="N166" s="1">
        <v>0</v>
      </c>
    </row>
    <row r="167" spans="1:14" ht="28.5" hidden="1" customHeight="1">
      <c r="A167" s="161">
        <f t="shared" si="18"/>
        <v>0</v>
      </c>
      <c r="B167" s="161"/>
      <c r="C167" s="161"/>
      <c r="D167" s="161"/>
      <c r="E167" s="161"/>
      <c r="F167" s="166">
        <f t="shared" si="19"/>
        <v>0</v>
      </c>
      <c r="G167" s="166"/>
      <c r="H167" s="29" t="e">
        <f t="shared" si="16"/>
        <v>#N/A</v>
      </c>
      <c r="I167" s="162" t="e">
        <f t="shared" si="20"/>
        <v>#N/A</v>
      </c>
      <c r="J167" s="162"/>
      <c r="M167" s="22" t="s">
        <v>72</v>
      </c>
      <c r="N167" s="1">
        <v>0</v>
      </c>
    </row>
    <row r="168" spans="1:14" ht="28.5" hidden="1" customHeight="1">
      <c r="A168" s="161">
        <f t="shared" si="18"/>
        <v>0</v>
      </c>
      <c r="B168" s="161"/>
      <c r="C168" s="161"/>
      <c r="D168" s="161"/>
      <c r="E168" s="161"/>
      <c r="F168" s="166">
        <f t="shared" si="19"/>
        <v>0</v>
      </c>
      <c r="G168" s="166"/>
      <c r="H168" s="29" t="e">
        <f t="shared" si="16"/>
        <v>#N/A</v>
      </c>
      <c r="I168" s="162" t="e">
        <f t="shared" si="20"/>
        <v>#N/A</v>
      </c>
      <c r="J168" s="162"/>
      <c r="M168" s="22" t="s">
        <v>72</v>
      </c>
      <c r="N168" s="1">
        <v>0</v>
      </c>
    </row>
    <row r="169" spans="1:14" ht="28.5" hidden="1" customHeight="1">
      <c r="A169" s="161">
        <f t="shared" si="18"/>
        <v>0</v>
      </c>
      <c r="B169" s="161"/>
      <c r="C169" s="161"/>
      <c r="D169" s="161"/>
      <c r="E169" s="161"/>
      <c r="F169" s="166">
        <f t="shared" si="19"/>
        <v>0</v>
      </c>
      <c r="G169" s="166"/>
      <c r="H169" s="29" t="e">
        <f t="shared" si="16"/>
        <v>#N/A</v>
      </c>
      <c r="I169" s="162" t="e">
        <f t="shared" si="20"/>
        <v>#N/A</v>
      </c>
      <c r="J169" s="162"/>
      <c r="M169" s="22" t="s">
        <v>72</v>
      </c>
      <c r="N169" s="1">
        <v>0</v>
      </c>
    </row>
    <row r="170" spans="1:14" ht="28.5" hidden="1" customHeight="1">
      <c r="A170" s="161">
        <f t="shared" si="18"/>
        <v>0</v>
      </c>
      <c r="B170" s="161"/>
      <c r="C170" s="161"/>
      <c r="D170" s="161"/>
      <c r="E170" s="161"/>
      <c r="F170" s="166">
        <f t="shared" si="19"/>
        <v>0</v>
      </c>
      <c r="G170" s="166"/>
      <c r="H170" s="29" t="e">
        <f t="shared" si="16"/>
        <v>#N/A</v>
      </c>
      <c r="I170" s="162" t="e">
        <f t="shared" si="20"/>
        <v>#N/A</v>
      </c>
      <c r="J170" s="162"/>
      <c r="M170" s="22" t="s">
        <v>72</v>
      </c>
      <c r="N170" s="1">
        <v>0</v>
      </c>
    </row>
    <row r="171" spans="1:14" ht="28.5" hidden="1" customHeight="1">
      <c r="A171" s="161">
        <f t="shared" si="18"/>
        <v>0</v>
      </c>
      <c r="B171" s="161"/>
      <c r="C171" s="161"/>
      <c r="D171" s="161"/>
      <c r="E171" s="161"/>
      <c r="F171" s="166">
        <f t="shared" si="19"/>
        <v>0</v>
      </c>
      <c r="G171" s="166"/>
      <c r="H171" s="29" t="e">
        <f t="shared" si="16"/>
        <v>#N/A</v>
      </c>
      <c r="I171" s="162" t="e">
        <f t="shared" si="20"/>
        <v>#N/A</v>
      </c>
      <c r="J171" s="162"/>
      <c r="M171" s="22" t="s">
        <v>72</v>
      </c>
      <c r="N171" s="1">
        <v>0</v>
      </c>
    </row>
    <row r="172" spans="1:14" ht="28.5" hidden="1" customHeight="1">
      <c r="A172" s="161">
        <f t="shared" si="18"/>
        <v>0</v>
      </c>
      <c r="B172" s="161"/>
      <c r="C172" s="161"/>
      <c r="D172" s="161"/>
      <c r="E172" s="161"/>
      <c r="F172" s="166">
        <f t="shared" si="19"/>
        <v>0</v>
      </c>
      <c r="G172" s="166"/>
      <c r="H172" s="29" t="e">
        <f t="shared" si="16"/>
        <v>#N/A</v>
      </c>
      <c r="I172" s="162" t="e">
        <f t="shared" si="20"/>
        <v>#N/A</v>
      </c>
      <c r="J172" s="162"/>
      <c r="M172" s="22" t="s">
        <v>72</v>
      </c>
      <c r="N172" s="1">
        <v>0</v>
      </c>
    </row>
    <row r="173" spans="1:14" ht="28.5" hidden="1" customHeight="1">
      <c r="A173" s="161">
        <f t="shared" si="18"/>
        <v>0</v>
      </c>
      <c r="B173" s="161"/>
      <c r="C173" s="161"/>
      <c r="D173" s="161"/>
      <c r="E173" s="161"/>
      <c r="F173" s="166">
        <f t="shared" si="19"/>
        <v>0</v>
      </c>
      <c r="G173" s="166"/>
      <c r="H173" s="29" t="e">
        <f t="shared" si="16"/>
        <v>#N/A</v>
      </c>
      <c r="I173" s="162" t="e">
        <f t="shared" si="20"/>
        <v>#N/A</v>
      </c>
      <c r="J173" s="162"/>
      <c r="M173" s="22" t="s">
        <v>72</v>
      </c>
      <c r="N173" s="1">
        <v>0</v>
      </c>
    </row>
    <row r="174" spans="1:14" ht="28.5" hidden="1" customHeight="1">
      <c r="A174" s="161">
        <f t="shared" si="18"/>
        <v>0</v>
      </c>
      <c r="B174" s="161"/>
      <c r="C174" s="161"/>
      <c r="D174" s="161"/>
      <c r="E174" s="161"/>
      <c r="F174" s="166">
        <f t="shared" si="19"/>
        <v>0</v>
      </c>
      <c r="G174" s="166"/>
      <c r="H174" s="29" t="e">
        <f t="shared" si="16"/>
        <v>#N/A</v>
      </c>
      <c r="I174" s="162" t="e">
        <f t="shared" si="20"/>
        <v>#N/A</v>
      </c>
      <c r="J174" s="162"/>
      <c r="M174" s="22" t="s">
        <v>72</v>
      </c>
      <c r="N174" s="1">
        <v>0</v>
      </c>
    </row>
    <row r="175" spans="1:14" ht="28.5" hidden="1" customHeight="1">
      <c r="A175" s="161">
        <f t="shared" si="18"/>
        <v>0</v>
      </c>
      <c r="B175" s="161"/>
      <c r="C175" s="161"/>
      <c r="D175" s="161"/>
      <c r="E175" s="161"/>
      <c r="F175" s="166">
        <f t="shared" si="19"/>
        <v>0</v>
      </c>
      <c r="G175" s="166"/>
      <c r="H175" s="29" t="e">
        <f t="shared" si="16"/>
        <v>#N/A</v>
      </c>
      <c r="I175" s="162" t="e">
        <f t="shared" si="20"/>
        <v>#N/A</v>
      </c>
      <c r="J175" s="162"/>
      <c r="M175" s="22" t="s">
        <v>72</v>
      </c>
      <c r="N175" s="1">
        <v>0</v>
      </c>
    </row>
    <row r="176" spans="1:14" ht="28.5" hidden="1" customHeight="1">
      <c r="A176" s="161">
        <f t="shared" si="18"/>
        <v>0</v>
      </c>
      <c r="B176" s="161"/>
      <c r="C176" s="161"/>
      <c r="D176" s="161"/>
      <c r="E176" s="161"/>
      <c r="F176" s="166">
        <f t="shared" si="19"/>
        <v>0</v>
      </c>
      <c r="G176" s="166"/>
      <c r="H176" s="29" t="e">
        <f t="shared" si="16"/>
        <v>#N/A</v>
      </c>
      <c r="I176" s="162" t="e">
        <f t="shared" si="20"/>
        <v>#N/A</v>
      </c>
      <c r="J176" s="162"/>
      <c r="M176" s="22" t="s">
        <v>72</v>
      </c>
      <c r="N176" s="1">
        <v>0</v>
      </c>
    </row>
    <row r="177" spans="1:14" ht="28.5" hidden="1" customHeight="1">
      <c r="A177" s="161">
        <f t="shared" si="18"/>
        <v>0</v>
      </c>
      <c r="B177" s="161"/>
      <c r="C177" s="161"/>
      <c r="D177" s="161"/>
      <c r="E177" s="161"/>
      <c r="F177" s="166">
        <f t="shared" si="19"/>
        <v>0</v>
      </c>
      <c r="G177" s="166"/>
      <c r="H177" s="29" t="e">
        <f t="shared" si="16"/>
        <v>#N/A</v>
      </c>
      <c r="I177" s="162" t="e">
        <f t="shared" si="20"/>
        <v>#N/A</v>
      </c>
      <c r="J177" s="162"/>
      <c r="M177" s="22" t="s">
        <v>72</v>
      </c>
      <c r="N177" s="1">
        <v>0</v>
      </c>
    </row>
    <row r="178" spans="1:14" ht="28.5" hidden="1" customHeight="1">
      <c r="A178" s="161">
        <f t="shared" si="18"/>
        <v>0</v>
      </c>
      <c r="B178" s="161"/>
      <c r="C178" s="161"/>
      <c r="D178" s="161"/>
      <c r="E178" s="161"/>
      <c r="F178" s="166">
        <f t="shared" si="19"/>
        <v>0</v>
      </c>
      <c r="G178" s="166"/>
      <c r="H178" s="29" t="e">
        <f t="shared" si="16"/>
        <v>#N/A</v>
      </c>
      <c r="I178" s="162" t="e">
        <f t="shared" si="20"/>
        <v>#N/A</v>
      </c>
      <c r="J178" s="162"/>
      <c r="M178" s="22" t="s">
        <v>72</v>
      </c>
      <c r="N178" s="1">
        <v>0</v>
      </c>
    </row>
    <row r="179" spans="1:14" ht="28.5" hidden="1" customHeight="1">
      <c r="A179" s="161">
        <f t="shared" si="18"/>
        <v>0</v>
      </c>
      <c r="B179" s="161"/>
      <c r="C179" s="161"/>
      <c r="D179" s="161"/>
      <c r="E179" s="161"/>
      <c r="F179" s="166">
        <f t="shared" si="19"/>
        <v>0</v>
      </c>
      <c r="G179" s="166"/>
      <c r="H179" s="29" t="e">
        <f t="shared" si="16"/>
        <v>#N/A</v>
      </c>
      <c r="I179" s="162" t="e">
        <f t="shared" si="20"/>
        <v>#N/A</v>
      </c>
      <c r="J179" s="162"/>
      <c r="M179" s="22" t="s">
        <v>72</v>
      </c>
      <c r="N179" s="1">
        <v>0</v>
      </c>
    </row>
    <row r="180" spans="1:14" ht="28.5" hidden="1" customHeight="1">
      <c r="A180" s="161">
        <f t="shared" si="18"/>
        <v>0</v>
      </c>
      <c r="B180" s="161"/>
      <c r="C180" s="161"/>
      <c r="D180" s="161"/>
      <c r="E180" s="161"/>
      <c r="F180" s="166">
        <f t="shared" si="19"/>
        <v>0</v>
      </c>
      <c r="G180" s="166"/>
      <c r="H180" s="29" t="e">
        <f t="shared" si="16"/>
        <v>#N/A</v>
      </c>
      <c r="I180" s="162" t="e">
        <f t="shared" si="20"/>
        <v>#N/A</v>
      </c>
      <c r="J180" s="162"/>
      <c r="M180" s="22" t="s">
        <v>72</v>
      </c>
      <c r="N180" s="1">
        <v>0</v>
      </c>
    </row>
    <row r="181" spans="1:14" ht="28.5" hidden="1" customHeight="1">
      <c r="A181" s="161">
        <f t="shared" si="18"/>
        <v>0</v>
      </c>
      <c r="B181" s="161"/>
      <c r="C181" s="161"/>
      <c r="D181" s="161"/>
      <c r="E181" s="161"/>
      <c r="F181" s="166">
        <f t="shared" si="19"/>
        <v>0</v>
      </c>
      <c r="G181" s="166"/>
      <c r="H181" s="29" t="e">
        <f t="shared" si="16"/>
        <v>#N/A</v>
      </c>
      <c r="I181" s="162" t="e">
        <f t="shared" si="20"/>
        <v>#N/A</v>
      </c>
      <c r="J181" s="162"/>
      <c r="M181" s="22" t="s">
        <v>72</v>
      </c>
      <c r="N181" s="1">
        <v>0</v>
      </c>
    </row>
    <row r="182" spans="1:14" ht="28.5" hidden="1" customHeight="1">
      <c r="A182" s="161">
        <f t="shared" si="18"/>
        <v>0</v>
      </c>
      <c r="B182" s="161"/>
      <c r="C182" s="161"/>
      <c r="D182" s="161"/>
      <c r="E182" s="161"/>
      <c r="F182" s="166">
        <f t="shared" si="19"/>
        <v>0</v>
      </c>
      <c r="G182" s="166"/>
      <c r="H182" s="29" t="e">
        <f t="shared" si="16"/>
        <v>#N/A</v>
      </c>
      <c r="I182" s="162" t="e">
        <f t="shared" si="20"/>
        <v>#N/A</v>
      </c>
      <c r="J182" s="162"/>
      <c r="M182" s="22" t="s">
        <v>72</v>
      </c>
      <c r="N182" s="1">
        <v>0</v>
      </c>
    </row>
    <row r="183" spans="1:14" ht="28.5" hidden="1" customHeight="1">
      <c r="A183" s="161">
        <f t="shared" si="18"/>
        <v>0</v>
      </c>
      <c r="B183" s="161"/>
      <c r="C183" s="161"/>
      <c r="D183" s="161"/>
      <c r="E183" s="161"/>
      <c r="F183" s="166">
        <f t="shared" si="19"/>
        <v>0</v>
      </c>
      <c r="G183" s="166"/>
      <c r="H183" s="29" t="e">
        <f t="shared" si="16"/>
        <v>#N/A</v>
      </c>
      <c r="I183" s="162" t="e">
        <f t="shared" si="20"/>
        <v>#N/A</v>
      </c>
      <c r="J183" s="162"/>
      <c r="M183" s="22" t="s">
        <v>72</v>
      </c>
      <c r="N183" s="1">
        <v>0</v>
      </c>
    </row>
    <row r="184" spans="1:14" ht="28.5" hidden="1" customHeight="1">
      <c r="A184" s="161">
        <f t="shared" si="18"/>
        <v>0</v>
      </c>
      <c r="B184" s="161"/>
      <c r="C184" s="161"/>
      <c r="D184" s="161"/>
      <c r="E184" s="161"/>
      <c r="F184" s="166">
        <f t="shared" si="19"/>
        <v>0</v>
      </c>
      <c r="G184" s="166"/>
      <c r="H184" s="29" t="e">
        <f t="shared" si="16"/>
        <v>#N/A</v>
      </c>
      <c r="I184" s="162" t="e">
        <f t="shared" si="20"/>
        <v>#N/A</v>
      </c>
      <c r="J184" s="162"/>
      <c r="M184" s="22" t="s">
        <v>72</v>
      </c>
      <c r="N184" s="1">
        <v>0</v>
      </c>
    </row>
    <row r="185" spans="1:14" ht="28.5" hidden="1" customHeight="1">
      <c r="A185" s="161">
        <f t="shared" si="18"/>
        <v>0</v>
      </c>
      <c r="B185" s="161"/>
      <c r="C185" s="161"/>
      <c r="D185" s="161"/>
      <c r="E185" s="161"/>
      <c r="F185" s="166">
        <f t="shared" si="19"/>
        <v>0</v>
      </c>
      <c r="G185" s="166"/>
      <c r="H185" s="29" t="e">
        <f t="shared" si="16"/>
        <v>#N/A</v>
      </c>
      <c r="I185" s="162" t="e">
        <f t="shared" si="20"/>
        <v>#N/A</v>
      </c>
      <c r="J185" s="162"/>
      <c r="M185" s="22" t="s">
        <v>72</v>
      </c>
      <c r="N185" s="1">
        <v>0</v>
      </c>
    </row>
    <row r="186" spans="1:14" ht="28.5" hidden="1" customHeight="1">
      <c r="A186" s="161">
        <f>IF(N186&gt;0,N186,0)</f>
        <v>0</v>
      </c>
      <c r="B186" s="161"/>
      <c r="C186" s="161"/>
      <c r="D186" s="161"/>
      <c r="E186" s="161"/>
      <c r="F186" s="166">
        <f t="shared" si="19"/>
        <v>0</v>
      </c>
      <c r="G186" s="166"/>
      <c r="H186" s="29" t="e">
        <f t="shared" si="16"/>
        <v>#N/A</v>
      </c>
      <c r="I186" s="162" t="e">
        <f t="shared" si="20"/>
        <v>#N/A</v>
      </c>
      <c r="J186" s="162"/>
      <c r="M186" s="22" t="s">
        <v>72</v>
      </c>
      <c r="N186" s="1">
        <v>0</v>
      </c>
    </row>
    <row r="187" spans="1:14" ht="28.5" hidden="1" customHeight="1">
      <c r="A187" s="161">
        <f t="shared" si="18"/>
        <v>0</v>
      </c>
      <c r="B187" s="161"/>
      <c r="C187" s="161"/>
      <c r="D187" s="161"/>
      <c r="E187" s="161"/>
      <c r="F187" s="166">
        <f t="shared" si="19"/>
        <v>0</v>
      </c>
      <c r="G187" s="166"/>
      <c r="H187" s="29" t="e">
        <f t="shared" si="16"/>
        <v>#N/A</v>
      </c>
      <c r="I187" s="162" t="e">
        <f t="shared" si="20"/>
        <v>#N/A</v>
      </c>
      <c r="J187" s="162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86" t="s">
        <v>183</v>
      </c>
      <c r="B190" s="186"/>
      <c r="C190" s="186"/>
      <c r="D190" s="186"/>
      <c r="E190" s="27">
        <f>SUM(F158:G187)</f>
        <v>114942.66</v>
      </c>
    </row>
    <row r="191" spans="1:14" ht="51.75" customHeight="1">
      <c r="A191" s="186" t="s">
        <v>182</v>
      </c>
      <c r="B191" s="186"/>
      <c r="C191" s="186"/>
      <c r="D191" s="186"/>
      <c r="E191" s="27">
        <f>E190+E154-E155</f>
        <v>0</v>
      </c>
    </row>
    <row r="192" spans="1:14">
      <c r="A192" s="106" t="s">
        <v>173</v>
      </c>
    </row>
    <row r="193" spans="1:10" ht="62.25" customHeight="1">
      <c r="A193" s="160" t="s">
        <v>181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0">
        <f>ПТО!G12</f>
        <v>1200</v>
      </c>
      <c r="I194" s="51" t="s">
        <v>74</v>
      </c>
    </row>
    <row r="195" spans="1:10" ht="18.75" customHeight="1">
      <c r="A195" s="158" t="str">
        <f>ПТО!F13</f>
        <v xml:space="preserve">  -  техническое обслуживание охранной сигнализации</v>
      </c>
      <c r="B195" s="158"/>
      <c r="C195" s="158"/>
      <c r="D195" s="158"/>
      <c r="E195" s="158"/>
      <c r="F195" s="158"/>
      <c r="G195" s="158"/>
      <c r="H195" s="50">
        <f>ПТО!G13</f>
        <v>5400</v>
      </c>
      <c r="I195" s="51" t="s">
        <v>74</v>
      </c>
    </row>
    <row r="196" spans="1:10" ht="18.75" hidden="1" customHeight="1">
      <c r="A196" s="158">
        <f>ПТО!F14</f>
        <v>0</v>
      </c>
      <c r="B196" s="158"/>
      <c r="C196" s="158"/>
      <c r="D196" s="158"/>
      <c r="E196" s="158"/>
      <c r="F196" s="158"/>
      <c r="G196" s="158"/>
      <c r="H196" s="50">
        <f>ПТО!G14</f>
        <v>0</v>
      </c>
      <c r="I196" s="51" t="s">
        <v>74</v>
      </c>
    </row>
    <row r="197" spans="1:10" ht="18.75" hidden="1" customHeight="1">
      <c r="A197" s="158">
        <f>ПТО!F15</f>
        <v>0</v>
      </c>
      <c r="B197" s="158"/>
      <c r="C197" s="158"/>
      <c r="D197" s="158"/>
      <c r="E197" s="158"/>
      <c r="F197" s="158"/>
      <c r="G197" s="158"/>
      <c r="H197" s="50">
        <f>ПТО!G15</f>
        <v>0</v>
      </c>
      <c r="I197" s="51" t="s">
        <v>74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0">
        <f>ПТО!G16</f>
        <v>0</v>
      </c>
      <c r="I198" s="53" t="s">
        <v>74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0">
        <f>ПТО!G17</f>
        <v>0</v>
      </c>
      <c r="I199" s="51" t="s">
        <v>74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0">
        <f>ПТО!G18</f>
        <v>0</v>
      </c>
      <c r="I200" s="51" t="s">
        <v>74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0">
        <f>ПТО!G19</f>
        <v>0</v>
      </c>
      <c r="I201" s="51" t="s">
        <v>74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0">
        <f>ПТО!G20</f>
        <v>0</v>
      </c>
      <c r="I202" s="51" t="s">
        <v>74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0">
        <f>ПТО!G21</f>
        <v>0</v>
      </c>
      <c r="I203" s="51" t="s">
        <v>74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0">
        <f>ПТО!G22</f>
        <v>0</v>
      </c>
      <c r="I204" s="51" t="s">
        <v>74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0">
        <f>ПТО!G23</f>
        <v>0</v>
      </c>
      <c r="I205" s="51" t="s">
        <v>74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0">
        <f>ПТО!G24</f>
        <v>0</v>
      </c>
      <c r="I206" s="51" t="s">
        <v>74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0">
        <f>ПТО!G25</f>
        <v>0</v>
      </c>
      <c r="I207" s="51" t="s">
        <v>74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0">
        <f>ПТО!G26</f>
        <v>0</v>
      </c>
      <c r="I208" s="51" t="s">
        <v>74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0">
        <f>ПТО!G27</f>
        <v>0</v>
      </c>
      <c r="I209" s="51" t="s">
        <v>74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0">
        <f>ПТО!G28</f>
        <v>0</v>
      </c>
      <c r="I210" s="51" t="s">
        <v>74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0">
        <f>ПТО!G29</f>
        <v>0</v>
      </c>
      <c r="I211" s="51" t="s">
        <v>74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0">
        <f>ПТО!G30</f>
        <v>0</v>
      </c>
      <c r="I212" s="51" t="s">
        <v>74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6600</v>
      </c>
      <c r="I214" s="57" t="s">
        <v>76</v>
      </c>
    </row>
  </sheetData>
  <sheetProtection algorithmName="SHA-512" hashValue="6nKBqWIzQm5Y3qpMb9iCK0KRsnDWkyVe7Quux6N4UNzAIHqH61yIhxZD/IKMoXXxko3T2gW3yBG2lZjk0jeHtg==" saltValue="jL1TTa8kUP4YQIr1TE5M7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4" sqref="F14:G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180</v>
      </c>
      <c r="G1" s="103">
        <f>-41230.32</f>
        <v>-41230.32</v>
      </c>
    </row>
    <row r="2" spans="1:12" ht="18.75" customHeight="1">
      <c r="A2" s="125" t="s">
        <v>178</v>
      </c>
      <c r="B2" s="122" t="s">
        <v>175</v>
      </c>
      <c r="C2" s="121">
        <v>12</v>
      </c>
      <c r="D2" s="120">
        <v>5400</v>
      </c>
      <c r="E2" s="31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185</v>
      </c>
      <c r="B3" s="130" t="s">
        <v>186</v>
      </c>
      <c r="C3" s="131">
        <v>1</v>
      </c>
      <c r="D3" s="132">
        <v>1700</v>
      </c>
      <c r="E3" s="129" t="s">
        <v>187</v>
      </c>
      <c r="F3" s="30"/>
      <c r="G3" s="30"/>
      <c r="L3" s="33" t="str">
        <f t="shared" si="0"/>
        <v>ТР</v>
      </c>
    </row>
    <row r="4" spans="1:12" ht="18.75" customHeight="1">
      <c r="A4" s="148" t="s">
        <v>190</v>
      </c>
      <c r="B4" s="149" t="s">
        <v>186</v>
      </c>
      <c r="C4" s="127">
        <v>1</v>
      </c>
      <c r="D4" s="128">
        <v>600</v>
      </c>
      <c r="E4" s="129" t="s">
        <v>197</v>
      </c>
      <c r="F4" s="30"/>
      <c r="G4" s="30"/>
      <c r="L4" s="33" t="str">
        <f t="shared" si="0"/>
        <v>ТР</v>
      </c>
    </row>
    <row r="5" spans="1:12" ht="18.75" customHeight="1">
      <c r="A5" s="133" t="s">
        <v>188</v>
      </c>
      <c r="B5" s="134" t="s">
        <v>186</v>
      </c>
      <c r="C5" s="127">
        <v>1</v>
      </c>
      <c r="D5" s="128">
        <v>300</v>
      </c>
      <c r="E5" s="129" t="s">
        <v>189</v>
      </c>
      <c r="F5" s="45"/>
      <c r="G5" s="45"/>
      <c r="K5" s="47"/>
      <c r="L5" s="33" t="str">
        <f t="shared" si="0"/>
        <v>ТР</v>
      </c>
    </row>
    <row r="6" spans="1:12" ht="18.75" customHeight="1">
      <c r="A6" s="145" t="s">
        <v>194</v>
      </c>
      <c r="B6" s="144" t="s">
        <v>186</v>
      </c>
      <c r="C6" s="143">
        <v>1</v>
      </c>
      <c r="D6" s="146">
        <v>542.4</v>
      </c>
      <c r="E6" s="147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35" t="s">
        <v>192</v>
      </c>
      <c r="B7" s="136" t="s">
        <v>186</v>
      </c>
      <c r="C7" s="137">
        <v>1</v>
      </c>
      <c r="D7" s="47">
        <v>11739</v>
      </c>
      <c r="E7" s="124" t="s">
        <v>193</v>
      </c>
      <c r="F7" s="46"/>
      <c r="G7" s="46"/>
      <c r="K7" s="47"/>
      <c r="L7" s="33" t="str">
        <f t="shared" si="0"/>
        <v>ТР</v>
      </c>
    </row>
    <row r="8" spans="1:12" ht="18.75" customHeight="1">
      <c r="A8" s="140" t="s">
        <v>191</v>
      </c>
      <c r="B8" s="141" t="s">
        <v>186</v>
      </c>
      <c r="C8" s="139">
        <v>1</v>
      </c>
      <c r="D8" s="138">
        <v>1681.5</v>
      </c>
      <c r="E8" s="142" t="s">
        <v>196</v>
      </c>
      <c r="F8" s="46"/>
      <c r="G8" s="46"/>
      <c r="K8" s="44"/>
      <c r="L8" s="33" t="str">
        <f t="shared" si="0"/>
        <v>ТР</v>
      </c>
    </row>
    <row r="9" spans="1:12">
      <c r="A9" s="156" t="s">
        <v>207</v>
      </c>
      <c r="B9" s="157" t="s">
        <v>186</v>
      </c>
      <c r="C9" s="43">
        <v>1</v>
      </c>
      <c r="D9" s="44">
        <v>92979.76</v>
      </c>
      <c r="E9" s="45" t="s">
        <v>208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181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177</v>
      </c>
      <c r="G13" s="115">
        <v>5400</v>
      </c>
      <c r="L13" s="33">
        <f t="shared" si="0"/>
        <v>0</v>
      </c>
    </row>
    <row r="14" spans="1:12" ht="15.75">
      <c r="A14" s="30"/>
      <c r="F14" s="154"/>
      <c r="G14" s="155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22181.279999999999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22181.279999999999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28673.399999999998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28673.399999999998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15959.76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15959.76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6762.6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6762.6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30296.399999999998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30296.399999999998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199</v>
      </c>
      <c r="B46" s="150">
        <f>(E46*G52*F54*6+E46*G52*G54*6)+(F46*G58*F60*6+F46*G58*G60*6)+(F46*G62*F64*6+F46*G62*G64*6)</f>
        <v>24118.311600000001</v>
      </c>
      <c r="C46" s="151" t="s">
        <v>68</v>
      </c>
      <c r="D46" s="49">
        <v>12</v>
      </c>
      <c r="E46" s="150">
        <v>568.79999999999995</v>
      </c>
      <c r="F46" s="150">
        <v>138.4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24118.311600000001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52"/>
      <c r="C47" s="151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3" t="s">
        <v>200</v>
      </c>
      <c r="F51" s="153" t="s">
        <v>201</v>
      </c>
      <c r="G51" s="153" t="s">
        <v>202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3"/>
      <c r="F52" s="150">
        <v>1129.2</v>
      </c>
      <c r="G52" s="153">
        <v>2.5</v>
      </c>
      <c r="H52" s="153">
        <f>G52*E46/F52</f>
        <v>1.2592986184909669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3"/>
      <c r="F53" s="153" t="s">
        <v>203</v>
      </c>
      <c r="G53" s="153" t="s">
        <v>204</v>
      </c>
      <c r="H53" s="153">
        <f>H52*G55</f>
        <v>26.445270988310305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3"/>
      <c r="F54" s="153">
        <v>1.17</v>
      </c>
      <c r="G54" s="153">
        <v>1.23</v>
      </c>
      <c r="H54" s="153"/>
    </row>
    <row r="55" spans="5:16">
      <c r="E55" s="153"/>
      <c r="F55" s="153"/>
      <c r="G55" s="153">
        <v>21</v>
      </c>
      <c r="H55" s="153"/>
    </row>
    <row r="56" spans="5:16">
      <c r="E56" s="153"/>
      <c r="F56" s="153"/>
      <c r="G56" s="153"/>
      <c r="H56" s="153"/>
    </row>
    <row r="57" spans="5:16">
      <c r="E57" s="153" t="s">
        <v>205</v>
      </c>
      <c r="F57" s="153"/>
      <c r="G57" s="153"/>
      <c r="H57" s="153"/>
    </row>
    <row r="58" spans="5:16">
      <c r="E58" s="153"/>
      <c r="F58" s="150">
        <f>F52</f>
        <v>1129.2</v>
      </c>
      <c r="G58" s="153">
        <v>7.4999999999999997E-2</v>
      </c>
      <c r="H58" s="153">
        <f>G58*F46</f>
        <v>10.38</v>
      </c>
    </row>
    <row r="59" spans="5:16">
      <c r="E59" s="153"/>
      <c r="F59" s="153" t="s">
        <v>203</v>
      </c>
      <c r="G59" s="153" t="s">
        <v>204</v>
      </c>
      <c r="H59" s="153">
        <f>H58/F58</f>
        <v>9.1923485653560046E-3</v>
      </c>
    </row>
    <row r="60" spans="5:16">
      <c r="E60" s="153"/>
      <c r="F60" s="153">
        <v>12.94</v>
      </c>
      <c r="G60" s="153">
        <v>13.45</v>
      </c>
      <c r="H60" s="153">
        <f>H59*G55</f>
        <v>0.19303931987247611</v>
      </c>
    </row>
    <row r="61" spans="5:16">
      <c r="E61" s="153" t="s">
        <v>206</v>
      </c>
      <c r="F61" s="153"/>
      <c r="G61" s="153"/>
      <c r="H61" s="153"/>
    </row>
    <row r="62" spans="5:16">
      <c r="E62" s="153"/>
      <c r="F62" s="150">
        <f>F52</f>
        <v>1129.2</v>
      </c>
      <c r="G62" s="153">
        <v>7.4999999999999997E-2</v>
      </c>
      <c r="H62" s="153">
        <f>G62*F46</f>
        <v>10.38</v>
      </c>
    </row>
    <row r="63" spans="5:16">
      <c r="E63" s="153"/>
      <c r="F63" s="153" t="s">
        <v>203</v>
      </c>
      <c r="G63" s="153" t="s">
        <v>204</v>
      </c>
      <c r="H63" s="153">
        <f>H62/F62</f>
        <v>9.1923485653560046E-3</v>
      </c>
    </row>
    <row r="64" spans="5:16">
      <c r="E64" s="153"/>
      <c r="F64" s="153">
        <v>15.73</v>
      </c>
      <c r="G64" s="153">
        <v>16.350000000000001</v>
      </c>
      <c r="H64" s="153">
        <f>H63*G55</f>
        <v>0.19303931987247611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28" sqref="E2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123" t="s">
        <v>176</v>
      </c>
      <c r="F1" s="123">
        <v>1127.0999999999999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111579.45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249215.31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106322.07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73712.34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69180.899999999994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270200.53999999998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270200.53999999998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270200.53999999998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90594.22000000003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9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9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9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9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8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8"/>
      <c r="N26" s="64"/>
    </row>
    <row r="27" spans="1:15" ht="18.75" customHeight="1">
      <c r="A27" s="71" t="s">
        <v>104</v>
      </c>
      <c r="B27" s="76" t="s">
        <v>4</v>
      </c>
      <c r="C27" s="87">
        <v>85011.26</v>
      </c>
      <c r="D27" s="82" t="s">
        <v>60</v>
      </c>
      <c r="E27" s="65"/>
      <c r="F27" s="65"/>
      <c r="G27" s="65"/>
      <c r="H27" s="65"/>
      <c r="I27" s="65"/>
      <c r="J27" s="65"/>
      <c r="M27" s="188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8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8"/>
      <c r="N29" s="64"/>
    </row>
    <row r="30" spans="1:15" ht="18.75" customHeight="1">
      <c r="A30" s="71" t="s">
        <v>107</v>
      </c>
      <c r="B30" s="76" t="s">
        <v>18</v>
      </c>
      <c r="C30" s="87">
        <v>68568.479999999996</v>
      </c>
      <c r="D30" s="82" t="s">
        <v>66</v>
      </c>
      <c r="E30" s="65"/>
      <c r="F30" s="65"/>
      <c r="G30" s="65"/>
      <c r="H30" s="65"/>
      <c r="I30" s="65"/>
      <c r="J30" s="65"/>
      <c r="M30" s="188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8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8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8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8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21599.89</v>
      </c>
      <c r="F37" s="95" t="s">
        <v>166</v>
      </c>
      <c r="G37" s="67"/>
      <c r="H37" s="67"/>
      <c r="I37" s="67"/>
      <c r="L37" s="64"/>
      <c r="M37" s="187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17999.91</v>
      </c>
      <c r="D38" s="95" t="s">
        <v>164</v>
      </c>
      <c r="E38" s="69"/>
      <c r="G38" s="68"/>
      <c r="H38" s="68"/>
      <c r="L38" s="64"/>
      <c r="M38" s="187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22118.95</v>
      </c>
      <c r="D39" s="95" t="s">
        <v>165</v>
      </c>
      <c r="E39" s="69"/>
      <c r="G39" s="68"/>
      <c r="H39" s="68"/>
      <c r="L39" s="64"/>
      <c r="M39" s="187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7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21599.89</v>
      </c>
      <c r="D41" s="81" t="s">
        <v>59</v>
      </c>
      <c r="E41" s="69"/>
      <c r="G41" s="68"/>
      <c r="H41" s="68"/>
      <c r="L41" s="64"/>
      <c r="M41" s="187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21599.89</v>
      </c>
      <c r="D42" s="81" t="s">
        <v>59</v>
      </c>
      <c r="E42" s="69"/>
      <c r="G42" s="68"/>
      <c r="H42" s="68"/>
      <c r="L42" s="64"/>
      <c r="M42" s="187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7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7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51073.58</v>
      </c>
      <c r="F45" s="95" t="s">
        <v>166</v>
      </c>
      <c r="G45" s="67"/>
      <c r="H45" s="67"/>
      <c r="L45" s="64"/>
      <c r="M45" s="187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3869.21</v>
      </c>
      <c r="D46" s="95" t="s">
        <v>167</v>
      </c>
      <c r="E46" s="69"/>
      <c r="G46" s="68"/>
      <c r="H46" s="68"/>
      <c r="L46" s="64"/>
      <c r="M46" s="187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55637.68</v>
      </c>
      <c r="D47" s="95" t="s">
        <v>165</v>
      </c>
      <c r="E47" s="69"/>
      <c r="G47" s="68"/>
      <c r="H47" s="68"/>
      <c r="L47" s="64"/>
      <c r="M47" s="187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7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51073.58</v>
      </c>
      <c r="D49" s="81" t="s">
        <v>59</v>
      </c>
      <c r="E49" s="69"/>
      <c r="G49" s="68"/>
      <c r="H49" s="68"/>
      <c r="L49" s="64"/>
      <c r="M49" s="187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51073.58</v>
      </c>
      <c r="D50" s="81" t="s">
        <v>59</v>
      </c>
      <c r="E50" s="69"/>
      <c r="G50" s="68"/>
      <c r="H50" s="68"/>
      <c r="L50" s="64"/>
      <c r="M50" s="187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7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7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105907.26</v>
      </c>
      <c r="F53" s="95" t="s">
        <v>166</v>
      </c>
      <c r="G53" s="67"/>
      <c r="H53" s="67"/>
      <c r="L53" s="64"/>
      <c r="M53" s="187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6602.7</v>
      </c>
      <c r="D54" s="95" t="s">
        <v>167</v>
      </c>
      <c r="E54" s="70"/>
      <c r="F54" s="90"/>
      <c r="G54" s="65"/>
      <c r="H54" s="65"/>
      <c r="L54" s="64"/>
      <c r="M54" s="187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113615.98</v>
      </c>
      <c r="D55" s="95" t="s">
        <v>165</v>
      </c>
      <c r="E55" s="70"/>
      <c r="G55" s="65"/>
      <c r="H55" s="65"/>
      <c r="L55" s="64"/>
      <c r="M55" s="187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7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105907.26</v>
      </c>
      <c r="D57" s="81" t="s">
        <v>59</v>
      </c>
      <c r="E57" s="70"/>
      <c r="G57" s="65"/>
      <c r="H57" s="65"/>
      <c r="L57" s="64"/>
      <c r="M57" s="187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105907.26</v>
      </c>
      <c r="D58" s="81" t="s">
        <v>59</v>
      </c>
      <c r="E58" s="70"/>
      <c r="G58" s="65"/>
      <c r="H58" s="65"/>
      <c r="L58" s="64"/>
      <c r="M58" s="187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7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7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36014.81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2728.39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39665.71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36014.81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36014.81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49181.43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2022-03-25T09:06:17Z</dcterms:modified>
</cp:coreProperties>
</file>