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63" i="2" s="1"/>
  <c r="H64" i="2" s="1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4" i="1" l="1"/>
  <c r="A116" i="1"/>
  <c r="F110" i="1"/>
  <c r="A112" i="1"/>
  <c r="A117" i="1"/>
  <c r="D110" i="1"/>
  <c r="A113" i="1"/>
  <c r="A119" i="1"/>
  <c r="A122" i="1"/>
  <c r="A118" i="1"/>
  <c r="A123" i="1"/>
  <c r="A141" i="1"/>
  <c r="A98" i="1"/>
  <c r="F134" i="1"/>
  <c r="A94" i="1"/>
  <c r="A95" i="1"/>
  <c r="A99" i="1"/>
  <c r="D118" i="1"/>
  <c r="A120" i="1"/>
  <c r="A124" i="1"/>
  <c r="D94" i="1"/>
  <c r="A96" i="1"/>
  <c r="A110" i="1"/>
  <c r="A111" i="1"/>
  <c r="F118" i="1"/>
  <c r="A121" i="1"/>
  <c r="A137" i="1"/>
  <c r="A106" i="1"/>
  <c r="A138" i="1"/>
  <c r="A134" i="1"/>
  <c r="A135" i="1"/>
  <c r="A139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<sst xmlns="http://schemas.openxmlformats.org/spreadsheetml/2006/main" count="554" uniqueCount="202">
  <si>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</si>
  <si>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</si>
  <si>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</si>
  <si>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</si>
  <si>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</si>
  <si>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</si>
  <si>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</si>
  <si>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</si>
  <si>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</si>
  <si>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</si>
  <si>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</si>
  <si>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</si>
  <si>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</si>
  <si>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</si>
  <si>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</si>
  <si>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</si>
  <si>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</si>
  <si>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</si>
  <si>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</si>
  <si>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</si>
  <si>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</si>
  <si>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</si>
  <si>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</si>
  <si>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</si>
  <si>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</si>
  <si>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</si>
  <si>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</si>
  <si>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</si>
  <si>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</si>
  <si>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</si>
  <si>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</si>
  <si>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</si>
  <si>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</si>
  <si>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</si>
  <si>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</si>
  <si>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</si>
  <si>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</si>
  <si>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</si>
  <si>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</si>
  <si>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</si>
  <si>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</si>
  <si>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</si>
  <si>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</si>
  <si>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</si>
  <si>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</si>
  <si>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</si>
  <si>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</si>
  <si>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</si>
  <si>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</si>
  <si>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</si>
  <si>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</si>
  <si>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</si>
  <si>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</si>
  <si>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</si>
  <si>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</si>
  <si>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</si>
  <si>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</si>
  <si>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</si>
  <si>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</si>
  <si>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</si>
  <si>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</si>
  <si>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</si>
  <si>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</si>
  <si>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</si>
  <si>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</si>
  <si>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</si>
  <si>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</si>
  <si>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</si>
  <si>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</si>
  <si>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</si>
  <si>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</si>
  <si>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</si>
  <si>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</si>
  <si>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</si>
  <si>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</si>
  <si>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</si>
  <si>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</si>
  <si>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</si>
  <si>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</si>
  <si>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</si>
  <si>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</si>
  <si>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</si>
  <si>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</si>
  <si>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</si>
  <si>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</si>
  <si>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</si>
  <si>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</si>
  <si>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</si>
  <si>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</si>
  <si>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</si>
  <si>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</si>
  <si>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</si>
  <si>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</si>
  <si>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</si>
  <si>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</si>
  <si>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</si>
  <si>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</si>
  <si>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</si>
  <si>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</si>
  <si>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</si>
  <si>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</si>
  <si>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</si>
  <si>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</si>
  <si>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</si>
  <si>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</si>
  <si>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</si>
  <si>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</si>
  <si>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</si>
  <si>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</si>
  <si>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</si>
  <si>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</si>
  <si>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</si>
  <si>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</si>
  <si>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</si>
  <si>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</si>
  <si>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</si>
  <si>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</si>
  <si>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</si>
  <si>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</si>
  <si>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</si>
  <si>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</si>
  <si>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</si>
  <si>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</si>
  <si>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</si>
  <si>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</si>
  <si>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</si>
  <si>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</si>
  <si>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</si>
  <si>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</si>
  <si>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</si>
  <si>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</si>
  <si>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</si>
  <si>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</si>
  <si>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</si>
  <si>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</si>
  <si>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</si>
  <si>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</si>
  <si>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</si>
  <si>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</si>
  <si>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</si>
  <si>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</si>
  <si>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</si>
  <si>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</si>
  <si>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</si>
  <si>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</si>
  <si>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</si>
  <si>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</si>
  <si>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</si>
  <si>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</si>
  <si>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</si>
  <si>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</si>
  <si>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</si>
  <si>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</si>
  <si>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</si>
  <si>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</si>
  <si>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</si>
  <si>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</si>
  <si>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</si>
  <si>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</si>
  <si>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</si>
  <si>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</si>
  <si>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</si>
  <si>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</si>
  <si>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</si>
  <si>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</si>
  <si>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</si>
  <si>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</si>
  <si>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</si>
  <si>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</si>
  <si>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</si>
  <si>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</si>
  <si>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</si>
  <si>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</si>
  <si>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</si>
  <si>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</si>
  <si>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128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</si>
  <si>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</si>
  <si>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</si>
  <si>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</si>
  <si>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</si>
  <si>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128 в части текущего ремонта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</si>
  <si>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</si>
  <si>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</si>
  <si>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</si>
  <si>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</si>
  <si>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</si>
  <si>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Ремонт прибора учета тепловой энергии.</t>
  </si>
  <si>
    <t>разово</t>
  </si>
  <si>
    <t>АВР 1/21 от 28.10.2021, счет №281 от 18.10.2021</t>
  </si>
  <si>
    <t>Приобретение и установка информационного стенда на детскую площадку.</t>
  </si>
  <si>
    <t>АВР 2/21 от 25.11.2021,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</si>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</sst>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" fillId="0" borderId="0"/>
  </cellStyleXfs>
  <cellXfs count="181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>
      <alignment horizontal="center"/>
    </xf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0" fontId="9" fillId="0" borderId="0" xfId="5" applyFill="1" applyBorder="1" applyAlignment="1">
      <alignment horizontal="center"/>
    </xf>
    <xf numFmtId="0" fontId="9" fillId="0" borderId="0" xfId="5" applyFont="1" applyFill="1" applyBorder="1" applyAlignment="1">
      <alignment horizontal="center"/>
    </xf>
    <xf numFmtId="0" fontId="8" fillId="0" borderId="0" xfId="5" applyFont="1" applyBorder="1" applyAlignment="1"/>
    <xf numFmtId="0" fontId="0" fillId="0" borderId="0" xfId="0" applyFill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12" applyFont="1" applyFill="1" applyBorder="1" applyAlignment="1"/>
    <xf numFmtId="0" fontId="6" fillId="0" borderId="0" xfId="12" applyFont="1" applyFill="1" applyBorder="1" applyAlignment="1">
      <alignment horizontal="center"/>
    </xf>
    <xf numFmtId="0" fontId="24" fillId="0" borderId="0" xfId="12" applyFont="1" applyFill="1" applyBorder="1" applyAlignment="1">
      <alignment horizontal="center"/>
    </xf>
    <xf numFmtId="4" fontId="24" fillId="0" borderId="0" xfId="12" applyNumberFormat="1" applyFont="1" applyFill="1" applyBorder="1" applyAlignment="1"/>
    <xf numFmtId="4" fontId="24" fillId="0" borderId="0" xfId="0" applyNumberFormat="1" applyFont="1" applyFill="1" applyBorder="1" applyAlignment="1">
      <alignment horizontal="left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26" fillId="3" borderId="0" xfId="13" applyNumberFormat="1" applyFont="1" applyFill="1" applyBorder="1" applyAlignment="1">
      <alignment horizontal="left" vertical="center" wrapText="1"/>
    </xf>
    <xf numFmtId="4" fontId="34" fillId="0" borderId="0" xfId="0" applyNumberFormat="1" applyFont="1"/>
    <xf numFmtId="0" fontId="0" fillId="0" borderId="0" xfId="0" applyBorder="1" applyAlignment="1">
      <alignment horizontal="center"/>
    </xf>
    <xf numFmtId="0" fontId="17" fillId="0" borderId="0" xfId="0" applyFont="1" applyBorder="1" applyAlignment="1"/>
    <xf numFmtId="4" fontId="17" fillId="0" borderId="0" xfId="0" applyNumberFormat="1" applyFont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5 2" xfId="13"/>
    <cellStyle name="Обычный 3" xfId="2"/>
    <cellStyle name="Обычный 3 2" xfId="11"/>
    <cellStyle name="Обычный 3 3" xfId="10"/>
    <cellStyle name="Обычный 3 4" xfId="9"/>
    <cellStyle name="Обычный 3 5" xfId="8"/>
    <cellStyle name="Обычный 3 6" xfId="7"/>
    <cellStyle name="Обычный 3 7" xfId="6"/>
    <cellStyle name="Обычный 4" xfId="4"/>
    <cellStyle name="Обычный 4 2" xfId="12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3" sqref="K7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71" t="s">
        <v>175</v>
      </c>
      <c r="B2" s="171"/>
      <c r="C2" s="171"/>
      <c r="D2" s="171"/>
      <c r="E2" s="171"/>
      <c r="F2" s="171"/>
      <c r="G2" s="171"/>
      <c r="H2" s="171"/>
      <c r="I2" s="171"/>
      <c r="J2" s="171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12"/>
      <c r="L8" s="172"/>
      <c r="M8" s="112"/>
      <c r="N8" s="112"/>
      <c r="O8" s="72" t="s">
        <v>81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12"/>
      <c r="L9" s="172"/>
      <c r="M9" s="112"/>
      <c r="N9" s="112"/>
      <c r="O9" s="72" t="s">
        <v>82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108151.08</v>
      </c>
      <c r="K10" s="112"/>
      <c r="L10" s="172"/>
      <c r="M10" s="112"/>
      <c r="N10" s="112"/>
      <c r="O10" s="72" t="s">
        <v>83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235102.05</v>
      </c>
      <c r="K11" s="112"/>
      <c r="L11" s="172"/>
      <c r="M11" s="112"/>
      <c r="N11" s="112"/>
      <c r="O11" s="72" t="s">
        <v>84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161154.26999999999</v>
      </c>
      <c r="K12" s="112"/>
      <c r="L12" s="172"/>
      <c r="M12" s="112"/>
      <c r="N12" s="112"/>
      <c r="O12" s="72" t="s">
        <v>85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73947.78</v>
      </c>
      <c r="K13" s="112"/>
      <c r="L13" s="172"/>
      <c r="M13" s="112"/>
      <c r="N13" s="112"/>
      <c r="O13" s="72" t="s">
        <v>86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12"/>
      <c r="L14" s="172"/>
      <c r="M14" s="112"/>
      <c r="N14" s="112"/>
      <c r="O14" s="72" t="s">
        <v>87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252761.34</v>
      </c>
      <c r="K15" s="112"/>
      <c r="L15" s="172"/>
      <c r="M15" s="112"/>
      <c r="N15" s="112"/>
      <c r="O15" s="72" t="s">
        <v>88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252761.34</v>
      </c>
      <c r="K16" s="112"/>
      <c r="L16" s="172"/>
      <c r="M16" s="112"/>
      <c r="N16" s="112"/>
      <c r="O16" s="72" t="s">
        <v>89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12"/>
      <c r="L17" s="172"/>
      <c r="M17" s="112"/>
      <c r="N17" s="112"/>
      <c r="O17" s="72" t="s">
        <v>90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12"/>
      <c r="L18" s="172"/>
      <c r="M18" s="112"/>
      <c r="N18" s="112"/>
      <c r="O18" s="72" t="s">
        <v>91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12"/>
      <c r="L19" s="172"/>
      <c r="M19" s="112"/>
      <c r="N19" s="112"/>
      <c r="O19" s="72" t="s">
        <v>92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12"/>
      <c r="L20" s="172"/>
      <c r="M20" s="112"/>
      <c r="N20" s="112"/>
      <c r="O20" s="72" t="s">
        <v>93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252761.34</v>
      </c>
      <c r="K21" s="112"/>
      <c r="L21" s="172"/>
      <c r="M21" s="112"/>
      <c r="N21" s="112"/>
      <c r="O21" s="72" t="s">
        <v>94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12"/>
      <c r="L22" s="172"/>
      <c r="M22" s="112"/>
      <c r="N22" s="112"/>
      <c r="O22" s="72" t="s">
        <v>95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12"/>
      <c r="L23" s="172"/>
      <c r="M23" s="112"/>
      <c r="N23" s="112"/>
      <c r="O23" s="72" t="s">
        <v>96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90491.790000000008</v>
      </c>
      <c r="K24" s="112"/>
      <c r="L24" s="172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2"/>
      <c r="L27" s="173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20081.28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2"/>
      <c r="L28" s="173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9"/>
      <c r="C29" s="149"/>
      <c r="D29" s="149"/>
      <c r="E29" s="149"/>
      <c r="F29" s="150">
        <f>VLOOKUP(A29,ПТО!$A$39:$D$53,2,FALSE)</f>
        <v>54137.88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2"/>
      <c r="L29" s="173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29172.12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2"/>
      <c r="L30" s="173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16282.08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2"/>
      <c r="L31" s="173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2"/>
      <c r="L32" s="173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6784.2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2"/>
      <c r="L33" s="173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28764.959999999999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2"/>
      <c r="L34" s="173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Коммунальные ресурсы на содержание общего имущества</v>
      </c>
      <c r="B35" s="149"/>
      <c r="C35" s="149"/>
      <c r="D35" s="149"/>
      <c r="E35" s="149"/>
      <c r="F35" s="150">
        <f>VLOOKUP(A35,ПТО!$A$39:$D$53,2,FALSE)</f>
        <v>25240.439699999999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2"/>
      <c r="L35" s="173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2"/>
      <c r="L36" s="173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2"/>
      <c r="L37" s="173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2"/>
      <c r="L38" s="173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2"/>
      <c r="L39" s="173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2"/>
      <c r="L40" s="173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2"/>
      <c r="L41" s="173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2"/>
      <c r="L42" s="173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обслуживание охранной сигнализации.</v>
      </c>
      <c r="B43" s="149"/>
      <c r="C43" s="149"/>
      <c r="D43" s="149"/>
      <c r="E43" s="149"/>
      <c r="F43" s="150">
        <f>VLOOKUP(A43,ПТО!$A$2:$D$31,4,FALSE)</f>
        <v>5501.5199999999995</v>
      </c>
      <c r="G43" s="150"/>
      <c r="H43" s="19" t="str">
        <f>VLOOKUP(A43,ПТО!$A$2:$D$31,2,FALSE)</f>
        <v>ежемесячно</v>
      </c>
      <c r="I43" s="151">
        <f>VLOOKUP(A43,ПТО!$A$2:$D$31,3,FALSE)</f>
        <v>12</v>
      </c>
      <c r="J43" s="151"/>
      <c r="K43" s="112"/>
      <c r="L43" s="173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9" t="str">
        <f>ПТО!A3</f>
        <v>Ремонт прибора учета тепловой энергии.</v>
      </c>
      <c r="B44" s="149"/>
      <c r="C44" s="149"/>
      <c r="D44" s="149"/>
      <c r="E44" s="149"/>
      <c r="F44" s="150">
        <f>VLOOKUP(A44,ПТО!$A$2:$D$31,4,FALSE)</f>
        <v>775</v>
      </c>
      <c r="G44" s="150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2"/>
      <c r="L44" s="173"/>
      <c r="M44" s="119"/>
      <c r="N44" s="112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49" t="str">
        <f>ПТО!A4</f>
        <v>Приобретение и установка информационного стенда на детскую площадку.</v>
      </c>
      <c r="B45" s="149"/>
      <c r="C45" s="149"/>
      <c r="D45" s="149"/>
      <c r="E45" s="149"/>
      <c r="F45" s="150">
        <f>VLOOKUP(A45,ПТО!$A$2:$D$31,4,FALSE)</f>
        <v>542.4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2"/>
      <c r="L45" s="173"/>
      <c r="M45" s="119"/>
      <c r="N45" s="112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49" t="str">
        <f>ПТО!A5</f>
        <v>Перерасчет по итогам 2021 года.</v>
      </c>
      <c r="B46" s="149"/>
      <c r="C46" s="149"/>
      <c r="D46" s="149"/>
      <c r="E46" s="149"/>
      <c r="F46" s="150">
        <f>VLOOKUP(A46,ПТО!$A$2:$D$31,4,FALSE)</f>
        <v>74203.81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2"/>
      <c r="L46" s="173"/>
      <c r="M46" s="119"/>
      <c r="N46" s="112"/>
      <c r="O46" s="23" t="str">
        <f t="shared" si="1"/>
        <v>Перерасчет по итогам 2021 года.</v>
      </c>
      <c r="R46" s="22" t="s">
        <v>72</v>
      </c>
    </row>
    <row r="47" spans="1:18" ht="51" hidden="1" customHeight="1" outlineLevel="1">
      <c r="A47" s="149">
        <f>ПТО!A6</f>
        <v>0</v>
      </c>
      <c r="B47" s="149"/>
      <c r="C47" s="149"/>
      <c r="D47" s="149"/>
      <c r="E47" s="149"/>
      <c r="F47" s="150" t="e">
        <f>VLOOKUP(A47,ПТО!$A$2:$D$31,4,FALSE)</f>
        <v>#N/A</v>
      </c>
      <c r="G47" s="150"/>
      <c r="H47" s="25" t="e">
        <f>VLOOKUP(A47,ПТО!$A$2:$D$31,2,FALSE)</f>
        <v>#N/A</v>
      </c>
      <c r="I47" s="151" t="e">
        <f>VLOOKUP(A47,ПТО!$A$2:$D$31,3,FALSE)</f>
        <v>#N/A</v>
      </c>
      <c r="J47" s="151"/>
      <c r="K47" s="112"/>
      <c r="L47" s="173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9">
        <f>ПТО!A7</f>
        <v>0</v>
      </c>
      <c r="B48" s="149"/>
      <c r="C48" s="149"/>
      <c r="D48" s="149"/>
      <c r="E48" s="149"/>
      <c r="F48" s="150" t="e">
        <f>VLOOKUP(A48,ПТО!$A$2:$D$31,4,FALSE)</f>
        <v>#N/A</v>
      </c>
      <c r="G48" s="150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12"/>
      <c r="L48" s="173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0" t="e">
        <f>VLOOKUP(A49,ПТО!$A$2:$D$31,4,FALSE)</f>
        <v>#N/A</v>
      </c>
      <c r="G49" s="150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12"/>
      <c r="L49" s="173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2"/>
      <c r="L50" s="173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2"/>
      <c r="L51" s="173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2"/>
      <c r="L52" s="173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2"/>
      <c r="L53" s="173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2"/>
      <c r="L54" s="173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2"/>
      <c r="L55" s="173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2"/>
      <c r="L56" s="173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2"/>
      <c r="L57" s="173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2"/>
      <c r="L58" s="173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2"/>
      <c r="L59" s="173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2"/>
      <c r="L60" s="173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2"/>
      <c r="L61" s="173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2"/>
      <c r="L62" s="173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2"/>
      <c r="L63" s="173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2"/>
      <c r="L64" s="173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2"/>
      <c r="L65" s="173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2"/>
      <c r="L66" s="173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2"/>
      <c r="L67" s="173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2"/>
      <c r="L68" s="173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2"/>
      <c r="L69" s="173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2"/>
      <c r="L70" s="173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9"/>
      <c r="L71" s="173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2"/>
      <c r="L72" s="173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2"/>
      <c r="L75" s="156"/>
      <c r="M75" s="112"/>
      <c r="N75" s="112"/>
      <c r="O75" s="72" t="s">
        <v>98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2"/>
      <c r="L76" s="156"/>
      <c r="M76" s="112"/>
      <c r="N76" s="112"/>
      <c r="O76" s="72" t="s">
        <v>99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2"/>
      <c r="L77" s="156"/>
      <c r="M77" s="112"/>
      <c r="N77" s="112"/>
      <c r="O77" s="72" t="s">
        <v>100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9">
        <f>VLOOKUP(O78,АО,3,FALSE)</f>
        <v>0</v>
      </c>
      <c r="K78" s="112"/>
      <c r="L78" s="156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9">
        <f t="shared" ref="J81:J90" si="2">VLOOKUP(O81,АО,3,FALSE)</f>
        <v>0</v>
      </c>
      <c r="K81" s="112"/>
      <c r="L81" s="174"/>
      <c r="M81" s="112"/>
      <c r="N81" s="112"/>
      <c r="O81" s="72" t="s">
        <v>102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9">
        <f t="shared" si="2"/>
        <v>0</v>
      </c>
      <c r="K82" s="112"/>
      <c r="L82" s="174"/>
      <c r="M82" s="112"/>
      <c r="N82" s="112"/>
      <c r="O82" s="72" t="s">
        <v>103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9">
        <f t="shared" si="2"/>
        <v>103945.58</v>
      </c>
      <c r="K83" s="112"/>
      <c r="L83" s="174"/>
      <c r="M83" s="112"/>
      <c r="N83" s="112"/>
      <c r="O83" s="72" t="s">
        <v>104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9">
        <f t="shared" si="2"/>
        <v>0</v>
      </c>
      <c r="K84" s="112"/>
      <c r="L84" s="174"/>
      <c r="M84" s="112"/>
      <c r="N84" s="112"/>
      <c r="O84" s="72" t="s">
        <v>105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9">
        <f t="shared" si="2"/>
        <v>0</v>
      </c>
      <c r="K85" s="112"/>
      <c r="L85" s="174"/>
      <c r="M85" s="112"/>
      <c r="N85" s="112"/>
      <c r="O85" s="72" t="s">
        <v>106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9">
        <f t="shared" si="2"/>
        <v>77904.61</v>
      </c>
      <c r="K86" s="112"/>
      <c r="L86" s="174"/>
      <c r="M86" s="112"/>
      <c r="N86" s="112"/>
      <c r="O86" s="72" t="s">
        <v>107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2"/>
      <c r="L87" s="174"/>
      <c r="M87" s="112"/>
      <c r="N87" s="112"/>
      <c r="O87" s="72" t="s">
        <v>108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2"/>
      <c r="L88" s="174"/>
      <c r="M88" s="112"/>
      <c r="N88" s="112"/>
      <c r="O88" s="72" t="s">
        <v>109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2"/>
      <c r="L89" s="174"/>
      <c r="M89" s="112"/>
      <c r="N89" s="112"/>
      <c r="O89" s="72" t="s">
        <v>110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9">
        <f t="shared" si="2"/>
        <v>0</v>
      </c>
      <c r="K90" s="112"/>
      <c r="L90" s="174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8" t="s">
        <v>48</v>
      </c>
      <c r="B93" s="158"/>
      <c r="C93" s="158"/>
      <c r="D93" s="161" t="s">
        <v>49</v>
      </c>
      <c r="E93" s="161"/>
      <c r="F93" s="10" t="s">
        <v>50</v>
      </c>
      <c r="G93" s="158" t="s">
        <v>51</v>
      </c>
      <c r="H93" s="158"/>
      <c r="I93" s="158"/>
      <c r="J93" s="158"/>
      <c r="K93" s="112"/>
      <c r="L93" s="112"/>
      <c r="M93" s="112"/>
      <c r="N93" s="112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95864.67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79887.23</v>
      </c>
      <c r="L95" s="175"/>
      <c r="O95" s="1" t="s">
        <v>112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101793.81</v>
      </c>
      <c r="L96" s="175"/>
      <c r="O96" s="1" t="s">
        <v>113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75"/>
      <c r="O97" s="1" t="s">
        <v>114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95864.67</v>
      </c>
      <c r="L98" s="175"/>
      <c r="O98" s="1" t="s">
        <v>115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95864.67</v>
      </c>
      <c r="L99" s="175"/>
      <c r="O99" s="1" t="s">
        <v>116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117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118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29617.23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2243.73</v>
      </c>
      <c r="L103" s="175"/>
      <c r="O103" s="1" t="s">
        <v>121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34890.53</v>
      </c>
      <c r="L104" s="175"/>
      <c r="O104" s="1" t="s">
        <v>122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75"/>
      <c r="O105" s="1" t="s">
        <v>123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29617.23</v>
      </c>
      <c r="L106" s="175"/>
      <c r="O106" s="1" t="s">
        <v>124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29617.23</v>
      </c>
      <c r="L107" s="175"/>
      <c r="O107" s="1" t="s">
        <v>125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126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127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62117.2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3872.64</v>
      </c>
      <c r="L111" s="175"/>
      <c r="O111" s="1" t="s">
        <v>129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72802.509999999995</v>
      </c>
      <c r="L112" s="175"/>
      <c r="O112" s="1" t="s">
        <v>130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75"/>
      <c r="O113" s="1" t="s">
        <v>131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62117.2</v>
      </c>
      <c r="L114" s="175"/>
      <c r="O114" s="1" t="s">
        <v>132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62117.2</v>
      </c>
      <c r="L115" s="175"/>
      <c r="O115" s="1" t="s">
        <v>133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134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135</v>
      </c>
    </row>
    <row r="118" spans="1:15" ht="32.25" hidden="1" customHeight="1" outlineLevel="1">
      <c r="A118" s="162">
        <f>IF(VLOOKUP("тко",АО,3,FALSE)&gt;0,"Обращение с ТКО",0)</f>
        <v>0</v>
      </c>
      <c r="B118" s="162"/>
      <c r="C118" s="162"/>
      <c r="D118" s="160">
        <f>IF(VLOOKUP("тко",АО,3,FALSE)&gt;0,VLOOKUP("тко",АО,3,FALSE),0)</f>
        <v>0</v>
      </c>
      <c r="E118" s="160"/>
      <c r="F118" s="13">
        <f>IF(VLOOKUP("тко",АО,3,FALSE)&gt;0,VLOOKUP("тко",АО,4,FALSE),0)</f>
        <v>0</v>
      </c>
      <c r="G118" s="159">
        <f>VLOOKUP("тко",АО,5,FALSE)</f>
        <v>0</v>
      </c>
      <c r="H118" s="160"/>
      <c r="I118" s="160"/>
      <c r="J118" s="160"/>
      <c r="L118" s="49"/>
    </row>
    <row r="119" spans="1:15" ht="32.25" hidden="1" customHeight="1" outlineLevel="2">
      <c r="A119" s="157">
        <f t="shared" ref="A119:A125" si="8">IF(VLOOKUP("тко",АО,3,FALSE)&gt;0,VLOOKUP(O119,АО,2,FALSE),0)</f>
        <v>0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7">
        <f t="shared" si="8"/>
        <v>0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57">
        <f t="shared" si="8"/>
        <v>0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7">
        <f t="shared" si="8"/>
        <v>0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7">
        <f t="shared" si="8"/>
        <v>0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7">
        <f t="shared" si="8"/>
        <v>0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7">
        <f t="shared" si="8"/>
        <v>0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9"/>
      <c r="O125" s="1" t="s">
        <v>143</v>
      </c>
    </row>
    <row r="126" spans="1:15" ht="32.25" customHeight="1" outlineLevel="1">
      <c r="A126" s="162" t="str">
        <f>IF(VLOOKUP("гвс",АО,3,FALSE)&gt;0,"Горячее водоснабжение",0)</f>
        <v>Горячее водоснабжение</v>
      </c>
      <c r="B126" s="162"/>
      <c r="C126" s="162"/>
      <c r="D126" s="160" t="str">
        <f>IF(VLOOKUP("гвс",АО,3,FALSE)&gt;0,VLOOKUP("гвс",АО,3,FALSE),0)</f>
        <v>Предоставляется</v>
      </c>
      <c r="E126" s="160"/>
      <c r="F126" s="13" t="str">
        <f>IF(VLOOKUP("гвс",АО,3,FALSE)&gt;0,VLOOKUP("гвс",АО,4,FALSE),0)</f>
        <v>куб.м.</v>
      </c>
      <c r="G126" s="159">
        <f>VLOOKUP("гвс",АО,5,FALSE)</f>
        <v>20460.169999999998</v>
      </c>
      <c r="H126" s="160"/>
      <c r="I126" s="160"/>
      <c r="J126" s="160"/>
      <c r="L126" s="49"/>
    </row>
    <row r="127" spans="1:15" ht="32.25" customHeight="1" outlineLevel="2">
      <c r="A127" s="157" t="str">
        <f t="shared" ref="A127:A133" si="10">IF(VLOOKUP("гвс",АО,3,FALSE)&gt;0,VLOOKUP(O127,АО,2,FALSE),0)</f>
        <v>Общий объем потребления, нат. показ.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1550.01</v>
      </c>
      <c r="L127" s="49"/>
      <c r="O127" s="1" t="s">
        <v>145</v>
      </c>
    </row>
    <row r="128" spans="1:15" ht="32.25" customHeight="1" outlineLevel="2">
      <c r="A128" s="157" t="str">
        <f t="shared" si="10"/>
        <v>Оплачено потребителями, руб.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24613.39</v>
      </c>
      <c r="L128" s="49"/>
      <c r="O128" s="1" t="s">
        <v>146</v>
      </c>
    </row>
    <row r="129" spans="1:15" ht="32.25" customHeight="1" outlineLevel="2">
      <c r="A129" s="157" t="str">
        <f t="shared" si="10"/>
        <v>Задолженность потребителей, руб.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9"/>
      <c r="O129" s="1" t="s">
        <v>147</v>
      </c>
    </row>
    <row r="130" spans="1:15" ht="32.25" customHeight="1" outlineLevel="2">
      <c r="A130" s="157" t="str">
        <f t="shared" si="10"/>
        <v>Начислено поставщиком (поставщиками) коммунального ресурса, руб.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20460.169999999998</v>
      </c>
      <c r="L130" s="49"/>
      <c r="O130" s="1" t="s">
        <v>148</v>
      </c>
    </row>
    <row r="131" spans="1:15" ht="32.25" customHeight="1" outlineLevel="2">
      <c r="A131" s="157" t="str">
        <f t="shared" si="10"/>
        <v>Оплачено поставщику (поставщикам) коммунального ресурса, руб.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20460.169999999998</v>
      </c>
      <c r="L131" s="49"/>
      <c r="O131" s="1" t="s">
        <v>149</v>
      </c>
    </row>
    <row r="132" spans="1:15" ht="32.25" customHeight="1" outlineLevel="2">
      <c r="A132" s="157" t="str">
        <f t="shared" si="10"/>
        <v>Задолженность перед поставщиком (поставщиками) коммунального ресурса, руб.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9"/>
      <c r="O132" s="1" t="s">
        <v>150</v>
      </c>
    </row>
    <row r="133" spans="1:15" ht="32.25" customHeight="1" outlineLevel="2">
      <c r="A133" s="157" t="str">
        <f t="shared" si="10"/>
        <v>Размер пени и штрафов, уплаченных поставщику (поставщикам) коммунального ресурса, руб.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9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1</v>
      </c>
      <c r="O144" t="s">
        <v>169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57" t="s">
        <v>172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92336.12</v>
      </c>
      <c r="O146" t="s">
        <v>171</v>
      </c>
    </row>
    <row r="149" spans="1:15" ht="52.5" customHeight="1">
      <c r="A149" s="153" t="s">
        <v>180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2" t="s">
        <v>185</v>
      </c>
      <c r="B154" s="152"/>
      <c r="C154" s="152"/>
      <c r="D154" s="152"/>
      <c r="E154" s="27">
        <f>ПТО!G1</f>
        <v>-7074.95</v>
      </c>
    </row>
    <row r="155" spans="1:15" ht="34.5" customHeight="1">
      <c r="A155" s="154" t="s">
        <v>184</v>
      </c>
      <c r="B155" s="154"/>
      <c r="C155" s="154"/>
      <c r="D155" s="154"/>
      <c r="E155" s="28">
        <f>J13</f>
        <v>73947.78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9" t="str">
        <f t="shared" ref="A158:A163" si="14">IF(N158&gt;0,N158,0)</f>
        <v>Техническое обслуживание охранной сигнализации.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5501.5199999999995</v>
      </c>
      <c r="G158" s="150"/>
      <c r="H158" s="24" t="str">
        <f t="shared" ref="H158:H187" si="16">VLOOKUP(A158,$A$28:$J$72,8,FALSE)</f>
        <v>ежемесячно</v>
      </c>
      <c r="I158" s="151">
        <f t="shared" ref="I158:I161" si="17">VLOOKUP(A158,$A$28:$J$72,9,FALSE)</f>
        <v>12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9" t="str">
        <f t="shared" si="14"/>
        <v>Ремонт прибора учета тепловой энергии.</v>
      </c>
      <c r="B159" s="149"/>
      <c r="C159" s="149"/>
      <c r="D159" s="149"/>
      <c r="E159" s="149"/>
      <c r="F159" s="150">
        <f t="shared" si="15"/>
        <v>775</v>
      </c>
      <c r="G159" s="150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49" t="str">
        <f t="shared" si="14"/>
        <v>Приобретение и установка информационного стенда на детскую площадку.</v>
      </c>
      <c r="B160" s="149"/>
      <c r="C160" s="149"/>
      <c r="D160" s="149"/>
      <c r="E160" s="149"/>
      <c r="F160" s="150">
        <f t="shared" si="15"/>
        <v>542.4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49" t="str">
        <f>IF(N161&gt;0,N161,0)</f>
        <v>Перерасчет по итогам 2021 года.</v>
      </c>
      <c r="B161" s="149"/>
      <c r="C161" s="149"/>
      <c r="D161" s="149"/>
      <c r="E161" s="149"/>
      <c r="F161" s="150">
        <f t="shared" si="15"/>
        <v>74203.81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Перерасчет по итогам 2021 года.</v>
      </c>
    </row>
    <row r="162" spans="1:14" ht="28.5" hidden="1" customHeight="1">
      <c r="A162" s="149">
        <f t="shared" si="14"/>
        <v>0</v>
      </c>
      <c r="B162" s="149"/>
      <c r="C162" s="149"/>
      <c r="D162" s="149"/>
      <c r="E162" s="149"/>
      <c r="F162" s="150">
        <f t="shared" si="15"/>
        <v>0</v>
      </c>
      <c r="G162" s="150"/>
      <c r="H162" s="24" t="e">
        <f t="shared" si="16"/>
        <v>#N/A</v>
      </c>
      <c r="I162" s="151" t="e">
        <f>VLOOKUP(A162,$A$28:$J$72,9,FALSE)</f>
        <v>#N/A</v>
      </c>
      <c r="J162" s="151"/>
      <c r="M162" s="22" t="s">
        <v>72</v>
      </c>
      <c r="N162" s="1">
        <v>0</v>
      </c>
    </row>
    <row r="163" spans="1:14" ht="28.5" hidden="1" customHeight="1">
      <c r="A163" s="149">
        <f t="shared" si="14"/>
        <v>0</v>
      </c>
      <c r="B163" s="149"/>
      <c r="C163" s="149"/>
      <c r="D163" s="149"/>
      <c r="E163" s="149"/>
      <c r="F163" s="150">
        <f t="shared" si="15"/>
        <v>0</v>
      </c>
      <c r="G163" s="150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72</v>
      </c>
      <c r="N163" s="1">
        <v>0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0</v>
      </c>
      <c r="G164" s="150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0">
        <f t="shared" si="19"/>
        <v>0</v>
      </c>
      <c r="G165" s="150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0">
        <f t="shared" si="19"/>
        <v>0</v>
      </c>
      <c r="G166" s="150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52" t="s">
        <v>183</v>
      </c>
      <c r="B190" s="152"/>
      <c r="C190" s="152"/>
      <c r="D190" s="152"/>
      <c r="E190" s="27">
        <f>SUM(F158:G187)</f>
        <v>81022.73</v>
      </c>
    </row>
    <row r="191" spans="1:14" ht="51.75" customHeight="1">
      <c r="A191" s="152" t="s">
        <v>182</v>
      </c>
      <c r="B191" s="152"/>
      <c r="C191" s="152"/>
      <c r="D191" s="152"/>
      <c r="E191" s="27">
        <f>E190+E154-E155</f>
        <v>0</v>
      </c>
    </row>
    <row r="192" spans="1:14">
      <c r="A192" s="107" t="s">
        <v>173</v>
      </c>
    </row>
    <row r="193" spans="1:10" ht="62.25" customHeight="1">
      <c r="A193" s="177" t="s">
        <v>181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51">
        <f>ПТО!G12</f>
        <v>1200</v>
      </c>
      <c r="I194" s="52" t="s">
        <v>74</v>
      </c>
    </row>
    <row r="195" spans="1:10" ht="18.75" customHeight="1">
      <c r="A195" s="176" t="str">
        <f>ПТО!F13</f>
        <v xml:space="preserve">  -  техническое обслуживание охранной сигнализации</v>
      </c>
      <c r="B195" s="176"/>
      <c r="C195" s="176"/>
      <c r="D195" s="176"/>
      <c r="E195" s="176"/>
      <c r="F195" s="176"/>
      <c r="G195" s="176"/>
      <c r="H195" s="51">
        <f>ПТО!G13</f>
        <v>5550</v>
      </c>
      <c r="I195" s="52" t="s">
        <v>74</v>
      </c>
    </row>
    <row r="196" spans="1:10" ht="18.75" hidden="1" customHeight="1">
      <c r="A196" s="176">
        <f>ПТО!F14</f>
        <v>0</v>
      </c>
      <c r="B196" s="176"/>
      <c r="C196" s="176"/>
      <c r="D196" s="176"/>
      <c r="E196" s="176"/>
      <c r="F196" s="176"/>
      <c r="G196" s="176"/>
      <c r="H196" s="51">
        <f>ПТО!G14</f>
        <v>0</v>
      </c>
      <c r="I196" s="52" t="s">
        <v>74</v>
      </c>
    </row>
    <row r="197" spans="1:10" ht="18.75" hidden="1" customHeight="1">
      <c r="A197" s="176">
        <f>ПТО!F15</f>
        <v>0</v>
      </c>
      <c r="B197" s="176"/>
      <c r="C197" s="176"/>
      <c r="D197" s="176"/>
      <c r="E197" s="176"/>
      <c r="F197" s="176"/>
      <c r="G197" s="176"/>
      <c r="H197" s="51">
        <f>ПТО!G15</f>
        <v>0</v>
      </c>
      <c r="I197" s="52" t="s">
        <v>74</v>
      </c>
    </row>
    <row r="198" spans="1:10" ht="18.75" hidden="1" customHeight="1">
      <c r="A198" s="176">
        <f>ПТО!F16</f>
        <v>0</v>
      </c>
      <c r="B198" s="176"/>
      <c r="C198" s="176"/>
      <c r="D198" s="176"/>
      <c r="E198" s="176"/>
      <c r="F198" s="176"/>
      <c r="G198" s="176"/>
      <c r="H198" s="51">
        <f>ПТО!G16</f>
        <v>0</v>
      </c>
      <c r="I198" s="54" t="s">
        <v>74</v>
      </c>
    </row>
    <row r="199" spans="1:10" ht="18.75" hidden="1" customHeight="1">
      <c r="A199" s="176">
        <f>ПТО!F17</f>
        <v>0</v>
      </c>
      <c r="B199" s="176"/>
      <c r="C199" s="176"/>
      <c r="D199" s="176"/>
      <c r="E199" s="176"/>
      <c r="F199" s="176"/>
      <c r="G199" s="176"/>
      <c r="H199" s="51">
        <f>ПТО!G17</f>
        <v>0</v>
      </c>
      <c r="I199" s="52" t="s">
        <v>74</v>
      </c>
    </row>
    <row r="200" spans="1:10" hidden="1">
      <c r="A200" s="176">
        <f>ПТО!F18</f>
        <v>0</v>
      </c>
      <c r="B200" s="176"/>
      <c r="C200" s="176"/>
      <c r="D200" s="176"/>
      <c r="E200" s="176"/>
      <c r="F200" s="176"/>
      <c r="G200" s="176"/>
      <c r="H200" s="51">
        <f>ПТО!G18</f>
        <v>0</v>
      </c>
      <c r="I200" s="52" t="s">
        <v>74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51">
        <f>ПТО!G19</f>
        <v>0</v>
      </c>
      <c r="I201" s="52" t="s">
        <v>74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51">
        <f>ПТО!G20</f>
        <v>0</v>
      </c>
      <c r="I202" s="52" t="s">
        <v>74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51">
        <f>ПТО!G21</f>
        <v>0</v>
      </c>
      <c r="I203" s="52" t="s">
        <v>74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51">
        <f>ПТО!G22</f>
        <v>0</v>
      </c>
      <c r="I204" s="52" t="s">
        <v>74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51">
        <f>ПТО!G23</f>
        <v>0</v>
      </c>
      <c r="I205" s="52" t="s">
        <v>74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51">
        <f>ПТО!G24</f>
        <v>0</v>
      </c>
      <c r="I206" s="52" t="s">
        <v>74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51">
        <f>ПТО!G25</f>
        <v>0</v>
      </c>
      <c r="I207" s="52" t="s">
        <v>74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51">
        <f>ПТО!G26</f>
        <v>0</v>
      </c>
      <c r="I208" s="52" t="s">
        <v>74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51">
        <f>ПТО!G27</f>
        <v>0</v>
      </c>
      <c r="I209" s="52" t="s">
        <v>74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51">
        <f>ПТО!G28</f>
        <v>0</v>
      </c>
      <c r="I210" s="52" t="s">
        <v>74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51">
        <f>ПТО!G29</f>
        <v>0</v>
      </c>
      <c r="I211" s="52" t="s">
        <v>74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51">
        <f>ПТО!G30</f>
        <v>0</v>
      </c>
      <c r="I212" s="52" t="s">
        <v>74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6750</v>
      </c>
      <c r="I214" s="58" t="s">
        <v>76</v>
      </c>
    </row>
  </sheetData>
  <sheetProtection algorithmName="SHA-512" hashValue="s6IMUXuhx3Y4+IzByUihn+yOSTuJQ40TjYf3hUur1sdrdUfq9flD3olKx2MRhoeCfujAk78YRHMg4bCkO9iqiA==" saltValue="oBuIAgakchkhsevOHfVWQ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4" sqref="F14:G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185</v>
      </c>
      <c r="G1" s="104">
        <f>-7074.95</f>
        <v>-7074.95</v>
      </c>
    </row>
    <row r="2" spans="1:12" ht="18.75" customHeight="1">
      <c r="A2" s="124" t="s">
        <v>178</v>
      </c>
      <c r="B2" s="122" t="s">
        <v>176</v>
      </c>
      <c r="C2" s="123">
        <v>12</v>
      </c>
      <c r="D2" s="121">
        <v>5501.5199999999995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6" t="s">
        <v>186</v>
      </c>
      <c r="B3" s="137" t="s">
        <v>187</v>
      </c>
      <c r="C3" s="138">
        <v>1</v>
      </c>
      <c r="D3" s="139">
        <v>775</v>
      </c>
      <c r="E3" s="125" t="s">
        <v>188</v>
      </c>
      <c r="F3" s="30"/>
      <c r="G3" s="30"/>
      <c r="L3" s="33" t="str">
        <f t="shared" si="0"/>
        <v>ТР</v>
      </c>
    </row>
    <row r="4" spans="1:12" ht="18.75" customHeight="1">
      <c r="A4" s="140" t="s">
        <v>189</v>
      </c>
      <c r="B4" s="137" t="s">
        <v>187</v>
      </c>
      <c r="C4" s="138">
        <v>1</v>
      </c>
      <c r="D4" s="44">
        <v>542.4</v>
      </c>
      <c r="E4" s="46" t="s">
        <v>190</v>
      </c>
      <c r="F4" s="30"/>
      <c r="G4" s="30"/>
      <c r="L4" s="33" t="str">
        <f t="shared" si="0"/>
        <v>ТР</v>
      </c>
    </row>
    <row r="5" spans="1:12" ht="18.75" customHeight="1">
      <c r="A5" s="147" t="s">
        <v>200</v>
      </c>
      <c r="B5" s="148" t="s">
        <v>187</v>
      </c>
      <c r="C5" s="43">
        <v>1</v>
      </c>
      <c r="D5" s="44">
        <v>74203.81</v>
      </c>
      <c r="E5" s="46" t="s">
        <v>201</v>
      </c>
      <c r="F5" s="46"/>
      <c r="G5" s="46"/>
      <c r="K5" s="48"/>
      <c r="L5" s="33" t="str">
        <f t="shared" si="0"/>
        <v>ТР</v>
      </c>
    </row>
    <row r="6" spans="1:12" ht="18.75" customHeight="1">
      <c r="A6" s="128"/>
      <c r="B6" s="129"/>
      <c r="C6" s="130"/>
      <c r="D6" s="131"/>
      <c r="E6" s="132"/>
      <c r="F6" s="46"/>
      <c r="G6" s="46"/>
      <c r="K6" s="48"/>
      <c r="L6" s="33">
        <f t="shared" si="0"/>
        <v>0</v>
      </c>
    </row>
    <row r="7" spans="1:12" ht="18.75" customHeight="1">
      <c r="A7" s="126"/>
      <c r="B7" s="127"/>
      <c r="C7" s="45"/>
      <c r="D7" s="48"/>
      <c r="E7" s="126"/>
      <c r="F7" s="47"/>
      <c r="G7" s="47"/>
      <c r="K7" s="48"/>
      <c r="L7" s="33">
        <f t="shared" si="0"/>
        <v>0</v>
      </c>
    </row>
    <row r="8" spans="1:12" ht="18.75" customHeight="1">
      <c r="A8" s="133"/>
      <c r="B8" s="134"/>
      <c r="C8" s="43"/>
      <c r="D8" s="44"/>
      <c r="E8" s="133"/>
      <c r="F8" s="47"/>
      <c r="G8" s="47"/>
      <c r="K8" s="44"/>
      <c r="L8" s="33">
        <f t="shared" si="0"/>
        <v>0</v>
      </c>
    </row>
    <row r="9" spans="1:12">
      <c r="A9" s="46"/>
      <c r="B9" s="135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181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179</v>
      </c>
      <c r="G13" s="116">
        <v>5550</v>
      </c>
      <c r="L13" s="33">
        <f t="shared" si="0"/>
        <v>0</v>
      </c>
    </row>
    <row r="14" spans="1:12" ht="15.75">
      <c r="A14" s="30"/>
      <c r="F14" s="145"/>
      <c r="G14" s="146"/>
      <c r="L14" s="33">
        <f t="shared" si="0"/>
        <v>0</v>
      </c>
    </row>
    <row r="15" spans="1:12" ht="15.75">
      <c r="A15" s="30"/>
      <c r="F15" s="115"/>
      <c r="G15" s="117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20081.28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20081.28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54137.88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54137.88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29172.12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29172.12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16282.08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16282.08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6784.2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6784.2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28764.959999999999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28764.959999999999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41">
        <f>(E46*G52*F54*6+E46*G52*G54*6)+(F46*G58*F60*6+F46*G58*G60*6)+(F46*G62*F64*6+F46*G62*G64*6)</f>
        <v>25240.439699999999</v>
      </c>
      <c r="C46" s="142" t="s">
        <v>68</v>
      </c>
      <c r="D46" s="50">
        <v>12</v>
      </c>
      <c r="E46" s="141">
        <v>593.1</v>
      </c>
      <c r="F46" s="141">
        <v>147.80000000000001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25240.439699999999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3"/>
      <c r="C47" s="142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4" t="s">
        <v>193</v>
      </c>
      <c r="F51" s="144" t="s">
        <v>194</v>
      </c>
      <c r="G51" s="144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/>
      <c r="F52" s="141">
        <v>1129.2</v>
      </c>
      <c r="G52" s="144">
        <v>2.5</v>
      </c>
      <c r="H52" s="144">
        <f>G52*E46/F52</f>
        <v>1.3130977683315621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/>
      <c r="F53" s="144" t="s">
        <v>196</v>
      </c>
      <c r="G53" s="144" t="s">
        <v>197</v>
      </c>
      <c r="H53" s="144">
        <f>H52*G55</f>
        <v>27.575053134962804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>
        <v>1.17</v>
      </c>
      <c r="G54" s="144">
        <v>1.23</v>
      </c>
      <c r="H54" s="144"/>
    </row>
    <row r="55" spans="5:16">
      <c r="E55" s="144"/>
      <c r="F55" s="144"/>
      <c r="G55" s="144">
        <v>21</v>
      </c>
      <c r="H55" s="144"/>
    </row>
    <row r="56" spans="5:16">
      <c r="E56" s="144"/>
      <c r="F56" s="144"/>
      <c r="G56" s="144"/>
      <c r="H56" s="144"/>
    </row>
    <row r="57" spans="5:16">
      <c r="E57" s="144" t="s">
        <v>198</v>
      </c>
      <c r="F57" s="144"/>
      <c r="G57" s="144"/>
      <c r="H57" s="144"/>
    </row>
    <row r="58" spans="5:16">
      <c r="E58" s="144"/>
      <c r="F58" s="141">
        <f>F52</f>
        <v>1129.2</v>
      </c>
      <c r="G58" s="144">
        <v>7.4999999999999997E-2</v>
      </c>
      <c r="H58" s="144">
        <f>G58*F46</f>
        <v>11.085000000000001</v>
      </c>
    </row>
    <row r="59" spans="5:16">
      <c r="E59" s="144"/>
      <c r="F59" s="144" t="s">
        <v>196</v>
      </c>
      <c r="G59" s="144" t="s">
        <v>197</v>
      </c>
      <c r="H59" s="144">
        <f>H58/F58</f>
        <v>9.8166843783209362E-3</v>
      </c>
    </row>
    <row r="60" spans="5:16">
      <c r="E60" s="144"/>
      <c r="F60" s="144">
        <v>12.94</v>
      </c>
      <c r="G60" s="144">
        <v>13.45</v>
      </c>
      <c r="H60" s="144">
        <f>H59*G55</f>
        <v>0.20615037194473967</v>
      </c>
    </row>
    <row r="61" spans="5:16">
      <c r="E61" s="144" t="s">
        <v>199</v>
      </c>
      <c r="F61" s="144"/>
      <c r="G61" s="144"/>
      <c r="H61" s="144"/>
    </row>
    <row r="62" spans="5:16">
      <c r="E62" s="144"/>
      <c r="F62" s="141">
        <f>F52</f>
        <v>1129.2</v>
      </c>
      <c r="G62" s="144">
        <v>7.4999999999999997E-2</v>
      </c>
      <c r="H62" s="144">
        <f>G62*F46</f>
        <v>11.085000000000001</v>
      </c>
    </row>
    <row r="63" spans="5:16">
      <c r="E63" s="144"/>
      <c r="F63" s="144" t="s">
        <v>196</v>
      </c>
      <c r="G63" s="144" t="s">
        <v>197</v>
      </c>
      <c r="H63" s="144">
        <f>H62/F62</f>
        <v>9.8166843783209362E-3</v>
      </c>
    </row>
    <row r="64" spans="5:16">
      <c r="E64" s="144"/>
      <c r="F64" s="144">
        <v>15.73</v>
      </c>
      <c r="G64" s="144">
        <v>16.350000000000001</v>
      </c>
      <c r="H64" s="144">
        <f>H63*G55</f>
        <v>0.20615037194473967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4" sqref="C3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1130.7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108151.08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235102.05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161154.26999999999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73947.78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252761.34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252761.34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252761.34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90491.790000000008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80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80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80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80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9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9"/>
      <c r="N26" s="65"/>
    </row>
    <row r="27" spans="1:15" ht="18.75" customHeight="1">
      <c r="A27" s="72" t="s">
        <v>104</v>
      </c>
      <c r="B27" s="77" t="s">
        <v>4</v>
      </c>
      <c r="C27" s="88">
        <v>103945.58</v>
      </c>
      <c r="D27" s="83" t="s">
        <v>60</v>
      </c>
      <c r="E27" s="66"/>
      <c r="F27" s="66"/>
      <c r="G27" s="66"/>
      <c r="H27" s="66"/>
      <c r="I27" s="66"/>
      <c r="J27" s="66"/>
      <c r="M27" s="179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9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9"/>
      <c r="N29" s="65"/>
    </row>
    <row r="30" spans="1:15" ht="18.75" customHeight="1">
      <c r="A30" s="72" t="s">
        <v>107</v>
      </c>
      <c r="B30" s="77" t="s">
        <v>18</v>
      </c>
      <c r="C30" s="88">
        <v>77904.61</v>
      </c>
      <c r="D30" s="83" t="s">
        <v>66</v>
      </c>
      <c r="E30" s="66"/>
      <c r="F30" s="66"/>
      <c r="G30" s="66"/>
      <c r="H30" s="66"/>
      <c r="I30" s="66"/>
      <c r="J30" s="66"/>
      <c r="M30" s="179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9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9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9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9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95864.67</v>
      </c>
      <c r="F37" s="96" t="s">
        <v>166</v>
      </c>
      <c r="G37" s="68"/>
      <c r="H37" s="68"/>
      <c r="I37" s="68"/>
      <c r="L37" s="65"/>
      <c r="M37" s="178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79887.23</v>
      </c>
      <c r="D38" s="96" t="s">
        <v>164</v>
      </c>
      <c r="E38" s="70"/>
      <c r="G38" s="69"/>
      <c r="H38" s="69"/>
      <c r="L38" s="65"/>
      <c r="M38" s="178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101793.81</v>
      </c>
      <c r="D39" s="96" t="s">
        <v>165</v>
      </c>
      <c r="E39" s="70"/>
      <c r="G39" s="69"/>
      <c r="H39" s="69"/>
      <c r="L39" s="65"/>
      <c r="M39" s="178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8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95864.67</v>
      </c>
      <c r="D41" s="82" t="s">
        <v>59</v>
      </c>
      <c r="E41" s="70"/>
      <c r="G41" s="69"/>
      <c r="H41" s="69"/>
      <c r="L41" s="65"/>
      <c r="M41" s="178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95864.67</v>
      </c>
      <c r="D42" s="82" t="s">
        <v>59</v>
      </c>
      <c r="E42" s="70"/>
      <c r="G42" s="69"/>
      <c r="H42" s="69"/>
      <c r="L42" s="65"/>
      <c r="M42" s="178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8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8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29617.23</v>
      </c>
      <c r="F45" s="96" t="s">
        <v>166</v>
      </c>
      <c r="G45" s="68"/>
      <c r="H45" s="68"/>
      <c r="L45" s="65"/>
      <c r="M45" s="178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2243.73</v>
      </c>
      <c r="D46" s="96" t="s">
        <v>167</v>
      </c>
      <c r="E46" s="70"/>
      <c r="G46" s="69"/>
      <c r="H46" s="69"/>
      <c r="L46" s="65"/>
      <c r="M46" s="178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34890.53</v>
      </c>
      <c r="D47" s="96" t="s">
        <v>165</v>
      </c>
      <c r="E47" s="70"/>
      <c r="G47" s="69"/>
      <c r="H47" s="69"/>
      <c r="L47" s="65"/>
      <c r="M47" s="178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8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29617.23</v>
      </c>
      <c r="D49" s="82" t="s">
        <v>59</v>
      </c>
      <c r="E49" s="70"/>
      <c r="G49" s="69"/>
      <c r="H49" s="69"/>
      <c r="L49" s="65"/>
      <c r="M49" s="178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29617.23</v>
      </c>
      <c r="D50" s="82" t="s">
        <v>59</v>
      </c>
      <c r="E50" s="70"/>
      <c r="G50" s="69"/>
      <c r="H50" s="69"/>
      <c r="L50" s="65"/>
      <c r="M50" s="178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8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8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62117.2</v>
      </c>
      <c r="F53" s="96" t="s">
        <v>166</v>
      </c>
      <c r="G53" s="68"/>
      <c r="H53" s="68"/>
      <c r="L53" s="65"/>
      <c r="M53" s="178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3872.64</v>
      </c>
      <c r="D54" s="96" t="s">
        <v>167</v>
      </c>
      <c r="E54" s="71"/>
      <c r="F54" s="91"/>
      <c r="G54" s="66"/>
      <c r="H54" s="66"/>
      <c r="L54" s="65"/>
      <c r="M54" s="178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72802.509999999995</v>
      </c>
      <c r="D55" s="96" t="s">
        <v>165</v>
      </c>
      <c r="E55" s="71"/>
      <c r="G55" s="66"/>
      <c r="H55" s="66"/>
      <c r="L55" s="65"/>
      <c r="M55" s="178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8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62117.2</v>
      </c>
      <c r="D57" s="82" t="s">
        <v>59</v>
      </c>
      <c r="E57" s="71"/>
      <c r="G57" s="66"/>
      <c r="H57" s="66"/>
      <c r="L57" s="65"/>
      <c r="M57" s="178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62117.2</v>
      </c>
      <c r="D58" s="82" t="s">
        <v>59</v>
      </c>
      <c r="E58" s="71"/>
      <c r="G58" s="66"/>
      <c r="H58" s="66"/>
      <c r="L58" s="65"/>
      <c r="M58" s="178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8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8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 t="str">
        <f>IF(E69&gt;0,"Предоставляется",0)</f>
        <v>Предоставляется</v>
      </c>
      <c r="D69" s="98" t="s">
        <v>55</v>
      </c>
      <c r="E69" s="97">
        <v>20460.169999999998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1550.01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24613.39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20460.169999999998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20460.169999999998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1" sqref="B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5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92336.12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2022-03-28T02:02:53Z</dcterms:modified>
</cp:coreProperties>
</file>