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4" i="2" l="1"/>
  <c r="H65" i="2" s="1"/>
  <c r="H66" i="2" s="1"/>
  <c r="H60" i="2"/>
  <c r="H61" i="2" s="1"/>
  <c r="H62" i="2" s="1"/>
  <c r="H54" i="2"/>
  <c r="H55" i="2" s="1"/>
  <c r="B48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1" i="1"/>
  <c r="G110" i="1"/>
  <c r="J109" i="1"/>
  <c r="J104" i="1"/>
  <c r="J103" i="1"/>
  <c r="A109" i="1"/>
  <c r="A108" i="1"/>
  <c r="A106" i="1"/>
  <c r="A105" i="1"/>
  <c r="A104" i="1"/>
  <c r="G102" i="1"/>
  <c r="F102" i="1"/>
  <c r="D102" i="1"/>
  <c r="J101" i="1"/>
  <c r="J96" i="1"/>
  <c r="J95" i="1"/>
  <c r="A100" i="1"/>
  <c r="A99" i="1"/>
  <c r="A96" i="1"/>
  <c r="G94" i="1"/>
  <c r="F94" i="1"/>
  <c r="K94" i="1"/>
  <c r="A110" i="1" l="1"/>
  <c r="A95" i="1"/>
  <c r="A101" i="1"/>
  <c r="A94" i="1"/>
  <c r="A97" i="1"/>
  <c r="D94" i="1"/>
  <c r="A123" i="1"/>
  <c r="A119" i="1"/>
  <c r="A118" i="1"/>
  <c r="D110" i="1"/>
  <c r="A112" i="1"/>
  <c r="A116" i="1"/>
  <c r="A114" i="1"/>
  <c r="F110" i="1"/>
  <c r="A113" i="1"/>
  <c r="A102" i="1"/>
  <c r="A103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<sst xmlns="http://schemas.openxmlformats.org/spreadsheetml/2006/main" count="574" uniqueCount="217">
  <si>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</si>
  <si>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</si>
  <si>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</si>
  <si>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</si>
  <si>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</si>
  <si>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</si>
  <si>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</si>
  <si>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</si>
  <si>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</si>
  <si>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</si>
  <si>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</si>
  <si>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</si>
  <si>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</si>
  <si>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</si>
  <si>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</si>
  <si>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</si>
  <si>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</si>
  <si>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</si>
  <si>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</si>
  <si>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</si>
  <si>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</si>
  <si>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</si>
  <si>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</si>
  <si>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</si>
  <si>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</si>
  <si>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</si>
  <si>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</si>
  <si>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</si>
  <si>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</si>
  <si>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</si>
  <si>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</si>
  <si>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</si>
  <si>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</si>
  <si>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</si>
  <si>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</si>
  <si>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</si>
  <si>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</si>
  <si>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</si>
  <si>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</si>
  <si>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</si>
  <si>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</si>
  <si>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</si>
  <si>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</si>
  <si>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</si>
  <si>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</si>
  <si>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</si>
  <si>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</si>
  <si>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</si>
  <si>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</si>
  <si>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</si>
  <si>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</si>
  <si>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</si>
  <si>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</si>
  <si>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</si>
  <si>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</si>
  <si>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</si>
  <si>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</si>
  <si>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</si>
  <si>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</si>
  <si>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</si>
  <si>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</si>
  <si>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</si>
  <si>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</si>
  <si>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</si>
  <si>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</si>
  <si>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</si>
  <si>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</si>
  <si>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</si>
  <si>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</si>
  <si>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</si>
  <si>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</si>
  <si>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</si>
  <si>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</si>
  <si>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</si>
  <si>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</si>
  <si>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</si>
  <si>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</si>
  <si>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</si>
  <si>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</si>
  <si>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</si>
  <si>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</si>
  <si>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</si>
  <si>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</si>
  <si>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</si>
  <si>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</si>
  <si>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</si>
  <si>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</si>
  <si>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</si>
  <si>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</si>
  <si>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</si>
  <si>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</si>
  <si>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</si>
  <si>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</si>
  <si>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</si>
  <si>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</si>
  <si>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</si>
  <si>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</si>
  <si>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</si>
  <si>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</si>
  <si>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</si>
  <si>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</si>
  <si>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</si>
  <si>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</si>
  <si>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</si>
  <si>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</si>
  <si>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</si>
  <si>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</si>
  <si>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</si>
  <si>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</si>
  <si>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</si>
  <si>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</si>
  <si>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</si>
  <si>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</si>
  <si>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</si>
  <si>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</si>
  <si>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</si>
  <si>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</si>
  <si>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</si>
  <si>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</si>
  <si>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</si>
  <si>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</si>
  <si>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</si>
  <si>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</si>
  <si>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</si>
  <si>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</si>
  <si>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</si>
  <si>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</si>
  <si>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</si>
  <si>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</si>
  <si>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</si>
  <si>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</si>
  <si>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</si>
  <si>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</si>
  <si>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</si>
  <si>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</si>
  <si>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</si>
  <si>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</si>
  <si>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</si>
  <si>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</si>
  <si>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</si>
  <si>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</si>
  <si>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</si>
  <si>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</si>
  <si>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</si>
  <si>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</si>
  <si>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</si>
  <si>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</si>
  <si>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</si>
  <si>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</si>
  <si>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</si>
  <si>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</si>
  <si>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</si>
  <si>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</si>
  <si>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</si>
  <si>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</si>
  <si>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</si>
  <si>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</si>
  <si>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</si>
  <si>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</si>
  <si>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</si>
  <si>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</si>
  <si>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</si>
  <si>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</si>
  <si>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</si>
  <si>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</si>
  <si>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</si>
  <si>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</si>
  <si>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</si>
  <si>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</si>
  <si>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</si>
  <si>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</si>
  <si>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</si>
  <si>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</si>
  <si>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</si>
  <si>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</si>
  <si>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26</t>
  </si>
  <si>
    <t>Техническое освидетельствование лифтов.</t>
  </si>
  <si>
    <t>ежегодно</t>
  </si>
  <si>
    <t>разово</t>
  </si>
  <si>
    <t>площадь дома</t>
  </si>
  <si>
    <t>принято с 01.01.2018</t>
  </si>
  <si>
    <t>начисления с 01.01.2018</t>
  </si>
  <si>
    <t xml:space="preserve">  -  техническое освидетельствование лифтов</t>
  </si>
  <si>
    <t xml:space="preserve">  - благоустройство придомовой территории</t>
  </si>
  <si>
    <t>Отчет об исполнении договора управления многоквартирного дома 
Касьянова, 26 в части текущего ремонта</t>
  </si>
  <si>
    <t>Приобретение и установка ОДПУ электрической энергии.</t>
  </si>
  <si>
    <t>АВР 1/21 от 31.03.2021, Решение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</si>
  <si>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</si>
  <si>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</si>
  <si>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</si>
  <si>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</si>
  <si>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</si>
  <si>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приварных шаровых кранов на ИТП (5 шт.).</t>
  </si>
  <si>
    <t>АВР 2/21 от 26.07.2021, Решение, счет №03622 от 07.07.2021</t>
  </si>
  <si>
    <t>Приобретение частотного преобразователя для работы лифта.</t>
  </si>
  <si>
    <t>Генеральная уборка подъезда.</t>
  </si>
  <si>
    <t>АВР 3/21 от 22.10.2021, Решение</t>
  </si>
  <si>
    <t>Приобретение и установка фотоэлементов для шлагбаума.</t>
  </si>
  <si>
    <t>Приобретение и установка информационного стенда на детскую площадку.</t>
  </si>
  <si>
    <t>АВР 4/21 от 29.11.2021</t>
  </si>
  <si>
    <t>Приобретение и установка зеркала в кабине лифта (2 подъезд).</t>
  </si>
  <si>
    <t>АВР 6/21 от 15.12.2021, Решение, счет №549 от 10.11.2021</t>
  </si>
  <si>
    <t>АВР 5/21 от 15.12.2021, Решение, счет №171121 от 17.11.2021</t>
  </si>
  <si>
    <t>АВР 7/21 от 15.12.2021, Решение, счет №423 от 20.10.2021</t>
  </si>
  <si>
    <t>Коммунальные ресурсы на содержание общего имущества</t>
  </si>
  <si>
    <t>Электр</t>
  </si>
  <si>
    <t>площадь по 1С</t>
  </si>
  <si>
    <t>Тариф 1полуг.</t>
  </si>
  <si>
    <t>Тариф 2полуг.</t>
  </si>
  <si>
    <t>ХВС</t>
  </si>
  <si>
    <t>Водоотв</t>
  </si>
  <si>
    <t>АВР 8/21 от 30.12.2021, Решение, счет №493 от 14.10.2021</t>
  </si>
  <si>
    <t>АВР 9/21 от 31.12.2021</t>
  </si>
  <si>
    <t xml:space="preserve">  -  ремонт отмостки</t>
  </si>
  <si>
    <t>Модернизация шлагбаума (монтаж вызывной панели).</t>
  </si>
  <si>
    <t>норматив мопс</t>
  </si>
  <si>
    <t xml:space="preserve">  -  ремонт теплового узла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</si>
</sst>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</cellStyleXfs>
  <cellXfs count="187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14" fillId="0" borderId="0" xfId="5" applyNumberFormat="1" applyFill="1" applyBorder="1" applyAlignment="1">
      <alignment vertical="center"/>
    </xf>
    <xf numFmtId="0" fontId="0" fillId="6" borderId="0" xfId="0" applyFill="1" applyProtection="1">
      <protection locked="0"/>
    </xf>
    <xf numFmtId="0" fontId="15" fillId="0" borderId="0" xfId="4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2" fillId="0" borderId="0" xfId="2" applyFont="1" applyFill="1" applyBorder="1" applyAlignment="1"/>
    <xf numFmtId="0" fontId="12" fillId="0" borderId="0" xfId="10" applyFont="1" applyFill="1" applyBorder="1" applyAlignment="1">
      <alignment horizontal="center"/>
    </xf>
    <xf numFmtId="4" fontId="11" fillId="0" borderId="0" xfId="14" applyNumberFormat="1" applyFill="1" applyBorder="1" applyAlignment="1">
      <alignment vertical="center"/>
    </xf>
    <xf numFmtId="4" fontId="0" fillId="0" borderId="0" xfId="0" applyNumberFormat="1" applyFill="1"/>
    <xf numFmtId="0" fontId="0" fillId="0" borderId="0" xfId="0" applyFill="1"/>
    <xf numFmtId="0" fontId="10" fillId="0" borderId="0" xfId="14" applyFont="1" applyFill="1" applyBorder="1" applyAlignment="1"/>
    <xf numFmtId="0" fontId="10" fillId="0" borderId="0" xfId="14" applyFont="1" applyFill="1" applyBorder="1" applyAlignment="1">
      <alignment horizontal="center"/>
    </xf>
    <xf numFmtId="0" fontId="11" fillId="0" borderId="0" xfId="14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9" applyFont="1" applyFill="1" applyBorder="1" applyAlignment="1"/>
    <xf numFmtId="0" fontId="7" fillId="0" borderId="0" xfId="9" applyFont="1" applyFill="1" applyBorder="1" applyAlignment="1">
      <alignment horizontal="center"/>
    </xf>
    <xf numFmtId="0" fontId="13" fillId="0" borderId="0" xfId="9" applyNumberFormat="1" applyFill="1" applyBorder="1" applyAlignment="1">
      <alignment horizontal="center"/>
    </xf>
    <xf numFmtId="4" fontId="13" fillId="0" borderId="0" xfId="9" applyNumberFormat="1" applyFill="1" applyBorder="1" applyAlignment="1">
      <alignment vertical="center"/>
    </xf>
    <xf numFmtId="0" fontId="9" fillId="0" borderId="0" xfId="9" applyFont="1" applyFill="1" applyBorder="1" applyAlignment="1">
      <alignment horizontal="center"/>
    </xf>
    <xf numFmtId="0" fontId="5" fillId="0" borderId="0" xfId="9" applyFont="1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14" fillId="0" borderId="0" xfId="5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1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8" fillId="0" borderId="0" xfId="14" applyFont="1" applyFill="1" applyBorder="1" applyAlignment="1"/>
    <xf numFmtId="0" fontId="8" fillId="0" borderId="0" xfId="14" applyFont="1" applyFill="1" applyBorder="1" applyAlignment="1">
      <alignment horizontal="center"/>
    </xf>
    <xf numFmtId="0" fontId="11" fillId="0" borderId="0" xfId="14" applyFill="1" applyBorder="1" applyAlignment="1">
      <alignment horizontal="center" vertical="center"/>
    </xf>
    <xf numFmtId="4" fontId="11" fillId="0" borderId="0" xfId="14" applyNumberFormat="1" applyFill="1" applyBorder="1" applyAlignment="1"/>
    <xf numFmtId="0" fontId="14" fillId="0" borderId="0" xfId="5" applyFill="1" applyBorder="1" applyAlignment="1"/>
    <xf numFmtId="0" fontId="14" fillId="0" borderId="0" xfId="5" applyFill="1" applyBorder="1" applyAlignment="1">
      <alignment horizontal="center"/>
    </xf>
    <xf numFmtId="4" fontId="2" fillId="0" borderId="0" xfId="5" applyNumberFormat="1" applyFont="1" applyFill="1" applyBorder="1"/>
    <xf numFmtId="0" fontId="1" fillId="0" borderId="0" xfId="9" applyFont="1" applyFill="1" applyBorder="1" applyAlignment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6"/>
    <cellStyle name="Обычный 2 4" xfId="11"/>
    <cellStyle name="Обычный 2 5" xfId="16"/>
    <cellStyle name="Обычный 3" xfId="2"/>
    <cellStyle name="Обычный 3 2" xfId="7"/>
    <cellStyle name="Обычный 3 3" xfId="12"/>
    <cellStyle name="Обычный 4" xfId="4"/>
    <cellStyle name="Обычный 4 2" xfId="8"/>
    <cellStyle name="Обычный 4 3" xfId="13"/>
    <cellStyle name="Обычный 5" xfId="5"/>
    <cellStyle name="Обычный 5 2" xfId="9"/>
    <cellStyle name="Обычный 5 3" xfId="14"/>
    <cellStyle name="Обычный 6" xfId="10"/>
    <cellStyle name="Обычный 6 2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2" sqref="N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3" t="s">
        <v>175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9"/>
      <c r="L8" s="174"/>
      <c r="M8" s="109"/>
      <c r="N8" s="109"/>
      <c r="O8" s="70" t="s">
        <v>81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9"/>
      <c r="L9" s="174"/>
      <c r="M9" s="109"/>
      <c r="N9" s="109"/>
      <c r="O9" s="70" t="s">
        <v>82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146713.31</v>
      </c>
      <c r="K10" s="109"/>
      <c r="L10" s="174"/>
      <c r="M10" s="109"/>
      <c r="N10" s="109"/>
      <c r="O10" s="70" t="s">
        <v>83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1461269.1939999999</v>
      </c>
      <c r="K11" s="109"/>
      <c r="L11" s="174"/>
      <c r="M11" s="109"/>
      <c r="N11" s="109"/>
      <c r="O11" s="70" t="s">
        <v>84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821839.05</v>
      </c>
      <c r="K12" s="109"/>
      <c r="L12" s="174"/>
      <c r="M12" s="109"/>
      <c r="N12" s="109"/>
      <c r="O12" s="70" t="s">
        <v>85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325182.38399999996</v>
      </c>
      <c r="K13" s="109"/>
      <c r="L13" s="174"/>
      <c r="M13" s="109"/>
      <c r="N13" s="109"/>
      <c r="O13" s="70" t="s">
        <v>86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314247.76</v>
      </c>
      <c r="K14" s="109"/>
      <c r="L14" s="174"/>
      <c r="M14" s="109"/>
      <c r="N14" s="109"/>
      <c r="O14" s="70" t="s">
        <v>87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1404295.95</v>
      </c>
      <c r="K15" s="109"/>
      <c r="L15" s="174"/>
      <c r="M15" s="109"/>
      <c r="N15" s="109"/>
      <c r="O15" s="70" t="s">
        <v>88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1404295.95</v>
      </c>
      <c r="K16" s="109"/>
      <c r="L16" s="174"/>
      <c r="M16" s="109"/>
      <c r="N16" s="109"/>
      <c r="O16" s="70" t="s">
        <v>89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9"/>
      <c r="L17" s="174"/>
      <c r="M17" s="109"/>
      <c r="N17" s="109"/>
      <c r="O17" s="70" t="s">
        <v>90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9"/>
      <c r="L18" s="174"/>
      <c r="M18" s="109"/>
      <c r="N18" s="109"/>
      <c r="O18" s="70" t="s">
        <v>91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9"/>
      <c r="L19" s="174"/>
      <c r="M19" s="109"/>
      <c r="N19" s="109"/>
      <c r="O19" s="70" t="s">
        <v>92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9"/>
      <c r="L20" s="174"/>
      <c r="M20" s="109"/>
      <c r="N20" s="109"/>
      <c r="O20" s="70" t="s">
        <v>93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1404295.95</v>
      </c>
      <c r="K21" s="109"/>
      <c r="L21" s="174"/>
      <c r="M21" s="109"/>
      <c r="N21" s="109"/>
      <c r="O21" s="70" t="s">
        <v>94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9"/>
      <c r="L22" s="174"/>
      <c r="M22" s="109"/>
      <c r="N22" s="109"/>
      <c r="O22" s="70" t="s">
        <v>95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9"/>
      <c r="L23" s="174"/>
      <c r="M23" s="109"/>
      <c r="N23" s="109"/>
      <c r="O23" s="70" t="s">
        <v>96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203686.554</v>
      </c>
      <c r="K24" s="109"/>
      <c r="L24" s="17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6" t="s">
        <v>19</v>
      </c>
      <c r="B27" s="166"/>
      <c r="C27" s="166"/>
      <c r="D27" s="166"/>
      <c r="E27" s="166"/>
      <c r="F27" s="166" t="s">
        <v>20</v>
      </c>
      <c r="G27" s="166"/>
      <c r="H27" s="5" t="s">
        <v>57</v>
      </c>
      <c r="I27" s="166" t="s">
        <v>21</v>
      </c>
      <c r="J27" s="166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224491.44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8">
        <f>ПТО!A40</f>
        <v>0</v>
      </c>
      <c r="B29" s="158"/>
      <c r="C29" s="158"/>
      <c r="D29" s="158"/>
      <c r="E29" s="158"/>
      <c r="F29" s="163" t="e">
        <f>VLOOKUP(A29,ПТО!$A$39:$D$53,2,FALSE)</f>
        <v>#N/A</v>
      </c>
      <c r="G29" s="163"/>
      <c r="H29" s="42" t="e">
        <f>VLOOKUP(A29,ПТО!$A$39:$D$53,3,FALSE)</f>
        <v>#N/A</v>
      </c>
      <c r="I29" s="159" t="e">
        <f>VLOOKUP(A29,ПТО!$A$39:$D$53,4,FALSE)</f>
        <v>#N/A</v>
      </c>
      <c r="J29" s="159"/>
      <c r="K29" s="109"/>
      <c r="L29" s="175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63">
        <f>VLOOKUP(A30,ПТО!$A$39:$D$53,2,FALSE)</f>
        <v>203032.68</v>
      </c>
      <c r="G30" s="163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94913.64</v>
      </c>
      <c r="G31" s="163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7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67677.600000000006</v>
      </c>
      <c r="G33" s="163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179923.20000000001</v>
      </c>
      <c r="G34" s="163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Работы по содержанию лифта (лифтов)</v>
      </c>
      <c r="B35" s="158"/>
      <c r="C35" s="158"/>
      <c r="D35" s="158"/>
      <c r="E35" s="158"/>
      <c r="F35" s="163">
        <f>VLOOKUP(A35,ПТО!$A$39:$D$53,2,FALSE)</f>
        <v>159289.79999999999</v>
      </c>
      <c r="G35" s="163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75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63" t="e">
        <f>VLOOKUP(A36,ПТО!$A$39:$D$53,2,FALSE)</f>
        <v>#N/A</v>
      </c>
      <c r="G36" s="163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75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58" t="str">
        <f>ПТО!A48</f>
        <v>Коммунальные ресурсы на содержание общего имущества</v>
      </c>
      <c r="B37" s="158"/>
      <c r="C37" s="158"/>
      <c r="D37" s="158"/>
      <c r="E37" s="158"/>
      <c r="F37" s="163">
        <f>VLOOKUP(A37,ПТО!$A$39:$D$53,2,FALSE)</f>
        <v>65940.613649999999</v>
      </c>
      <c r="G37" s="163"/>
      <c r="H37" s="42" t="str">
        <f>VLOOKUP(A37,ПТО!$A$39:$D$53,3,FALSE)</f>
        <v>Ежемесячно</v>
      </c>
      <c r="I37" s="159">
        <f>VLOOKUP(A37,ПТО!$A$39:$D$53,4,FALSE)</f>
        <v>12</v>
      </c>
      <c r="J37" s="159"/>
      <c r="K37" s="109"/>
      <c r="L37" s="175"/>
      <c r="M37" s="115"/>
      <c r="N37" s="109"/>
      <c r="O37" s="23" t="str">
        <f t="shared" si="1"/>
        <v>Коммунальные ресурсы на содержание общего имущества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7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7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7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7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7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освидетельствование лифтов.</v>
      </c>
      <c r="B43" s="158"/>
      <c r="C43" s="158"/>
      <c r="D43" s="158"/>
      <c r="E43" s="158"/>
      <c r="F43" s="163">
        <f>VLOOKUP(A43,ПТО!$A$2:$D$31,4,FALSE)</f>
        <v>16200</v>
      </c>
      <c r="G43" s="163"/>
      <c r="H43" s="19" t="str">
        <f>VLOOKUP(A43,ПТО!$A$2:$D$31,2,FALSE)</f>
        <v>ежегодно</v>
      </c>
      <c r="I43" s="159">
        <f>VLOOKUP(A43,ПТО!$A$2:$D$31,3,FALSE)</f>
        <v>2</v>
      </c>
      <c r="J43" s="159"/>
      <c r="K43" s="109"/>
      <c r="L43" s="175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8" t="str">
        <f>ПТО!A3</f>
        <v>Приобретение и установка ОДПУ электрической энергии.</v>
      </c>
      <c r="B44" s="158"/>
      <c r="C44" s="158"/>
      <c r="D44" s="158"/>
      <c r="E44" s="158"/>
      <c r="F44" s="163">
        <f>VLOOKUP(A44,ПТО!$A$2:$D$31,4,FALSE)</f>
        <v>26222.37</v>
      </c>
      <c r="G44" s="163"/>
      <c r="H44" s="25" t="str">
        <f>VLOOKUP(A44,ПТО!$A$2:$D$31,2,FALSE)</f>
        <v>разово</v>
      </c>
      <c r="I44" s="159">
        <f>VLOOKUP(A44,ПТО!$A$2:$D$31,3,FALSE)</f>
        <v>1</v>
      </c>
      <c r="J44" s="159"/>
      <c r="K44" s="109"/>
      <c r="L44" s="175"/>
      <c r="M44" s="115"/>
      <c r="N44" s="109"/>
      <c r="O44" s="23" t="str">
        <f t="shared" si="1"/>
        <v>Приобретение и установка ОДПУ электрической энергии.</v>
      </c>
      <c r="R44" s="22" t="s">
        <v>72</v>
      </c>
    </row>
    <row r="45" spans="1:18" ht="51" customHeight="1" outlineLevel="1">
      <c r="A45" s="158" t="str">
        <f>ПТО!A4</f>
        <v>Замена приварных шаровых кранов на ИТП (5 шт.).</v>
      </c>
      <c r="B45" s="158"/>
      <c r="C45" s="158"/>
      <c r="D45" s="158"/>
      <c r="E45" s="158"/>
      <c r="F45" s="163">
        <f>VLOOKUP(A45,ПТО!$A$2:$D$31,4,FALSE)</f>
        <v>13462</v>
      </c>
      <c r="G45" s="163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75"/>
      <c r="M45" s="115"/>
      <c r="N45" s="109"/>
      <c r="O45" s="23" t="str">
        <f t="shared" si="1"/>
        <v>Замена приварных шаровых кранов на ИТП (5 шт.).</v>
      </c>
      <c r="R45" s="22" t="s">
        <v>72</v>
      </c>
    </row>
    <row r="46" spans="1:18" ht="51" customHeight="1" outlineLevel="1">
      <c r="A46" s="158" t="str">
        <f>ПТО!A5</f>
        <v>Генеральная уборка подъезда.</v>
      </c>
      <c r="B46" s="158"/>
      <c r="C46" s="158"/>
      <c r="D46" s="158"/>
      <c r="E46" s="158"/>
      <c r="F46" s="163">
        <f>VLOOKUP(A46,ПТО!$A$2:$D$31,4,FALSE)</f>
        <v>4000</v>
      </c>
      <c r="G46" s="163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75"/>
      <c r="M46" s="115"/>
      <c r="N46" s="109"/>
      <c r="O46" s="23" t="str">
        <f t="shared" si="1"/>
        <v>Генеральная уборка подъезда.</v>
      </c>
      <c r="R46" s="22" t="s">
        <v>72</v>
      </c>
    </row>
    <row r="47" spans="1:18" ht="51" customHeight="1" outlineLevel="1">
      <c r="A47" s="158" t="str">
        <f>ПТО!A6</f>
        <v>Приобретение и установка информационного стенда на детскую площадку.</v>
      </c>
      <c r="B47" s="158"/>
      <c r="C47" s="158"/>
      <c r="D47" s="158"/>
      <c r="E47" s="158"/>
      <c r="F47" s="163">
        <f>VLOOKUP(A47,ПТО!$A$2:$D$31,4,FALSE)</f>
        <v>500</v>
      </c>
      <c r="G47" s="163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75"/>
      <c r="M47" s="115"/>
      <c r="N47" s="109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58" t="str">
        <f>ПТО!A7</f>
        <v>Приобретение и установка фотоэлементов для шлагбаума.</v>
      </c>
      <c r="B48" s="158"/>
      <c r="C48" s="158"/>
      <c r="D48" s="158"/>
      <c r="E48" s="158"/>
      <c r="F48" s="163">
        <f>VLOOKUP(A48,ПТО!$A$2:$D$31,4,FALSE)</f>
        <v>3127</v>
      </c>
      <c r="G48" s="163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75"/>
      <c r="M48" s="115"/>
      <c r="N48" s="109"/>
      <c r="O48" s="23" t="str">
        <f t="shared" si="1"/>
        <v>Приобретение и установка фотоэлементов для шлагбаума.</v>
      </c>
      <c r="R48" s="22" t="s">
        <v>72</v>
      </c>
    </row>
    <row r="49" spans="1:18" ht="51" customHeight="1" outlineLevel="1">
      <c r="A49" s="158" t="str">
        <f>ПТО!A8</f>
        <v>Приобретение и установка зеркала в кабине лифта (2 подъезд).</v>
      </c>
      <c r="B49" s="158"/>
      <c r="C49" s="158"/>
      <c r="D49" s="158"/>
      <c r="E49" s="158"/>
      <c r="F49" s="163">
        <f>VLOOKUP(A49,ПТО!$A$2:$D$31,4,FALSE)</f>
        <v>2033</v>
      </c>
      <c r="G49" s="163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9"/>
      <c r="L49" s="175"/>
      <c r="M49" s="115"/>
      <c r="N49" s="109"/>
      <c r="O49" s="23" t="str">
        <f t="shared" si="1"/>
        <v>Приобретение и установка зеркала в кабине лифта (2 подъезд).</v>
      </c>
      <c r="R49" s="22" t="s">
        <v>72</v>
      </c>
    </row>
    <row r="50" spans="1:18" ht="51" customHeight="1" outlineLevel="1">
      <c r="A50" s="158" t="str">
        <f>ПТО!A9</f>
        <v>Модернизация шлагбаума (монтаж вызывной панели).</v>
      </c>
      <c r="B50" s="158"/>
      <c r="C50" s="158"/>
      <c r="D50" s="158"/>
      <c r="E50" s="158"/>
      <c r="F50" s="163">
        <f>VLOOKUP(A50,ПТО!$A$2:$D$31,4,FALSE)</f>
        <v>25790</v>
      </c>
      <c r="G50" s="163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9"/>
      <c r="L50" s="175"/>
      <c r="M50" s="115"/>
      <c r="N50" s="109"/>
      <c r="O50" s="23" t="str">
        <f t="shared" si="1"/>
        <v>Модернизация шлагбаума (монтаж вызывной панели).</v>
      </c>
      <c r="R50" s="22" t="s">
        <v>72</v>
      </c>
    </row>
    <row r="51" spans="1:18" ht="51" customHeight="1" outlineLevel="1">
      <c r="A51" s="158" t="str">
        <f>ПТО!A10</f>
        <v>Приобретение частотного преобразователя для работы лифта.</v>
      </c>
      <c r="B51" s="158"/>
      <c r="C51" s="158"/>
      <c r="D51" s="158"/>
      <c r="E51" s="158"/>
      <c r="F51" s="163">
        <f>VLOOKUP(A51,ПТО!$A$2:$D$31,4,FALSE)</f>
        <v>132000</v>
      </c>
      <c r="G51" s="163"/>
      <c r="H51" s="25" t="str">
        <f>VLOOKUP(A51,ПТО!$A$2:$D$31,2,FALSE)</f>
        <v>разово</v>
      </c>
      <c r="I51" s="159">
        <f>VLOOKUP(A51,ПТО!$A$2:$D$31,3,FALSE)</f>
        <v>1</v>
      </c>
      <c r="J51" s="159"/>
      <c r="K51" s="109"/>
      <c r="L51" s="175"/>
      <c r="M51" s="115"/>
      <c r="N51" s="109"/>
      <c r="O51" s="23" t="str">
        <f t="shared" si="1"/>
        <v>Приобретение частотного преобразователя для работы лифта.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9"/>
      <c r="L52" s="175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9"/>
      <c r="L53" s="175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9"/>
      <c r="L54" s="175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9"/>
      <c r="L55" s="175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75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7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7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7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7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7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7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7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7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7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7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7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7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7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7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7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78"/>
      <c r="M75" s="109"/>
      <c r="N75" s="109"/>
      <c r="O75" s="70" t="s">
        <v>98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78"/>
      <c r="M76" s="109"/>
      <c r="N76" s="109"/>
      <c r="O76" s="70" t="s">
        <v>99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78"/>
      <c r="M77" s="109"/>
      <c r="N77" s="109"/>
      <c r="O77" s="70" t="s">
        <v>100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7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09"/>
      <c r="L81" s="164"/>
      <c r="M81" s="109"/>
      <c r="N81" s="109"/>
      <c r="O81" s="70" t="s">
        <v>102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09"/>
      <c r="L82" s="164"/>
      <c r="M82" s="109"/>
      <c r="N82" s="109"/>
      <c r="O82" s="70" t="s">
        <v>103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7">
        <f t="shared" si="2"/>
        <v>88955.55</v>
      </c>
      <c r="K83" s="109"/>
      <c r="L83" s="164"/>
      <c r="M83" s="109"/>
      <c r="N83" s="109"/>
      <c r="O83" s="70" t="s">
        <v>104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7">
        <f t="shared" si="2"/>
        <v>0</v>
      </c>
      <c r="K84" s="109"/>
      <c r="L84" s="164"/>
      <c r="M84" s="109"/>
      <c r="N84" s="109"/>
      <c r="O84" s="70" t="s">
        <v>105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7">
        <f t="shared" si="2"/>
        <v>0</v>
      </c>
      <c r="K85" s="109"/>
      <c r="L85" s="164"/>
      <c r="M85" s="109"/>
      <c r="N85" s="109"/>
      <c r="O85" s="70" t="s">
        <v>106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7">
        <f t="shared" si="2"/>
        <v>123084.57</v>
      </c>
      <c r="K86" s="109"/>
      <c r="L86" s="164"/>
      <c r="M86" s="109"/>
      <c r="N86" s="109"/>
      <c r="O86" s="70" t="s">
        <v>107</v>
      </c>
    </row>
    <row r="87" spans="1:15" ht="18.75" customHeight="1" outlineLevel="1">
      <c r="A87" s="170" t="s">
        <v>27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9"/>
      <c r="L87" s="164"/>
      <c r="M87" s="109"/>
      <c r="N87" s="109"/>
      <c r="O87" s="70" t="s">
        <v>108</v>
      </c>
    </row>
    <row r="88" spans="1:15" ht="18.75" customHeight="1" outlineLevel="1">
      <c r="A88" s="170" t="s">
        <v>28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9"/>
      <c r="L88" s="164"/>
      <c r="M88" s="109"/>
      <c r="N88" s="109"/>
      <c r="O88" s="70" t="s">
        <v>109</v>
      </c>
    </row>
    <row r="89" spans="1:15" ht="18.75" customHeight="1" outlineLevel="1">
      <c r="A89" s="170" t="s">
        <v>29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9"/>
      <c r="L89" s="164"/>
      <c r="M89" s="109"/>
      <c r="N89" s="109"/>
      <c r="O89" s="70" t="s">
        <v>110</v>
      </c>
    </row>
    <row r="90" spans="1:15" ht="18.75" customHeight="1" outlineLevel="1">
      <c r="A90" s="170" t="s">
        <v>30</v>
      </c>
      <c r="B90" s="171"/>
      <c r="C90" s="171"/>
      <c r="D90" s="171"/>
      <c r="E90" s="171"/>
      <c r="F90" s="171"/>
      <c r="G90" s="171"/>
      <c r="H90" s="171"/>
      <c r="I90" s="172"/>
      <c r="J90" s="97">
        <f t="shared" si="2"/>
        <v>0</v>
      </c>
      <c r="K90" s="109"/>
      <c r="L90" s="16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9" t="s">
        <v>48</v>
      </c>
      <c r="B93" s="179"/>
      <c r="C93" s="179"/>
      <c r="D93" s="180" t="s">
        <v>49</v>
      </c>
      <c r="E93" s="180"/>
      <c r="F93" s="10" t="s">
        <v>50</v>
      </c>
      <c r="G93" s="179" t="s">
        <v>51</v>
      </c>
      <c r="H93" s="179"/>
      <c r="I93" s="179"/>
      <c r="J93" s="179"/>
      <c r="K93" s="109"/>
      <c r="L93" s="109"/>
      <c r="M93" s="109"/>
      <c r="N93" s="109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2">
        <f>VLOOKUP("эл",АО,5,FALSE)</f>
        <v>43408.98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36174.15</v>
      </c>
      <c r="L95" s="165"/>
      <c r="O95" s="1" t="s">
        <v>112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41690.129999999997</v>
      </c>
      <c r="L96" s="165"/>
      <c r="O96" s="1" t="s">
        <v>113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1718.8500000000058</v>
      </c>
      <c r="L97" s="165"/>
      <c r="O97" s="1" t="s">
        <v>114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43408.98</v>
      </c>
      <c r="L98" s="165"/>
      <c r="O98" s="1" t="s">
        <v>115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43408.98</v>
      </c>
      <c r="L99" s="165"/>
      <c r="O99" s="1" t="s">
        <v>116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117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118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2">
        <f>VLOOKUP("хвс",АО,5,FALSE)</f>
        <v>125055.63</v>
      </c>
      <c r="H102" s="161"/>
      <c r="I102" s="161"/>
      <c r="J102" s="161"/>
      <c r="L102" s="165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9473.91</v>
      </c>
      <c r="L103" s="165"/>
      <c r="O103" s="1" t="s">
        <v>121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115622.65</v>
      </c>
      <c r="L104" s="165"/>
      <c r="O104" s="1" t="s">
        <v>122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9432.9800000000105</v>
      </c>
      <c r="L105" s="165"/>
      <c r="O105" s="1" t="s">
        <v>123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125055.63</v>
      </c>
      <c r="L106" s="165"/>
      <c r="O106" s="1" t="s">
        <v>124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125055.63</v>
      </c>
      <c r="L107" s="165"/>
      <c r="O107" s="1" t="s">
        <v>125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126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127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2">
        <f>VLOOKUP("воо",АО,5,FALSE)</f>
        <v>239826.6</v>
      </c>
      <c r="H110" s="161"/>
      <c r="I110" s="161"/>
      <c r="J110" s="161"/>
      <c r="L110" s="165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14951.78</v>
      </c>
      <c r="L111" s="165"/>
      <c r="O111" s="1" t="s">
        <v>129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222136.41</v>
      </c>
      <c r="L112" s="165"/>
      <c r="O112" s="1" t="s">
        <v>130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17690.190000000002</v>
      </c>
      <c r="L113" s="165"/>
      <c r="O113" s="1" t="s">
        <v>131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239826.6</v>
      </c>
      <c r="L114" s="165"/>
      <c r="O114" s="1" t="s">
        <v>132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239826.6</v>
      </c>
      <c r="L115" s="165"/>
      <c r="O115" s="1" t="s">
        <v>133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134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135</v>
      </c>
    </row>
    <row r="118" spans="1:15" ht="32.25" hidden="1" customHeight="1" outlineLevel="1">
      <c r="A118" s="160">
        <f>IF(VLOOKUP("тко",АО,3,FALSE)&gt;0,"Обращение с ТКО",0)</f>
        <v>0</v>
      </c>
      <c r="B118" s="160"/>
      <c r="C118" s="160"/>
      <c r="D118" s="161">
        <f>IF(VLOOKUP("тко",АО,3,FALSE)&gt;0,VLOOKUP("тко",АО,3,FALSE),0)</f>
        <v>0</v>
      </c>
      <c r="E118" s="161"/>
      <c r="F118" s="13">
        <f>IF(VLOOKUP("тко",АО,3,FALSE)&gt;0,VLOOKUP("тко",АО,4,FALSE),0)</f>
        <v>0</v>
      </c>
      <c r="G118" s="162">
        <f>VLOOKUP("тко",АО,5,FALSE)</f>
        <v>0</v>
      </c>
      <c r="H118" s="161"/>
      <c r="I118" s="161"/>
      <c r="J118" s="161"/>
      <c r="L118" s="47"/>
    </row>
    <row r="119" spans="1:15" ht="32.25" hidden="1" customHeight="1" outlineLevel="2">
      <c r="A119" s="156">
        <f t="shared" ref="A119:A125" si="8">IF(VLOOKUP("тко",АО,3,FALSE)&gt;0,VLOOKUP(O119,АО,2,FALSE),0)</f>
        <v>0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6">
        <f t="shared" si="8"/>
        <v>0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6">
        <f t="shared" si="8"/>
        <v>0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6">
        <f t="shared" si="8"/>
        <v>0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6">
        <f t="shared" si="8"/>
        <v>0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6">
        <f t="shared" si="8"/>
        <v>0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6">
        <f t="shared" si="8"/>
        <v>0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60" t="str">
        <f>IF(VLOOKUP("гвс",АО,3,FALSE)&gt;0,"Горячее водоснабжение",0)</f>
        <v>Горячее водоснабжение</v>
      </c>
      <c r="B126" s="160"/>
      <c r="C126" s="160"/>
      <c r="D126" s="161" t="str">
        <f>IF(VLOOKUP("гвс",АО,3,FALSE)&gt;0,VLOOKUP("гвс",АО,3,FALSE),0)</f>
        <v>Предоставляется</v>
      </c>
      <c r="E126" s="161"/>
      <c r="F126" s="13" t="str">
        <f>IF(VLOOKUP("гвс",АО,3,FALSE)&gt;0,VLOOKUP("гвс",АО,4,FALSE),0)</f>
        <v>куб.м.</v>
      </c>
      <c r="G126" s="162">
        <f>VLOOKUP("гвс",АО,5,FALSE)</f>
        <v>70913.279999999999</v>
      </c>
      <c r="H126" s="161"/>
      <c r="I126" s="161"/>
      <c r="J126" s="161"/>
      <c r="L126" s="47"/>
    </row>
    <row r="127" spans="1:15" ht="32.25" customHeight="1" outlineLevel="2">
      <c r="A127" s="156" t="str">
        <f t="shared" ref="A127:A133" si="10">IF(VLOOKUP("гвс",АО,3,FALSE)&gt;0,VLOOKUP(O127,АО,2,FALSE),0)</f>
        <v>Общий объем потребления, нат. показ.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5372.22</v>
      </c>
      <c r="L127" s="47"/>
      <c r="O127" s="1" t="s">
        <v>145</v>
      </c>
    </row>
    <row r="128" spans="1:15" ht="32.25" customHeight="1" outlineLevel="2">
      <c r="A128" s="156" t="str">
        <f t="shared" si="10"/>
        <v>Оплачено потребителями, руб.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65626.28</v>
      </c>
      <c r="L128" s="47"/>
      <c r="O128" s="1" t="s">
        <v>146</v>
      </c>
    </row>
    <row r="129" spans="1:15" ht="32.25" customHeight="1" outlineLevel="2">
      <c r="A129" s="156" t="str">
        <f t="shared" si="10"/>
        <v>Задолженность потребителей, руб.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5287</v>
      </c>
      <c r="L129" s="47"/>
      <c r="O129" s="1" t="s">
        <v>147</v>
      </c>
    </row>
    <row r="130" spans="1:15" ht="32.25" customHeight="1" outlineLevel="2">
      <c r="A130" s="156" t="str">
        <f t="shared" si="10"/>
        <v>Начислено поставщиком (поставщиками) коммунального ресурса, руб.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70913.279999999999</v>
      </c>
      <c r="L130" s="47"/>
      <c r="O130" s="1" t="s">
        <v>148</v>
      </c>
    </row>
    <row r="131" spans="1:15" ht="32.25" customHeight="1" outlineLevel="2">
      <c r="A131" s="156" t="str">
        <f t="shared" si="10"/>
        <v>Оплачено поставщику (поставщикам) коммунального ресурса, руб.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70913.279999999999</v>
      </c>
      <c r="L131" s="47"/>
      <c r="O131" s="1" t="s">
        <v>149</v>
      </c>
    </row>
    <row r="132" spans="1:15" ht="32.25" customHeight="1" outlineLevel="2">
      <c r="A132" s="156" t="str">
        <f t="shared" si="10"/>
        <v>Задолженность перед поставщиком (поставщиками) коммунального ресурса, руб.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56" t="str">
        <f t="shared" si="10"/>
        <v>Размер пени и штрафов, уплаченных поставщику (поставщикам) коммунального ресурса, руб.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169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56" t="s">
        <v>172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22870.3</v>
      </c>
      <c r="O146" t="s">
        <v>171</v>
      </c>
    </row>
    <row r="149" spans="1:15" ht="52.5" customHeight="1">
      <c r="A149" s="181" t="s">
        <v>184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3" t="s">
        <v>187</v>
      </c>
      <c r="B154" s="183"/>
      <c r="C154" s="183"/>
      <c r="D154" s="183"/>
      <c r="E154" s="27">
        <f>ПТО!G1</f>
        <v>-551784.31999999995</v>
      </c>
    </row>
    <row r="155" spans="1:15" ht="34.5" customHeight="1">
      <c r="A155" s="182" t="s">
        <v>191</v>
      </c>
      <c r="B155" s="182"/>
      <c r="C155" s="182"/>
      <c r="D155" s="182"/>
      <c r="E155" s="28">
        <f>J13</f>
        <v>325182.38399999996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19</v>
      </c>
      <c r="B157" s="166"/>
      <c r="C157" s="166"/>
      <c r="D157" s="166"/>
      <c r="E157" s="166"/>
      <c r="F157" s="166" t="s">
        <v>20</v>
      </c>
      <c r="G157" s="166"/>
      <c r="H157" s="20" t="s">
        <v>57</v>
      </c>
      <c r="I157" s="166" t="s">
        <v>21</v>
      </c>
      <c r="J157" s="166"/>
    </row>
    <row r="158" spans="1:15" ht="29.25" customHeight="1">
      <c r="A158" s="158" t="str">
        <f t="shared" ref="A158:A163" si="14">IF(N158&gt;0,N158,0)</f>
        <v>Техническое освидетельствование лифтов.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16200</v>
      </c>
      <c r="G158" s="163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2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8" t="str">
        <f t="shared" si="14"/>
        <v>Приобретение и установка ОДПУ электрической энергии.</v>
      </c>
      <c r="B159" s="158"/>
      <c r="C159" s="158"/>
      <c r="D159" s="158"/>
      <c r="E159" s="158"/>
      <c r="F159" s="163">
        <f t="shared" si="15"/>
        <v>26222.37</v>
      </c>
      <c r="G159" s="163"/>
      <c r="H159" s="24" t="str">
        <f t="shared" si="16"/>
        <v>разово</v>
      </c>
      <c r="I159" s="159">
        <f t="shared" si="17"/>
        <v>1</v>
      </c>
      <c r="J159" s="159"/>
      <c r="M159" s="22" t="s">
        <v>72</v>
      </c>
      <c r="N159" s="1" t="str">
        <v>Приобретение и установка ОДПУ электрической энергии.</v>
      </c>
    </row>
    <row r="160" spans="1:15" ht="28.5" customHeight="1">
      <c r="A160" s="158" t="str">
        <f t="shared" si="14"/>
        <v>Замена приварных шаровых кранов на ИТП (5 шт.).</v>
      </c>
      <c r="B160" s="158"/>
      <c r="C160" s="158"/>
      <c r="D160" s="158"/>
      <c r="E160" s="158"/>
      <c r="F160" s="163">
        <f t="shared" si="15"/>
        <v>13462</v>
      </c>
      <c r="G160" s="163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Замена приварных шаровых кранов на ИТП (5 шт.).</v>
      </c>
    </row>
    <row r="161" spans="1:14" ht="28.5" customHeight="1">
      <c r="A161" s="158" t="str">
        <f>IF(N161&gt;0,N161,0)</f>
        <v>Генеральная уборка подъезда.</v>
      </c>
      <c r="B161" s="158"/>
      <c r="C161" s="158"/>
      <c r="D161" s="158"/>
      <c r="E161" s="158"/>
      <c r="F161" s="163">
        <f t="shared" si="15"/>
        <v>4000</v>
      </c>
      <c r="G161" s="163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Генеральная уборка подъезда.</v>
      </c>
    </row>
    <row r="162" spans="1:14" ht="28.5" customHeight="1">
      <c r="A162" s="158" t="str">
        <f t="shared" si="14"/>
        <v>Приобретение и установка информационного стенда на детскую площадку.</v>
      </c>
      <c r="B162" s="158"/>
      <c r="C162" s="158"/>
      <c r="D162" s="158"/>
      <c r="E162" s="158"/>
      <c r="F162" s="163">
        <f t="shared" si="15"/>
        <v>500</v>
      </c>
      <c r="G162" s="163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58" t="str">
        <f t="shared" si="14"/>
        <v>Приобретение и установка фотоэлементов для шлагбаума.</v>
      </c>
      <c r="B163" s="158"/>
      <c r="C163" s="158"/>
      <c r="D163" s="158"/>
      <c r="E163" s="158"/>
      <c r="F163" s="163">
        <f t="shared" si="15"/>
        <v>3127</v>
      </c>
      <c r="G163" s="163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72</v>
      </c>
      <c r="N163" s="1" t="str">
        <v>Приобретение и установка фотоэлементов для шлагбаума.</v>
      </c>
    </row>
    <row r="164" spans="1:14" ht="28.5" customHeight="1">
      <c r="A164" s="158" t="str">
        <f t="shared" ref="A164:A187" si="18">IF(N164&gt;0,N164,0)</f>
        <v>Приобретение и установка зеркала в кабине лифта (2 подъезд).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2033</v>
      </c>
      <c r="G164" s="163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72</v>
      </c>
      <c r="N164" s="1" t="str">
        <v>Приобретение и установка зеркала в кабине лифта (2 подъезд).</v>
      </c>
    </row>
    <row r="165" spans="1:14" ht="28.5" customHeight="1">
      <c r="A165" s="158" t="str">
        <f t="shared" si="18"/>
        <v>Модернизация шлагбаума (монтаж вызывной панели).</v>
      </c>
      <c r="B165" s="158"/>
      <c r="C165" s="158"/>
      <c r="D165" s="158"/>
      <c r="E165" s="158"/>
      <c r="F165" s="163">
        <f t="shared" si="19"/>
        <v>25790</v>
      </c>
      <c r="G165" s="163"/>
      <c r="H165" s="29" t="str">
        <f t="shared" si="16"/>
        <v>разово</v>
      </c>
      <c r="I165" s="159">
        <f t="shared" si="20"/>
        <v>1</v>
      </c>
      <c r="J165" s="159"/>
      <c r="M165" s="22" t="s">
        <v>72</v>
      </c>
      <c r="N165" s="1" t="str">
        <v>Модернизация шлагбаума (монтаж вызывной панели).</v>
      </c>
    </row>
    <row r="166" spans="1:14" ht="28.5" customHeight="1">
      <c r="A166" s="158" t="str">
        <f t="shared" si="18"/>
        <v>Приобретение частотного преобразователя для работы лифта.</v>
      </c>
      <c r="B166" s="158"/>
      <c r="C166" s="158"/>
      <c r="D166" s="158"/>
      <c r="E166" s="158"/>
      <c r="F166" s="163">
        <f t="shared" si="19"/>
        <v>132000</v>
      </c>
      <c r="G166" s="163"/>
      <c r="H166" s="29" t="str">
        <f t="shared" si="16"/>
        <v>разово</v>
      </c>
      <c r="I166" s="159">
        <f t="shared" si="20"/>
        <v>1</v>
      </c>
      <c r="J166" s="159"/>
      <c r="M166" s="22" t="s">
        <v>72</v>
      </c>
      <c r="N166" s="1" t="str">
        <v>Приобретение частотного преобразователя для работы лифта.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3" t="s">
        <v>190</v>
      </c>
      <c r="B190" s="183"/>
      <c r="C190" s="183"/>
      <c r="D190" s="183"/>
      <c r="E190" s="27">
        <f>SUM(F158:G187)</f>
        <v>223334.37</v>
      </c>
    </row>
    <row r="191" spans="1:14" ht="51.75" customHeight="1">
      <c r="A191" s="183" t="s">
        <v>189</v>
      </c>
      <c r="B191" s="183"/>
      <c r="C191" s="183"/>
      <c r="D191" s="183"/>
      <c r="E191" s="27">
        <f>E190+E154-E155</f>
        <v>-653632.33399999992</v>
      </c>
    </row>
    <row r="192" spans="1:14">
      <c r="A192" s="104" t="s">
        <v>173</v>
      </c>
    </row>
    <row r="193" spans="1:10" ht="62.25" customHeight="1">
      <c r="A193" s="157" t="s">
        <v>188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49">
        <f>ПТО!G12</f>
        <v>1200</v>
      </c>
      <c r="I194" s="50" t="s">
        <v>74</v>
      </c>
    </row>
    <row r="195" spans="1:10" ht="18.75" customHeight="1">
      <c r="A195" s="155" t="str">
        <f>ПТО!F13</f>
        <v xml:space="preserve">  -  техническое освидетельствование лифтов</v>
      </c>
      <c r="B195" s="155"/>
      <c r="C195" s="155"/>
      <c r="D195" s="155"/>
      <c r="E195" s="155"/>
      <c r="F195" s="155"/>
      <c r="G195" s="155"/>
      <c r="H195" s="49">
        <f>ПТО!G13</f>
        <v>16200</v>
      </c>
      <c r="I195" s="50" t="s">
        <v>74</v>
      </c>
    </row>
    <row r="196" spans="1:10" ht="18.75" customHeight="1">
      <c r="A196" s="155" t="str">
        <f>ПТО!F14</f>
        <v xml:space="preserve">  - благоустройство придомовой территории</v>
      </c>
      <c r="B196" s="155"/>
      <c r="C196" s="155"/>
      <c r="D196" s="155"/>
      <c r="E196" s="155"/>
      <c r="F196" s="155"/>
      <c r="G196" s="155"/>
      <c r="H196" s="49">
        <f>ПТО!G14</f>
        <v>5000</v>
      </c>
      <c r="I196" s="50" t="s">
        <v>74</v>
      </c>
    </row>
    <row r="197" spans="1:10" ht="18.75" customHeight="1">
      <c r="A197" s="155" t="str">
        <f>ПТО!F15</f>
        <v xml:space="preserve">  -  ремонт теплового узла</v>
      </c>
      <c r="B197" s="155"/>
      <c r="C197" s="155"/>
      <c r="D197" s="155"/>
      <c r="E197" s="155"/>
      <c r="F197" s="155"/>
      <c r="G197" s="155"/>
      <c r="H197" s="49">
        <f>ПТО!G15</f>
        <v>60000</v>
      </c>
      <c r="I197" s="50" t="s">
        <v>74</v>
      </c>
    </row>
    <row r="198" spans="1:10" ht="18.75" customHeight="1">
      <c r="A198" s="155" t="str">
        <f>ПТО!F16</f>
        <v xml:space="preserve">  -  ремонт отмостки</v>
      </c>
      <c r="B198" s="155"/>
      <c r="C198" s="155"/>
      <c r="D198" s="155"/>
      <c r="E198" s="155"/>
      <c r="F198" s="155"/>
      <c r="G198" s="155"/>
      <c r="H198" s="49">
        <f>ПТО!G16</f>
        <v>15000</v>
      </c>
      <c r="I198" s="52" t="s">
        <v>74</v>
      </c>
    </row>
    <row r="199" spans="1:10" ht="18.75" hidden="1" customHeight="1">
      <c r="A199" s="155">
        <f>ПТО!F17</f>
        <v>0</v>
      </c>
      <c r="B199" s="155"/>
      <c r="C199" s="155"/>
      <c r="D199" s="155"/>
      <c r="E199" s="155"/>
      <c r="F199" s="155"/>
      <c r="G199" s="155"/>
      <c r="H199" s="49">
        <f>ПТО!G17</f>
        <v>0</v>
      </c>
      <c r="I199" s="50" t="s">
        <v>74</v>
      </c>
    </row>
    <row r="200" spans="1:10" hidden="1">
      <c r="A200" s="155">
        <f>ПТО!F18</f>
        <v>0</v>
      </c>
      <c r="B200" s="155"/>
      <c r="C200" s="155"/>
      <c r="D200" s="155"/>
      <c r="E200" s="155"/>
      <c r="F200" s="155"/>
      <c r="G200" s="155"/>
      <c r="H200" s="49">
        <f>ПТО!G18</f>
        <v>0</v>
      </c>
      <c r="I200" s="50" t="s">
        <v>74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49">
        <f>ПТО!G19</f>
        <v>0</v>
      </c>
      <c r="I201" s="50" t="s">
        <v>74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49">
        <f>ПТО!G20</f>
        <v>0</v>
      </c>
      <c r="I202" s="50" t="s">
        <v>74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49">
        <f>ПТО!G21</f>
        <v>0</v>
      </c>
      <c r="I203" s="50" t="s">
        <v>74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49">
        <f>ПТО!G22</f>
        <v>0</v>
      </c>
      <c r="I204" s="50" t="s">
        <v>74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49">
        <f>ПТО!G23</f>
        <v>0</v>
      </c>
      <c r="I205" s="50" t="s">
        <v>74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49">
        <f>ПТО!G24</f>
        <v>0</v>
      </c>
      <c r="I206" s="50" t="s">
        <v>74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49">
        <f>ПТО!G25</f>
        <v>0</v>
      </c>
      <c r="I207" s="50" t="s">
        <v>74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49">
        <f>ПТО!G26</f>
        <v>0</v>
      </c>
      <c r="I208" s="50" t="s">
        <v>74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49">
        <f>ПТО!G27</f>
        <v>0</v>
      </c>
      <c r="I209" s="50" t="s">
        <v>74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49">
        <f>ПТО!G28</f>
        <v>0</v>
      </c>
      <c r="I210" s="50" t="s">
        <v>74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49">
        <f>ПТО!G29</f>
        <v>0</v>
      </c>
      <c r="I211" s="50" t="s">
        <v>74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49">
        <f>ПТО!G30</f>
        <v>0</v>
      </c>
      <c r="I212" s="50" t="s">
        <v>74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97400</v>
      </c>
      <c r="I214" s="56" t="s">
        <v>76</v>
      </c>
    </row>
  </sheetData>
  <sheetProtection algorithmName="SHA-512" hashValue="A8WkwBXp04ZQo+ZEaaGiOVJxLXFNmnK8m6e+yOVS28TgqXqvGIEXViwt8Imwm77g088Cr4LJd7ICmQHY2sldAA==" saltValue="LmgVY92YK3Qs7QqzZ9Ids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1" sqref="E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-551784.32</f>
        <v>-551784.31999999995</v>
      </c>
    </row>
    <row r="2" spans="1:12" ht="18.75" customHeight="1">
      <c r="A2" s="151" t="s">
        <v>176</v>
      </c>
      <c r="B2" s="152" t="s">
        <v>177</v>
      </c>
      <c r="C2" s="152">
        <v>2</v>
      </c>
      <c r="D2" s="117">
        <v>16200</v>
      </c>
      <c r="E2" s="153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185</v>
      </c>
      <c r="B3" s="128" t="s">
        <v>178</v>
      </c>
      <c r="C3" s="129">
        <v>1</v>
      </c>
      <c r="D3" s="124">
        <v>26222.37</v>
      </c>
      <c r="E3" s="125" t="s">
        <v>186</v>
      </c>
      <c r="F3" s="30"/>
      <c r="G3" s="30"/>
      <c r="L3" s="33" t="str">
        <f t="shared" si="0"/>
        <v>ТР</v>
      </c>
    </row>
    <row r="4" spans="1:12" ht="18.75" customHeight="1">
      <c r="A4" s="130" t="s">
        <v>192</v>
      </c>
      <c r="B4" s="121" t="s">
        <v>178</v>
      </c>
      <c r="C4" s="131">
        <v>1</v>
      </c>
      <c r="D4" s="132">
        <v>13462</v>
      </c>
      <c r="E4" s="126" t="s">
        <v>193</v>
      </c>
      <c r="F4" s="30"/>
      <c r="G4" s="30"/>
      <c r="L4" s="33" t="str">
        <f t="shared" si="0"/>
        <v>ТР</v>
      </c>
    </row>
    <row r="5" spans="1:12" ht="18.75" customHeight="1">
      <c r="A5" s="133" t="s">
        <v>195</v>
      </c>
      <c r="B5" s="134" t="s">
        <v>178</v>
      </c>
      <c r="C5" s="135">
        <v>1</v>
      </c>
      <c r="D5" s="136">
        <v>4000</v>
      </c>
      <c r="E5" s="125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198</v>
      </c>
      <c r="B6" s="137" t="s">
        <v>178</v>
      </c>
      <c r="C6" s="135">
        <v>1</v>
      </c>
      <c r="D6" s="136">
        <v>500</v>
      </c>
      <c r="E6" s="125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41" t="s">
        <v>197</v>
      </c>
      <c r="B7" s="142" t="s">
        <v>178</v>
      </c>
      <c r="C7" s="143">
        <v>1</v>
      </c>
      <c r="D7" s="117">
        <v>3127</v>
      </c>
      <c r="E7" s="126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39" t="s">
        <v>200</v>
      </c>
      <c r="B8" s="140" t="s">
        <v>178</v>
      </c>
      <c r="C8" s="119">
        <v>1</v>
      </c>
      <c r="D8" s="43">
        <v>2033</v>
      </c>
      <c r="E8" s="125" t="s">
        <v>201</v>
      </c>
      <c r="F8" s="45"/>
      <c r="G8" s="45"/>
      <c r="K8" s="43"/>
      <c r="L8" s="33" t="str">
        <f t="shared" si="0"/>
        <v>ТР</v>
      </c>
    </row>
    <row r="9" spans="1:12">
      <c r="A9" s="154" t="s">
        <v>214</v>
      </c>
      <c r="B9" s="137" t="s">
        <v>178</v>
      </c>
      <c r="C9" s="135">
        <v>1</v>
      </c>
      <c r="D9" s="136">
        <v>25790</v>
      </c>
      <c r="E9" s="125" t="s">
        <v>203</v>
      </c>
      <c r="F9" s="44"/>
      <c r="G9" s="44"/>
      <c r="K9" s="43"/>
      <c r="L9" s="33" t="str">
        <f t="shared" si="0"/>
        <v>ТР</v>
      </c>
    </row>
    <row r="10" spans="1:12">
      <c r="A10" s="147" t="s">
        <v>194</v>
      </c>
      <c r="B10" s="148" t="s">
        <v>178</v>
      </c>
      <c r="C10" s="149">
        <v>1</v>
      </c>
      <c r="D10" s="150">
        <v>132000</v>
      </c>
      <c r="E10" s="126" t="s">
        <v>211</v>
      </c>
      <c r="F10" s="120"/>
      <c r="L10" s="33" t="str">
        <f t="shared" si="0"/>
        <v>ТР</v>
      </c>
    </row>
    <row r="11" spans="1:12" ht="94.5">
      <c r="A11" s="122"/>
      <c r="B11" s="123"/>
      <c r="C11" s="121"/>
      <c r="D11" s="46"/>
      <c r="E11" s="120"/>
      <c r="F11" s="111" t="s">
        <v>188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122"/>
      <c r="B13" s="123"/>
      <c r="C13" s="121"/>
      <c r="D13" s="46"/>
      <c r="E13" s="120"/>
      <c r="F13" s="112" t="s">
        <v>182</v>
      </c>
      <c r="G13" s="113">
        <v>16200</v>
      </c>
      <c r="L13" s="33">
        <f t="shared" si="0"/>
        <v>0</v>
      </c>
    </row>
    <row r="14" spans="1:12" ht="31.5">
      <c r="A14" s="30"/>
      <c r="F14" s="112" t="s">
        <v>183</v>
      </c>
      <c r="G14" s="113">
        <v>5000</v>
      </c>
      <c r="L14" s="33">
        <f t="shared" si="0"/>
        <v>0</v>
      </c>
    </row>
    <row r="15" spans="1:12" ht="15.75">
      <c r="A15" s="30"/>
      <c r="F15" s="112" t="s">
        <v>216</v>
      </c>
      <c r="G15" s="113">
        <v>60000</v>
      </c>
      <c r="L15" s="33">
        <f t="shared" si="0"/>
        <v>0</v>
      </c>
    </row>
    <row r="16" spans="1:12" ht="15.75">
      <c r="A16" s="30"/>
      <c r="F16" s="112" t="s">
        <v>213</v>
      </c>
      <c r="G16" s="113">
        <v>15000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224491.44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224491.44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203032.68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203032.68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94913.64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94913.64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67677.600000000006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67677.600000000006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179923.20000000001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179923.20000000001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159289.79999999999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159289.79999999999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 t="s">
        <v>204</v>
      </c>
      <c r="B48" s="144">
        <f>(E48*G54*F56*6+E48*G54*G56*6)+(F48*G60*F62*6+F48*G60*G62*6)+(F48*G64*F66*6+F48*G64*G66*6)</f>
        <v>65940.613649999999</v>
      </c>
      <c r="C48" s="145" t="s">
        <v>68</v>
      </c>
      <c r="D48" s="48">
        <v>12</v>
      </c>
      <c r="E48" s="144">
        <v>953</v>
      </c>
      <c r="F48" s="144">
        <v>691.1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65940.613649999999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 t="s">
        <v>205</v>
      </c>
      <c r="F53" s="146" t="s">
        <v>206</v>
      </c>
      <c r="G53" s="146" t="s">
        <v>215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>
        <v>35.896999999999998</v>
      </c>
      <c r="F54" s="144">
        <v>7632.1</v>
      </c>
      <c r="G54" s="146">
        <v>3.48</v>
      </c>
      <c r="H54" s="146">
        <f>G54*E48/F54</f>
        <v>0.43453833152081339</v>
      </c>
    </row>
    <row r="55" spans="5:16">
      <c r="E55" s="146"/>
      <c r="F55" s="146" t="s">
        <v>207</v>
      </c>
      <c r="G55" s="146" t="s">
        <v>208</v>
      </c>
      <c r="H55" s="146">
        <f>H54*94.3</f>
        <v>40.976964662412705</v>
      </c>
    </row>
    <row r="56" spans="5:16">
      <c r="E56" s="146"/>
      <c r="F56" s="146">
        <v>1.17</v>
      </c>
      <c r="G56" s="146">
        <v>1.23</v>
      </c>
      <c r="H56" s="146"/>
    </row>
    <row r="57" spans="5:16">
      <c r="E57" s="146"/>
      <c r="F57" s="146"/>
      <c r="G57" s="146"/>
      <c r="H57" s="146"/>
    </row>
    <row r="58" spans="5:16">
      <c r="E58" s="146"/>
      <c r="F58" s="146"/>
      <c r="G58" s="146"/>
      <c r="H58" s="146"/>
    </row>
    <row r="59" spans="5:16">
      <c r="E59" s="146" t="s">
        <v>209</v>
      </c>
      <c r="F59" s="146"/>
      <c r="G59" s="146"/>
      <c r="H59" s="146"/>
    </row>
    <row r="60" spans="5:16">
      <c r="E60" s="146">
        <v>0.59599999999999997</v>
      </c>
      <c r="F60" s="144">
        <v>7632.1</v>
      </c>
      <c r="G60" s="146">
        <v>7.4999999999999997E-2</v>
      </c>
      <c r="H60" s="146">
        <f>G60*F48</f>
        <v>51.832500000000003</v>
      </c>
    </row>
    <row r="61" spans="5:16">
      <c r="E61" s="146"/>
      <c r="F61" s="146" t="s">
        <v>207</v>
      </c>
      <c r="G61" s="146" t="s">
        <v>208</v>
      </c>
      <c r="H61" s="146">
        <f>H60/F60</f>
        <v>6.7913811401842218E-3</v>
      </c>
    </row>
    <row r="62" spans="5:16">
      <c r="E62" s="146"/>
      <c r="F62" s="146">
        <v>12.94</v>
      </c>
      <c r="G62" s="146">
        <v>13.45</v>
      </c>
      <c r="H62" s="146">
        <f>H61*94.3</f>
        <v>0.64042724151937214</v>
      </c>
    </row>
    <row r="63" spans="5:16">
      <c r="E63" s="146" t="s">
        <v>210</v>
      </c>
      <c r="F63" s="146"/>
      <c r="G63" s="146"/>
      <c r="H63" s="146"/>
    </row>
    <row r="64" spans="5:16">
      <c r="E64" s="146">
        <v>0.59599999999999997</v>
      </c>
      <c r="F64" s="144">
        <v>7632.1</v>
      </c>
      <c r="G64" s="146">
        <v>7.4999999999999997E-2</v>
      </c>
      <c r="H64" s="146">
        <f>G64*F48</f>
        <v>51.832500000000003</v>
      </c>
    </row>
    <row r="65" spans="4:13" ht="18.75" customHeight="1">
      <c r="E65" s="146"/>
      <c r="F65" s="146" t="s">
        <v>207</v>
      </c>
      <c r="G65" s="146" t="s">
        <v>208</v>
      </c>
      <c r="H65" s="146">
        <f>H64/F64</f>
        <v>6.7913811401842218E-3</v>
      </c>
      <c r="I65" s="99"/>
      <c r="J65" s="99"/>
      <c r="K65" s="99"/>
      <c r="L65" s="99"/>
      <c r="M65" s="99"/>
    </row>
    <row r="66" spans="4:13" ht="18.75" customHeight="1">
      <c r="E66" s="146"/>
      <c r="F66" s="146">
        <v>15.73</v>
      </c>
      <c r="G66" s="146">
        <v>16.350000000000001</v>
      </c>
      <c r="H66" s="146">
        <f>H65*94.3</f>
        <v>0.64042724151937214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6877.8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18" t="s">
        <v>180</v>
      </c>
      <c r="F2" s="118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18" t="s">
        <v>181</v>
      </c>
      <c r="F3" s="118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146713.31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1461269.1939999999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821839.05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325182.38399999996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314247.76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1404295.95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1404295.95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1404295.95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203686.554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5"/>
      <c r="N26" s="63"/>
    </row>
    <row r="27" spans="1:15" ht="18.75" customHeight="1">
      <c r="A27" s="70" t="s">
        <v>104</v>
      </c>
      <c r="B27" s="75" t="s">
        <v>4</v>
      </c>
      <c r="C27" s="86">
        <v>88955.55</v>
      </c>
      <c r="D27" s="81" t="s">
        <v>60</v>
      </c>
      <c r="E27" s="64"/>
      <c r="F27" s="64"/>
      <c r="G27" s="64"/>
      <c r="H27" s="64"/>
      <c r="I27" s="64"/>
      <c r="J27" s="64"/>
      <c r="M27" s="18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5"/>
      <c r="N29" s="63"/>
    </row>
    <row r="30" spans="1:15" ht="18.75" customHeight="1">
      <c r="A30" s="70" t="s">
        <v>107</v>
      </c>
      <c r="B30" s="75" t="s">
        <v>18</v>
      </c>
      <c r="C30" s="86">
        <v>123084.57</v>
      </c>
      <c r="D30" s="81" t="s">
        <v>66</v>
      </c>
      <c r="E30" s="64"/>
      <c r="F30" s="64"/>
      <c r="G30" s="64"/>
      <c r="H30" s="64"/>
      <c r="I30" s="64"/>
      <c r="J30" s="64"/>
      <c r="M30" s="18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43408.98</v>
      </c>
      <c r="F37" s="94" t="s">
        <v>166</v>
      </c>
      <c r="G37" s="66"/>
      <c r="H37" s="66"/>
      <c r="I37" s="66"/>
      <c r="L37" s="63"/>
      <c r="M37" s="184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36174.15</v>
      </c>
      <c r="D38" s="94" t="s">
        <v>164</v>
      </c>
      <c r="E38" s="68"/>
      <c r="G38" s="67"/>
      <c r="H38" s="67"/>
      <c r="L38" s="63"/>
      <c r="M38" s="184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41690.129999999997</v>
      </c>
      <c r="D39" s="94" t="s">
        <v>165</v>
      </c>
      <c r="E39" s="68"/>
      <c r="G39" s="67"/>
      <c r="H39" s="67"/>
      <c r="L39" s="63"/>
      <c r="M39" s="18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1718.8500000000058</v>
      </c>
      <c r="D40" s="80" t="s">
        <v>59</v>
      </c>
      <c r="E40" s="68"/>
      <c r="G40" s="67"/>
      <c r="H40" s="67"/>
      <c r="L40" s="63"/>
      <c r="M40" s="18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43408.98</v>
      </c>
      <c r="D41" s="80" t="s">
        <v>59</v>
      </c>
      <c r="E41" s="68"/>
      <c r="G41" s="67"/>
      <c r="H41" s="67"/>
      <c r="L41" s="63"/>
      <c r="M41" s="18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43408.98</v>
      </c>
      <c r="D42" s="80" t="s">
        <v>59</v>
      </c>
      <c r="E42" s="68"/>
      <c r="G42" s="67"/>
      <c r="H42" s="67"/>
      <c r="L42" s="63"/>
      <c r="M42" s="18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4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125055.63</v>
      </c>
      <c r="F45" s="94" t="s">
        <v>166</v>
      </c>
      <c r="G45" s="66"/>
      <c r="H45" s="66"/>
      <c r="L45" s="63"/>
      <c r="M45" s="18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9473.91</v>
      </c>
      <c r="D46" s="94" t="s">
        <v>167</v>
      </c>
      <c r="E46" s="68"/>
      <c r="G46" s="67"/>
      <c r="H46" s="67"/>
      <c r="L46" s="63"/>
      <c r="M46" s="18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115622.65</v>
      </c>
      <c r="D47" s="94" t="s">
        <v>165</v>
      </c>
      <c r="E47" s="68"/>
      <c r="G47" s="67"/>
      <c r="H47" s="67"/>
      <c r="L47" s="63"/>
      <c r="M47" s="18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9432.9800000000105</v>
      </c>
      <c r="D48" s="80" t="s">
        <v>59</v>
      </c>
      <c r="E48" s="68"/>
      <c r="G48" s="67"/>
      <c r="H48" s="67"/>
      <c r="L48" s="63"/>
      <c r="M48" s="18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125055.63</v>
      </c>
      <c r="D49" s="80" t="s">
        <v>59</v>
      </c>
      <c r="E49" s="68"/>
      <c r="G49" s="67"/>
      <c r="H49" s="67"/>
      <c r="L49" s="63"/>
      <c r="M49" s="18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125055.63</v>
      </c>
      <c r="D50" s="80" t="s">
        <v>59</v>
      </c>
      <c r="E50" s="68"/>
      <c r="G50" s="67"/>
      <c r="H50" s="67"/>
      <c r="L50" s="63"/>
      <c r="M50" s="18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4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239826.6</v>
      </c>
      <c r="F53" s="94" t="s">
        <v>166</v>
      </c>
      <c r="G53" s="66"/>
      <c r="H53" s="66"/>
      <c r="L53" s="63"/>
      <c r="M53" s="18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14951.78</v>
      </c>
      <c r="D54" s="94" t="s">
        <v>167</v>
      </c>
      <c r="E54" s="69"/>
      <c r="F54" s="89"/>
      <c r="G54" s="64"/>
      <c r="H54" s="64"/>
      <c r="L54" s="63"/>
      <c r="M54" s="18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222136.41</v>
      </c>
      <c r="D55" s="94" t="s">
        <v>165</v>
      </c>
      <c r="E55" s="69"/>
      <c r="G55" s="64"/>
      <c r="H55" s="64"/>
      <c r="L55" s="63"/>
      <c r="M55" s="18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17690.190000000002</v>
      </c>
      <c r="D56" s="80" t="s">
        <v>59</v>
      </c>
      <c r="E56" s="69"/>
      <c r="G56" s="64"/>
      <c r="H56" s="64"/>
      <c r="L56" s="63"/>
      <c r="M56" s="18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239826.6</v>
      </c>
      <c r="D57" s="80" t="s">
        <v>59</v>
      </c>
      <c r="E57" s="69"/>
      <c r="G57" s="64"/>
      <c r="H57" s="64"/>
      <c r="L57" s="63"/>
      <c r="M57" s="18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239826.6</v>
      </c>
      <c r="D58" s="80" t="s">
        <v>59</v>
      </c>
      <c r="E58" s="69"/>
      <c r="G58" s="64"/>
      <c r="H58" s="64"/>
      <c r="L58" s="63"/>
      <c r="M58" s="18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70913.279999999999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5372.22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65626.28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5287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70913.279999999999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70913.279999999999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22870.3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2022-03-28T02:50:04Z</dcterms:modified>
</cp:coreProperties>
</file>