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H63" i="2" l="1"/>
  <c r="H64" i="2" s="1"/>
  <c r="H65" i="2" s="1"/>
  <c r="H59" i="2"/>
  <c r="H60" i="2" s="1"/>
  <c r="H61" i="2" s="1"/>
  <c r="H53" i="2"/>
  <c r="H54" i="2" s="1"/>
  <c r="B47" i="2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J109" i="1"/>
  <c r="J104" i="1"/>
  <c r="J103" i="1"/>
  <c r="A109" i="1"/>
  <c r="A105" i="1"/>
  <c r="G102" i="1"/>
  <c r="J101" i="1"/>
  <c r="J96" i="1"/>
  <c r="J95" i="1"/>
  <c r="A100" i="1"/>
  <c r="A99" i="1"/>
  <c r="A96" i="1"/>
  <c r="G94" i="1"/>
  <c r="D94" i="1"/>
  <c r="A94" i="1"/>
  <c r="K94" i="1"/>
  <c r="F110" i="1" l="1"/>
  <c r="A117" i="1"/>
  <c r="F118" i="1"/>
  <c r="A122" i="1"/>
  <c r="A110" i="1"/>
  <c r="A111" i="1"/>
  <c r="A115" i="1"/>
  <c r="D110" i="1"/>
  <c r="A112" i="1"/>
  <c r="F102" i="1"/>
  <c r="A95" i="1"/>
  <c r="A123" i="1"/>
  <c r="A119" i="1"/>
  <c r="A125" i="1"/>
  <c r="A118" i="1"/>
  <c r="A121" i="1"/>
  <c r="A141" i="1"/>
  <c r="F134" i="1"/>
  <c r="A137" i="1"/>
  <c r="A106" i="1"/>
  <c r="F94" i="1"/>
  <c r="A101" i="1"/>
  <c r="A102" i="1"/>
  <c r="A107" i="1"/>
  <c r="A134" i="1"/>
  <c r="A139" i="1"/>
  <c r="A138" i="1"/>
  <c r="A97" i="1"/>
  <c r="A103" i="1"/>
  <c r="A135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<sst xmlns="http://schemas.openxmlformats.org/spreadsheetml/2006/main" count="577" uniqueCount="220">
  <si>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</si>
  <si>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</si>
  <si>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</si>
  <si>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</si>
  <si>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</si>
  <si>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</si>
  <si>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</si>
  <si>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</si>
  <si>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</si>
  <si>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</si>
  <si>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</si>
  <si>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</si>
  <si>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</si>
  <si>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</si>
  <si>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</si>
  <si>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</si>
  <si>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</si>
  <si>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</si>
  <si>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</si>
  <si>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</si>
  <si>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</si>
  <si>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</si>
  <si>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</si>
  <si>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</si>
  <si>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</si>
  <si>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</si>
  <si>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</si>
  <si>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</si>
  <si>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</si>
  <si>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</si>
  <si>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</si>
  <si>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</si>
  <si>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</si>
  <si>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</si>
  <si>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</si>
  <si>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</si>
  <si>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</si>
  <si>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</si>
  <si>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</si>
  <si>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</si>
  <si>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</si>
  <si>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</si>
  <si>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</si>
  <si>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</si>
  <si>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</si>
  <si>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</si>
  <si>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</si>
  <si>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</si>
  <si>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</si>
  <si>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</si>
  <si>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</si>
  <si>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</si>
  <si>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</si>
  <si>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</si>
  <si>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</si>
  <si>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</si>
  <si>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</si>
  <si>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</si>
  <si>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</si>
  <si>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</si>
  <si>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</si>
  <si>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</si>
  <si>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</si>
  <si>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</si>
  <si>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</si>
  <si>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</si>
  <si>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</si>
  <si>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</si>
  <si>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</si>
  <si>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</si>
  <si>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</si>
  <si>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</si>
  <si>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</si>
  <si>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</si>
  <si>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</si>
  <si>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</si>
  <si>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</si>
  <si>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</si>
  <si>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</si>
  <si>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</si>
  <si>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</si>
  <si>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</si>
  <si>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</si>
  <si>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</si>
  <si>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</si>
  <si>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</si>
  <si>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</si>
  <si>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</si>
  <si>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</si>
  <si>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</si>
  <si>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</si>
  <si>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</si>
  <si>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</si>
  <si>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</si>
  <si>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</si>
  <si>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</si>
  <si>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</si>
  <si>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</si>
  <si>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</si>
  <si>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</si>
  <si>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</si>
  <si>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</si>
  <si>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</si>
  <si>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</si>
  <si>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</si>
  <si>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</si>
  <si>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</si>
  <si>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</si>
  <si>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</si>
  <si>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</si>
  <si>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</si>
  <si>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</si>
  <si>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</si>
  <si>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</si>
  <si>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</si>
  <si>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</si>
  <si>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</si>
  <si>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</si>
  <si>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</si>
  <si>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</si>
  <si>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</si>
  <si>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</si>
  <si>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</si>
  <si>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</si>
  <si>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</si>
  <si>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</si>
  <si>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</si>
  <si>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</si>
  <si>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</si>
  <si>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</si>
  <si>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</si>
  <si>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</si>
  <si>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</si>
  <si>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</si>
  <si>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</si>
  <si>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</si>
  <si>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</si>
  <si>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</si>
  <si>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</si>
  <si>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</si>
  <si>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</si>
  <si>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</si>
  <si>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</si>
  <si>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</si>
  <si>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</si>
  <si>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</si>
  <si>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</si>
  <si>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</si>
  <si>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</si>
  <si>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</si>
  <si>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</si>
  <si>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</si>
  <si>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</si>
  <si>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</si>
  <si>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</si>
  <si>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</si>
  <si>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</si>
  <si>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</si>
  <si>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</si>
  <si>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</si>
  <si>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</si>
  <si>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</si>
  <si>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</si>
  <si>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</si>
  <si>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</si>
  <si>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</si>
  <si>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</si>
  <si>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</si>
  <si>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</si>
  <si>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</si>
  <si>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</si>
  <si>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</si>
  <si>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</si>
  <si>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</si>
  <si>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</si>
  <si>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</si>
  <si>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</si>
  <si>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</si>
  <si>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</si>
  <si>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</si>
  <si>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14</t>
  </si>
  <si>
    <t>Отчет об исполнении договора управления многоквартирного дома 
Профсоюзная, 14 в части текущего ремонта</t>
  </si>
  <si>
    <t>Тех. обслуживание видеонаблюдения</t>
  </si>
  <si>
    <t>ежемесячно</t>
  </si>
  <si>
    <t>ежегодно</t>
  </si>
  <si>
    <t>площадь дома</t>
  </si>
  <si>
    <t>разово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</si>
  <si>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</si>
  <si>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</si>
  <si>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</si>
  <si>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</si>
  <si>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</si>
  <si>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Замена светильников в подъезде (5 и 7 этажи).</t>
  </si>
  <si>
    <t>АВР 1/21 от 29.01.2021</t>
  </si>
  <si>
    <t>Монтаж системы диспетчеризации лифта.</t>
  </si>
  <si>
    <t>АВР 2/21 от 30.03.2021, Решение, счет №15 от 28.01.2021</t>
  </si>
  <si>
    <t>Приобретение и установка модульной кнопки в лифте (9 этаж).</t>
  </si>
  <si>
    <t>АВР 3/21 от 30.06.2021, Решение</t>
  </si>
  <si>
    <t>Диагностика и ремонт датчика уличной температуры.</t>
  </si>
  <si>
    <t>Замена датчиков давления на ТП.</t>
  </si>
  <si>
    <t>АВР 4/21 от 31.05.2021, счет №101 от 31.05.2021</t>
  </si>
  <si>
    <t>Частичный ремонт отмостки (8 м*2).</t>
  </si>
  <si>
    <t>АВР 5/21 от 15.10.2021</t>
  </si>
  <si>
    <t>АВР 6/21 от 16.07.2021, счет №153 от 16.07.2021</t>
  </si>
  <si>
    <t>АВР 7/21 от 13.05.2021, счет №98 от 13.05.2021</t>
  </si>
  <si>
    <t>АВР 8/21 от 29.11.2021</t>
  </si>
  <si>
    <t>АВР 9/21 от 29.11.2021</t>
  </si>
  <si>
    <t>Приобретение и установка комплекта аварийного освещения кабины лифта.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</si>
  <si>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</si>
  <si>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</si>
  <si>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</si>
  <si>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</si>
  <si>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</si>
  <si>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</si>
  <si>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</si>
  <si>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</si>
  <si>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минус Подв. 1, Городская строительная компания"</t>
  </si>
  <si>
    <t>минус П/п 9, Городская строительная компания"</t>
  </si>
  <si>
    <t>перерасчет по этим помещениям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</si>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</sst>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3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9" fillId="0" borderId="0" xfId="5" applyNumberFormat="1" applyFill="1" applyBorder="1" applyAlignment="1"/>
    <xf numFmtId="0" fontId="9" fillId="0" borderId="0" xfId="5" applyFill="1" applyBorder="1" applyAlignment="1">
      <alignment horizontal="center"/>
    </xf>
    <xf numFmtId="0" fontId="23" fillId="0" borderId="0" xfId="5" applyFont="1" applyFill="1" applyBorder="1" applyAlignment="1"/>
    <xf numFmtId="0" fontId="16" fillId="0" borderId="0" xfId="6" applyFont="1"/>
    <xf numFmtId="4" fontId="15" fillId="0" borderId="0" xfId="0" applyNumberFormat="1" applyFont="1" applyFill="1" applyBorder="1"/>
    <xf numFmtId="0" fontId="16" fillId="0" borderId="0" xfId="0" applyFont="1" applyBorder="1" applyAlignment="1">
      <alignment wrapText="1"/>
    </xf>
    <xf numFmtId="1" fontId="9" fillId="0" borderId="0" xfId="5" applyNumberFormat="1" applyFill="1" applyBorder="1" applyAlignment="1">
      <alignment horizontal="center"/>
    </xf>
    <xf numFmtId="4" fontId="23" fillId="0" borderId="0" xfId="5" applyNumberFormat="1" applyFont="1" applyFill="1" applyBorder="1" applyAlignment="1"/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6" fillId="0" borderId="0" xfId="5" applyFont="1" applyFill="1" applyBorder="1"/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4" fillId="0" borderId="0" xfId="10" applyFont="1" applyFill="1" applyBorder="1" applyAlignment="1">
      <alignment horizontal="center"/>
    </xf>
    <xf numFmtId="1" fontId="4" fillId="0" borderId="0" xfId="10" applyNumberFormat="1" applyFill="1" applyBorder="1" applyAlignment="1">
      <alignment horizontal="center"/>
    </xf>
    <xf numFmtId="4" fontId="23" fillId="0" borderId="0" xfId="10" applyNumberFormat="1" applyFont="1" applyFill="1" applyBorder="1" applyAlignment="1"/>
    <xf numFmtId="0" fontId="0" fillId="0" borderId="0" xfId="0" applyFill="1"/>
    <xf numFmtId="0" fontId="23" fillId="0" borderId="0" xfId="17" applyFont="1" applyFill="1" applyBorder="1" applyAlignment="1">
      <alignment horizontal="center"/>
    </xf>
    <xf numFmtId="4" fontId="23" fillId="0" borderId="0" xfId="17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" fillId="0" borderId="0" xfId="17" applyFont="1" applyFill="1" applyBorder="1" applyAlignment="1"/>
    <xf numFmtId="0" fontId="2" fillId="0" borderId="0" xfId="17" applyFont="1" applyFill="1" applyBorder="1" applyAlignment="1">
      <alignment horizontal="center"/>
    </xf>
    <xf numFmtId="0" fontId="4" fillId="0" borderId="0" xfId="10" applyFont="1" applyFill="1" applyBorder="1" applyAlignment="1">
      <alignment wrapText="1"/>
    </xf>
    <xf numFmtId="0" fontId="0" fillId="0" borderId="0" xfId="0" applyFill="1" applyBorder="1"/>
    <xf numFmtId="0" fontId="1" fillId="0" borderId="0" xfId="10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25" fillId="3" borderId="0" xfId="15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26">
    <cellStyle name="Обычный" xfId="0" builtinId="0"/>
    <cellStyle name="Обычный 2" xfId="1"/>
    <cellStyle name="Обычный 2 2" xfId="3"/>
    <cellStyle name="Обычный 2 3" xfId="7"/>
    <cellStyle name="Обычный 2 3 2" xfId="22"/>
    <cellStyle name="Обычный 2 4" xfId="11"/>
    <cellStyle name="Обычный 2 5" xfId="15"/>
    <cellStyle name="Обычный 3" xfId="2"/>
    <cellStyle name="Обычный 3 2" xfId="8"/>
    <cellStyle name="Обычный 3 2 2" xfId="21"/>
    <cellStyle name="Обычный 3 3" xfId="12"/>
    <cellStyle name="Обычный 3 3 2" xfId="20"/>
    <cellStyle name="Обычный 3 4" xfId="23"/>
    <cellStyle name="Обычный 3 5" xfId="16"/>
    <cellStyle name="Обычный 4" xfId="4"/>
    <cellStyle name="Обычный 4 2" xfId="9"/>
    <cellStyle name="Обычный 4 2 2" xfId="24"/>
    <cellStyle name="Обычный 4 3" xfId="13"/>
    <cellStyle name="Обычный 4 4" xfId="17"/>
    <cellStyle name="Обычный 5" xfId="5"/>
    <cellStyle name="Обычный 5 2" xfId="10"/>
    <cellStyle name="Обычный 5 2 2" xfId="25"/>
    <cellStyle name="Обычный 5 3" xfId="14"/>
    <cellStyle name="Обычный 5 4" xfId="18"/>
    <cellStyle name="Обычный 6" xfId="6"/>
    <cellStyle name="Финансовый 2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4" sqref="L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9" t="s">
        <v>180</v>
      </c>
      <c r="B2" s="169"/>
      <c r="C2" s="169"/>
      <c r="D2" s="169"/>
      <c r="E2" s="169"/>
      <c r="F2" s="169"/>
      <c r="G2" s="169"/>
      <c r="H2" s="169"/>
      <c r="I2" s="169"/>
      <c r="J2" s="16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9"/>
      <c r="L8" s="170"/>
      <c r="M8" s="109"/>
      <c r="N8" s="109"/>
      <c r="O8" s="70" t="s">
        <v>85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9"/>
      <c r="L9" s="170"/>
      <c r="M9" s="109"/>
      <c r="N9" s="109"/>
      <c r="O9" s="70" t="s">
        <v>86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889250.24</v>
      </c>
      <c r="K10" s="109"/>
      <c r="L10" s="170"/>
      <c r="M10" s="109"/>
      <c r="N10" s="109"/>
      <c r="O10" s="70" t="s">
        <v>87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631644.52</v>
      </c>
      <c r="K11" s="109"/>
      <c r="L11" s="170"/>
      <c r="M11" s="109"/>
      <c r="N11" s="109"/>
      <c r="O11" s="70" t="s">
        <v>88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385704.92</v>
      </c>
      <c r="K12" s="109"/>
      <c r="L12" s="170"/>
      <c r="M12" s="109"/>
      <c r="N12" s="109"/>
      <c r="O12" s="70" t="s">
        <v>89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121400.66</v>
      </c>
      <c r="K13" s="109"/>
      <c r="L13" s="170"/>
      <c r="M13" s="109"/>
      <c r="N13" s="109"/>
      <c r="O13" s="70" t="s">
        <v>90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124538.94</v>
      </c>
      <c r="K14" s="109"/>
      <c r="L14" s="170"/>
      <c r="M14" s="109"/>
      <c r="N14" s="109"/>
      <c r="O14" s="70" t="s">
        <v>91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850897.04</v>
      </c>
      <c r="K15" s="109"/>
      <c r="L15" s="170"/>
      <c r="M15" s="109"/>
      <c r="N15" s="109"/>
      <c r="O15" s="70" t="s">
        <v>92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850897.04</v>
      </c>
      <c r="K16" s="109"/>
      <c r="L16" s="170"/>
      <c r="M16" s="109"/>
      <c r="N16" s="109"/>
      <c r="O16" s="70" t="s">
        <v>93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9"/>
      <c r="L17" s="170"/>
      <c r="M17" s="109"/>
      <c r="N17" s="109"/>
      <c r="O17" s="70" t="s">
        <v>94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9"/>
      <c r="L18" s="170"/>
      <c r="M18" s="109"/>
      <c r="N18" s="109"/>
      <c r="O18" s="70" t="s">
        <v>95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9"/>
      <c r="L19" s="170"/>
      <c r="M19" s="109"/>
      <c r="N19" s="109"/>
      <c r="O19" s="70" t="s">
        <v>96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9"/>
      <c r="L20" s="170"/>
      <c r="M20" s="109"/>
      <c r="N20" s="109"/>
      <c r="O20" s="70" t="s">
        <v>97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850897.04</v>
      </c>
      <c r="K21" s="109"/>
      <c r="L21" s="170"/>
      <c r="M21" s="109"/>
      <c r="N21" s="109"/>
      <c r="O21" s="70" t="s">
        <v>98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9"/>
      <c r="L22" s="170"/>
      <c r="M22" s="109"/>
      <c r="N22" s="109"/>
      <c r="O22" s="70" t="s">
        <v>99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9"/>
      <c r="L23" s="170"/>
      <c r="M23" s="109"/>
      <c r="N23" s="109"/>
      <c r="O23" s="70" t="s">
        <v>100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669997.72</v>
      </c>
      <c r="K24" s="109"/>
      <c r="L24" s="170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09"/>
      <c r="L27" s="17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250900.92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9"/>
      <c r="L28" s="17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Работы по содержанию лифта (лифтов)</v>
      </c>
      <c r="B29" s="154"/>
      <c r="C29" s="154"/>
      <c r="D29" s="154"/>
      <c r="E29" s="154"/>
      <c r="F29" s="159">
        <f>VLOOKUP(A29,ПТО!$A$39:$D$53,2,FALSE)</f>
        <v>54560.4</v>
      </c>
      <c r="G29" s="159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09"/>
      <c r="L29" s="17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53791.92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9"/>
      <c r="L30" s="17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46107.360000000001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09"/>
      <c r="L31" s="17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09"/>
      <c r="L32" s="17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13448.04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09"/>
      <c r="L33" s="17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61092.24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9"/>
      <c r="L34" s="17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4"/>
      <c r="C35" s="154"/>
      <c r="D35" s="154"/>
      <c r="E35" s="154"/>
      <c r="F35" s="159">
        <f>VLOOKUP(A35,ПТО!$A$39:$D$53,2,FALSE)</f>
        <v>153306.96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09"/>
      <c r="L35" s="171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4" t="str">
        <f>ПТО!A47</f>
        <v>Коммунальные ресурсы на содержание общего имущества</v>
      </c>
      <c r="B36" s="154"/>
      <c r="C36" s="154"/>
      <c r="D36" s="154"/>
      <c r="E36" s="154"/>
      <c r="F36" s="159">
        <f>VLOOKUP(A36,ПТО!$A$39:$D$53,2,FALSE)</f>
        <v>37019.285550000001</v>
      </c>
      <c r="G36" s="159"/>
      <c r="H36" s="42" t="str">
        <f>VLOOKUP(A36,ПТО!$A$39:$D$53,3,FALSE)</f>
        <v>Ежемесячно</v>
      </c>
      <c r="I36" s="155">
        <f>VLOOKUP(A36,ПТО!$A$39:$D$53,4,FALSE)</f>
        <v>12</v>
      </c>
      <c r="J36" s="155"/>
      <c r="K36" s="109"/>
      <c r="L36" s="171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09"/>
      <c r="L37" s="171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09"/>
      <c r="L38" s="171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09"/>
      <c r="L39" s="171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09"/>
      <c r="L40" s="171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09"/>
      <c r="L41" s="171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09"/>
      <c r="L42" s="171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Тех. обслуживание видеонаблюдения</v>
      </c>
      <c r="B43" s="154"/>
      <c r="C43" s="154"/>
      <c r="D43" s="154"/>
      <c r="E43" s="154"/>
      <c r="F43" s="159">
        <f>VLOOKUP(A43,ПТО!$A$2:$D$31,4,FALSE)</f>
        <v>33600</v>
      </c>
      <c r="G43" s="159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09"/>
      <c r="L43" s="171"/>
      <c r="M43" s="116"/>
      <c r="N43" s="109"/>
      <c r="O43" s="23" t="str">
        <f t="shared" si="1"/>
        <v>Тех. обслуживание видеонаблюдения</v>
      </c>
      <c r="R43" s="22" t="s">
        <v>72</v>
      </c>
    </row>
    <row r="44" spans="1:18" ht="51" customHeight="1" outlineLevel="1">
      <c r="A44" s="154" t="str">
        <f>ПТО!A3</f>
        <v>Техническое освидетельствование лифта.</v>
      </c>
      <c r="B44" s="154"/>
      <c r="C44" s="154"/>
      <c r="D44" s="154"/>
      <c r="E44" s="154"/>
      <c r="F44" s="159">
        <f>VLOOKUP(A44,ПТО!$A$2:$D$31,4,FALSE)</f>
        <v>4100</v>
      </c>
      <c r="G44" s="159"/>
      <c r="H44" s="25" t="str">
        <f>VLOOKUP(A44,ПТО!$A$2:$D$31,2,FALSE)</f>
        <v>ежегодно</v>
      </c>
      <c r="I44" s="155">
        <f>VLOOKUP(A44,ПТО!$A$2:$D$31,3,FALSE)</f>
        <v>1</v>
      </c>
      <c r="J44" s="155"/>
      <c r="K44" s="109"/>
      <c r="L44" s="171"/>
      <c r="M44" s="116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54" t="str">
        <f>ПТО!A4</f>
        <v>Замена светильников в подъезде (5 и 7 этажи).</v>
      </c>
      <c r="B45" s="154"/>
      <c r="C45" s="154"/>
      <c r="D45" s="154"/>
      <c r="E45" s="154"/>
      <c r="F45" s="159">
        <f>VLOOKUP(A45,ПТО!$A$2:$D$31,4,FALSE)</f>
        <v>2200</v>
      </c>
      <c r="G45" s="159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09"/>
      <c r="L45" s="171"/>
      <c r="M45" s="116"/>
      <c r="N45" s="109"/>
      <c r="O45" s="23" t="str">
        <f t="shared" si="1"/>
        <v>Замена светильников в подъезде (5 и 7 этажи).</v>
      </c>
      <c r="R45" s="22" t="s">
        <v>72</v>
      </c>
    </row>
    <row r="46" spans="1:18" ht="51" customHeight="1" outlineLevel="1">
      <c r="A46" s="154" t="str">
        <f>ПТО!A5</f>
        <v>Монтаж системы диспетчеризации лифта.</v>
      </c>
      <c r="B46" s="154"/>
      <c r="C46" s="154"/>
      <c r="D46" s="154"/>
      <c r="E46" s="154"/>
      <c r="F46" s="159">
        <f>VLOOKUP(A46,ПТО!$A$2:$D$31,4,FALSE)</f>
        <v>39259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9"/>
      <c r="L46" s="171"/>
      <c r="M46" s="116"/>
      <c r="N46" s="109"/>
      <c r="O46" s="23" t="str">
        <f t="shared" si="1"/>
        <v>Монтаж системы диспетчеризации лифта.</v>
      </c>
      <c r="R46" s="22" t="s">
        <v>72</v>
      </c>
    </row>
    <row r="47" spans="1:18" ht="51" customHeight="1" outlineLevel="1">
      <c r="A47" s="154" t="str">
        <f>ПТО!A6</f>
        <v>Приобретение и установка модульной кнопки в лифте (9 этаж).</v>
      </c>
      <c r="B47" s="154"/>
      <c r="C47" s="154"/>
      <c r="D47" s="154"/>
      <c r="E47" s="154"/>
      <c r="F47" s="159">
        <f>VLOOKUP(A47,ПТО!$A$2:$D$31,4,FALSE)</f>
        <v>1750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9"/>
      <c r="L47" s="171"/>
      <c r="M47" s="116"/>
      <c r="N47" s="109"/>
      <c r="O47" s="23" t="str">
        <f t="shared" si="1"/>
        <v>Приобретение и установка модульной кнопки в лифте (9 этаж).</v>
      </c>
      <c r="R47" s="22" t="s">
        <v>72</v>
      </c>
    </row>
    <row r="48" spans="1:18" ht="51" customHeight="1" outlineLevel="1">
      <c r="A48" s="154" t="str">
        <f>ПТО!A7</f>
        <v>Приобретение и установка комплекта аварийного освещения кабины лифта.</v>
      </c>
      <c r="B48" s="154"/>
      <c r="C48" s="154"/>
      <c r="D48" s="154"/>
      <c r="E48" s="154"/>
      <c r="F48" s="159">
        <f>VLOOKUP(A48,ПТО!$A$2:$D$31,4,FALSE)</f>
        <v>1379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9"/>
      <c r="L48" s="171"/>
      <c r="M48" s="116"/>
      <c r="N48" s="109"/>
      <c r="O48" s="23" t="str">
        <f t="shared" si="1"/>
        <v>Приобретение и установка комплекта аварийного освещения кабины лифта.</v>
      </c>
      <c r="R48" s="22" t="s">
        <v>72</v>
      </c>
    </row>
    <row r="49" spans="1:18" ht="51" customHeight="1" outlineLevel="1">
      <c r="A49" s="154" t="str">
        <f>ПТО!A8</f>
        <v>Частичный ремонт отмостки (8 м*2).</v>
      </c>
      <c r="B49" s="154"/>
      <c r="C49" s="154"/>
      <c r="D49" s="154"/>
      <c r="E49" s="154"/>
      <c r="F49" s="159">
        <f>VLOOKUP(A49,ПТО!$A$2:$D$31,4,FALSE)</f>
        <v>13200</v>
      </c>
      <c r="G49" s="159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9"/>
      <c r="L49" s="171"/>
      <c r="M49" s="116"/>
      <c r="N49" s="109"/>
      <c r="O49" s="23" t="str">
        <f t="shared" si="1"/>
        <v>Частичный ремонт отмостки (8 м*2).</v>
      </c>
      <c r="R49" s="22" t="s">
        <v>72</v>
      </c>
    </row>
    <row r="50" spans="1:18" ht="51" customHeight="1" outlineLevel="1">
      <c r="A50" s="154" t="str">
        <f>ПТО!A9</f>
        <v>Диагностика и ремонт датчика уличной температуры.</v>
      </c>
      <c r="B50" s="154"/>
      <c r="C50" s="154"/>
      <c r="D50" s="154"/>
      <c r="E50" s="154"/>
      <c r="F50" s="159">
        <f>VLOOKUP(A50,ПТО!$A$2:$D$31,4,FALSE)</f>
        <v>1062</v>
      </c>
      <c r="G50" s="159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9"/>
      <c r="L50" s="171"/>
      <c r="M50" s="116"/>
      <c r="N50" s="109"/>
      <c r="O50" s="23" t="str">
        <f t="shared" si="1"/>
        <v>Диагностика и ремонт датчика уличной температуры.</v>
      </c>
      <c r="R50" s="22" t="s">
        <v>72</v>
      </c>
    </row>
    <row r="51" spans="1:18" ht="51" customHeight="1" outlineLevel="1">
      <c r="A51" s="154" t="str">
        <f>ПТО!A10</f>
        <v>Замена датчиков давления на ТП.</v>
      </c>
      <c r="B51" s="154"/>
      <c r="C51" s="154"/>
      <c r="D51" s="154"/>
      <c r="E51" s="154"/>
      <c r="F51" s="159">
        <f>VLOOKUP(A51,ПТО!$A$2:$D$31,4,FALSE)</f>
        <v>4275</v>
      </c>
      <c r="G51" s="159"/>
      <c r="H51" s="25" t="str">
        <f>VLOOKUP(A51,ПТО!$A$2:$D$31,2,FALSE)</f>
        <v>разово</v>
      </c>
      <c r="I51" s="155">
        <f>VLOOKUP(A51,ПТО!$A$2:$D$31,3,FALSE)</f>
        <v>1</v>
      </c>
      <c r="J51" s="155"/>
      <c r="K51" s="109"/>
      <c r="L51" s="171"/>
      <c r="M51" s="116"/>
      <c r="N51" s="109"/>
      <c r="O51" s="23" t="str">
        <f t="shared" si="1"/>
        <v>Замена датчиков давления на ТП.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09"/>
      <c r="L52" s="171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09"/>
      <c r="L53" s="171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09"/>
      <c r="L54" s="171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09"/>
      <c r="L55" s="171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09"/>
      <c r="L56" s="171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09"/>
      <c r="L57" s="171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09"/>
      <c r="L58" s="171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9"/>
      <c r="L59" s="171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9"/>
      <c r="L60" s="171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9"/>
      <c r="L61" s="171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9"/>
      <c r="L62" s="171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9"/>
      <c r="L63" s="171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9"/>
      <c r="L64" s="171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9"/>
      <c r="L65" s="171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9"/>
      <c r="L66" s="171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9"/>
      <c r="L67" s="171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9"/>
      <c r="L68" s="171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9"/>
      <c r="L69" s="171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9"/>
      <c r="L70" s="171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6"/>
      <c r="L71" s="171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9"/>
      <c r="L72" s="171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9"/>
      <c r="L75" s="174"/>
      <c r="M75" s="109"/>
      <c r="N75" s="109"/>
      <c r="O75" s="70" t="s">
        <v>102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9"/>
      <c r="L76" s="174"/>
      <c r="M76" s="109"/>
      <c r="N76" s="109"/>
      <c r="O76" s="70" t="s">
        <v>103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9"/>
      <c r="L77" s="174"/>
      <c r="M77" s="109"/>
      <c r="N77" s="109"/>
      <c r="O77" s="70" t="s">
        <v>104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7">
        <f>VLOOKUP(O78,АО,3,FALSE)</f>
        <v>0</v>
      </c>
      <c r="K78" s="109"/>
      <c r="L78" s="174"/>
      <c r="M78" s="109"/>
      <c r="N78" s="109"/>
      <c r="O78" s="70" t="s">
        <v>105</v>
      </c>
    </row>
    <row r="79" spans="1:16384">
      <c r="A79" s="115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7">
        <f t="shared" ref="J81:J90" si="2">VLOOKUP(O81,АО,3,FALSE)</f>
        <v>0</v>
      </c>
      <c r="K81" s="109"/>
      <c r="L81" s="160"/>
      <c r="M81" s="109"/>
      <c r="N81" s="109"/>
      <c r="O81" s="70" t="s">
        <v>106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7">
        <f t="shared" si="2"/>
        <v>0</v>
      </c>
      <c r="K82" s="109"/>
      <c r="L82" s="160"/>
      <c r="M82" s="109"/>
      <c r="N82" s="109"/>
      <c r="O82" s="70" t="s">
        <v>107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293698.03999999998</v>
      </c>
      <c r="K83" s="109"/>
      <c r="L83" s="160"/>
      <c r="M83" s="109"/>
      <c r="N83" s="109"/>
      <c r="O83" s="70" t="s">
        <v>108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60"/>
      <c r="M84" s="109"/>
      <c r="N84" s="109"/>
      <c r="O84" s="70" t="s">
        <v>109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60"/>
      <c r="M85" s="109"/>
      <c r="N85" s="109"/>
      <c r="O85" s="70" t="s">
        <v>110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202014.14</v>
      </c>
      <c r="K86" s="109"/>
      <c r="L86" s="160"/>
      <c r="M86" s="109"/>
      <c r="N86" s="109"/>
      <c r="O86" s="70" t="s">
        <v>111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60"/>
      <c r="M87" s="109"/>
      <c r="N87" s="109"/>
      <c r="O87" s="70" t="s">
        <v>112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60"/>
      <c r="M88" s="109"/>
      <c r="N88" s="109"/>
      <c r="O88" s="70" t="s">
        <v>113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60"/>
      <c r="M89" s="109"/>
      <c r="N89" s="109"/>
      <c r="O89" s="70" t="s">
        <v>114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60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09"/>
      <c r="L93" s="109"/>
      <c r="M93" s="109"/>
      <c r="N93" s="109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178343.8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148619.82999999999</v>
      </c>
      <c r="L95" s="161"/>
      <c r="O95" s="1" t="s">
        <v>116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237906.05</v>
      </c>
      <c r="L96" s="161"/>
      <c r="O96" s="1" t="s">
        <v>117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61"/>
      <c r="O97" s="1" t="s">
        <v>118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178343.8</v>
      </c>
      <c r="L98" s="161"/>
      <c r="O98" s="1" t="s">
        <v>119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178343.8</v>
      </c>
      <c r="L99" s="161"/>
      <c r="O99" s="1" t="s">
        <v>120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121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122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69780.39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5286.39</v>
      </c>
      <c r="L103" s="161"/>
      <c r="O103" s="1" t="s">
        <v>125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76045.34</v>
      </c>
      <c r="L104" s="161"/>
      <c r="O104" s="1" t="s">
        <v>126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0</v>
      </c>
      <c r="L105" s="161"/>
      <c r="O105" s="1" t="s">
        <v>127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69780.39</v>
      </c>
      <c r="L106" s="161"/>
      <c r="O106" s="1" t="s">
        <v>128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69780.39</v>
      </c>
      <c r="L107" s="161"/>
      <c r="O107" s="1" t="s">
        <v>129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130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131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146797.87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9151.98</v>
      </c>
      <c r="L111" s="161"/>
      <c r="O111" s="1" t="s">
        <v>133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158731.60999999999</v>
      </c>
      <c r="L112" s="161"/>
      <c r="O112" s="1" t="s">
        <v>134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61"/>
      <c r="O113" s="1" t="s">
        <v>135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146797.87</v>
      </c>
      <c r="L114" s="161"/>
      <c r="O114" s="1" t="s">
        <v>136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146797.87</v>
      </c>
      <c r="L115" s="161"/>
      <c r="O115" s="1" t="s">
        <v>137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138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139</v>
      </c>
    </row>
    <row r="118" spans="1:15" ht="32.25" customHeight="1" outlineLevel="1">
      <c r="A118" s="156" t="str">
        <f>IF(VLOOKUP("тко",АО,3,FALSE)&gt;0,"Обращение с ТКО",0)</f>
        <v>Обращение с ТКО</v>
      </c>
      <c r="B118" s="156"/>
      <c r="C118" s="156"/>
      <c r="D118" s="157" t="str">
        <f>IF(VLOOKUP("тко",АО,3,FALSE)&gt;0,VLOOKUP("тко",АО,3,FALSE),0)</f>
        <v>Предоставляется</v>
      </c>
      <c r="E118" s="157"/>
      <c r="F118" s="13" t="str">
        <f>IF(VLOOKUP("тко",АО,3,FALSE)&gt;0,VLOOKUP("тко",АО,4,FALSE),0)</f>
        <v>куб.м.</v>
      </c>
      <c r="G118" s="158">
        <f>VLOOKUP("тко",АО,5,FALSE)</f>
        <v>115253.01</v>
      </c>
      <c r="H118" s="157"/>
      <c r="I118" s="157"/>
      <c r="J118" s="157"/>
      <c r="L118" s="47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214.28</v>
      </c>
      <c r="L119" s="47"/>
      <c r="O119" s="1" t="s">
        <v>141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125916.37</v>
      </c>
      <c r="L120" s="47"/>
      <c r="O120" s="1" t="s">
        <v>142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7"/>
      <c r="O121" s="1" t="s">
        <v>143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115253.01</v>
      </c>
      <c r="L122" s="47"/>
      <c r="O122" s="1" t="s">
        <v>144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115253.01</v>
      </c>
      <c r="L123" s="47"/>
      <c r="O123" s="1" t="s">
        <v>145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8">
        <f>VLOOKUP("гвс",АО,5,FALSE)</f>
        <v>47730.06</v>
      </c>
      <c r="H126" s="157"/>
      <c r="I126" s="157"/>
      <c r="J126" s="157"/>
      <c r="L126" s="47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3615.91</v>
      </c>
      <c r="L127" s="47"/>
      <c r="O127" s="1" t="s">
        <v>149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50989.66</v>
      </c>
      <c r="L128" s="47"/>
      <c r="O128" s="1" t="s">
        <v>150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7"/>
      <c r="O129" s="1" t="s">
        <v>151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47730.06</v>
      </c>
      <c r="L130" s="47"/>
      <c r="O130" s="1" t="s">
        <v>152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47730.06</v>
      </c>
      <c r="L131" s="47"/>
      <c r="O131" s="1" t="s">
        <v>153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7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7"/>
      <c r="O135" s="1" t="s">
        <v>157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7"/>
      <c r="O136" s="1" t="s">
        <v>158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7"/>
      <c r="O138" s="1" t="s">
        <v>160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7"/>
      <c r="O139" s="1" t="s">
        <v>161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7"/>
      <c r="O141" s="1" t="s">
        <v>163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173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52" t="s">
        <v>176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0</v>
      </c>
      <c r="O146" t="s">
        <v>175</v>
      </c>
    </row>
    <row r="149" spans="1:15" ht="52.5" customHeight="1">
      <c r="A149" s="177" t="s">
        <v>181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9" t="s">
        <v>187</v>
      </c>
      <c r="B154" s="179"/>
      <c r="C154" s="179"/>
      <c r="D154" s="179"/>
      <c r="E154" s="27">
        <f>ПТО!G1</f>
        <v>-167084.24</v>
      </c>
    </row>
    <row r="155" spans="1:15" ht="34.5" customHeight="1">
      <c r="A155" s="178" t="s">
        <v>189</v>
      </c>
      <c r="B155" s="178"/>
      <c r="C155" s="178"/>
      <c r="D155" s="178"/>
      <c r="E155" s="28">
        <f>J13</f>
        <v>121400.66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Тех. обслуживание видеонаблюдения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33600</v>
      </c>
      <c r="G158" s="159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Тех. обслуживание видеонаблюдения</v>
      </c>
    </row>
    <row r="159" spans="1:15" ht="28.5" customHeight="1">
      <c r="A159" s="154" t="str">
        <f t="shared" si="14"/>
        <v>Техническое освидетельствование лифта.</v>
      </c>
      <c r="B159" s="154"/>
      <c r="C159" s="154"/>
      <c r="D159" s="154"/>
      <c r="E159" s="154"/>
      <c r="F159" s="159">
        <f t="shared" si="15"/>
        <v>4100</v>
      </c>
      <c r="G159" s="159"/>
      <c r="H159" s="24" t="str">
        <f t="shared" si="16"/>
        <v>ежегодно</v>
      </c>
      <c r="I159" s="155">
        <f t="shared" si="17"/>
        <v>1</v>
      </c>
      <c r="J159" s="155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54" t="str">
        <f t="shared" si="14"/>
        <v>Замена светильников в подъезде (5 и 7 этажи).</v>
      </c>
      <c r="B160" s="154"/>
      <c r="C160" s="154"/>
      <c r="D160" s="154"/>
      <c r="E160" s="154"/>
      <c r="F160" s="159">
        <f t="shared" si="15"/>
        <v>2200</v>
      </c>
      <c r="G160" s="159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Замена светильников в подъезде (5 и 7 этажи).</v>
      </c>
    </row>
    <row r="161" spans="1:14" ht="28.5" customHeight="1">
      <c r="A161" s="154" t="str">
        <f>IF(N161&gt;0,N161,0)</f>
        <v>Монтаж системы диспетчеризации лифта.</v>
      </c>
      <c r="B161" s="154"/>
      <c r="C161" s="154"/>
      <c r="D161" s="154"/>
      <c r="E161" s="154"/>
      <c r="F161" s="159">
        <f t="shared" si="15"/>
        <v>39259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Монтаж системы диспетчеризации лифта.</v>
      </c>
    </row>
    <row r="162" spans="1:14" ht="28.5" customHeight="1">
      <c r="A162" s="154" t="str">
        <f t="shared" si="14"/>
        <v>Приобретение и установка модульной кнопки в лифте (9 этаж).</v>
      </c>
      <c r="B162" s="154"/>
      <c r="C162" s="154"/>
      <c r="D162" s="154"/>
      <c r="E162" s="154"/>
      <c r="F162" s="159">
        <f t="shared" si="15"/>
        <v>1750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Приобретение и установка модульной кнопки в лифте (9 этаж).</v>
      </c>
    </row>
    <row r="163" spans="1:14" ht="28.5" customHeight="1">
      <c r="A163" s="154" t="str">
        <f t="shared" si="14"/>
        <v>Приобретение и установка комплекта аварийного освещения кабины лифта.</v>
      </c>
      <c r="B163" s="154"/>
      <c r="C163" s="154"/>
      <c r="D163" s="154"/>
      <c r="E163" s="154"/>
      <c r="F163" s="159">
        <f t="shared" si="15"/>
        <v>1379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Приобретение и установка комплекта аварийного освещения кабины лифта.</v>
      </c>
    </row>
    <row r="164" spans="1:14" ht="28.5" customHeight="1">
      <c r="A164" s="154" t="str">
        <f t="shared" ref="A164:A187" si="18">IF(N164&gt;0,N164,0)</f>
        <v>Частичный ремонт отмостки (8 м*2).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13200</v>
      </c>
      <c r="G164" s="159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Частичный ремонт отмостки (8 м*2).</v>
      </c>
    </row>
    <row r="165" spans="1:14" ht="28.5" customHeight="1">
      <c r="A165" s="154" t="str">
        <f t="shared" si="18"/>
        <v>Диагностика и ремонт датчика уличной температуры.</v>
      </c>
      <c r="B165" s="154"/>
      <c r="C165" s="154"/>
      <c r="D165" s="154"/>
      <c r="E165" s="154"/>
      <c r="F165" s="159">
        <f t="shared" si="19"/>
        <v>1062</v>
      </c>
      <c r="G165" s="159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Диагностика и ремонт датчика уличной температуры.</v>
      </c>
    </row>
    <row r="166" spans="1:14" ht="28.5" customHeight="1">
      <c r="A166" s="154" t="str">
        <f t="shared" si="18"/>
        <v>Замена датчиков давления на ТП.</v>
      </c>
      <c r="B166" s="154"/>
      <c r="C166" s="154"/>
      <c r="D166" s="154"/>
      <c r="E166" s="154"/>
      <c r="F166" s="159">
        <f t="shared" si="19"/>
        <v>4275</v>
      </c>
      <c r="G166" s="159"/>
      <c r="H166" s="29" t="str">
        <f t="shared" si="16"/>
        <v>разово</v>
      </c>
      <c r="I166" s="155">
        <f t="shared" si="20"/>
        <v>1</v>
      </c>
      <c r="J166" s="155"/>
      <c r="M166" s="22" t="s">
        <v>72</v>
      </c>
      <c r="N166" s="1" t="str">
        <v>Замена датчиков давления на ТП.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9">
        <f t="shared" si="19"/>
        <v>0</v>
      </c>
      <c r="G167" s="159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9">
        <f t="shared" si="19"/>
        <v>0</v>
      </c>
      <c r="G168" s="159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9">
        <f t="shared" si="19"/>
        <v>0</v>
      </c>
      <c r="G169" s="159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79" t="s">
        <v>190</v>
      </c>
      <c r="B190" s="179"/>
      <c r="C190" s="179"/>
      <c r="D190" s="179"/>
      <c r="E190" s="27">
        <f>SUM(F158:G187)</f>
        <v>100825</v>
      </c>
    </row>
    <row r="191" spans="1:14" ht="51.75" customHeight="1">
      <c r="A191" s="179" t="s">
        <v>191</v>
      </c>
      <c r="B191" s="179"/>
      <c r="C191" s="179"/>
      <c r="D191" s="179"/>
      <c r="E191" s="27">
        <f>E190+E154-E155</f>
        <v>-187659.9</v>
      </c>
    </row>
    <row r="192" spans="1:14">
      <c r="A192" s="104" t="s">
        <v>177</v>
      </c>
    </row>
    <row r="193" spans="1:10" ht="62.25" customHeight="1">
      <c r="A193" s="153" t="s">
        <v>188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49">
        <f>ПТО!G12</f>
        <v>1200</v>
      </c>
      <c r="I194" s="50" t="s">
        <v>75</v>
      </c>
    </row>
    <row r="195" spans="1:10" ht="18.75" customHeight="1">
      <c r="A195" s="151" t="str">
        <f>ПТО!F13</f>
        <v xml:space="preserve">  -  техническое освидетельствование лифта</v>
      </c>
      <c r="B195" s="151"/>
      <c r="C195" s="151"/>
      <c r="D195" s="151"/>
      <c r="E195" s="151"/>
      <c r="F195" s="151"/>
      <c r="G195" s="151"/>
      <c r="H195" s="49">
        <f>ПТО!G13</f>
        <v>4100</v>
      </c>
      <c r="I195" s="50" t="s">
        <v>75</v>
      </c>
    </row>
    <row r="196" spans="1:10" ht="18.75" customHeight="1">
      <c r="A196" s="151" t="str">
        <f>ПТО!F14</f>
        <v xml:space="preserve">  -  техническое обслуживание системы видеонаблюдения</v>
      </c>
      <c r="B196" s="151"/>
      <c r="C196" s="151"/>
      <c r="D196" s="151"/>
      <c r="E196" s="151"/>
      <c r="F196" s="151"/>
      <c r="G196" s="151"/>
      <c r="H196" s="49">
        <f>ПТО!G14</f>
        <v>33600</v>
      </c>
      <c r="I196" s="50" t="s">
        <v>75</v>
      </c>
    </row>
    <row r="197" spans="1:10" ht="18.75" customHeight="1">
      <c r="A197" s="151" t="str">
        <f>ПТО!F15</f>
        <v xml:space="preserve">  -  обслуживание ТП и кабельных линий</v>
      </c>
      <c r="B197" s="151"/>
      <c r="C197" s="151"/>
      <c r="D197" s="151"/>
      <c r="E197" s="151"/>
      <c r="F197" s="151"/>
      <c r="G197" s="151"/>
      <c r="H197" s="49">
        <f>ПТО!G15</f>
        <v>15000</v>
      </c>
      <c r="I197" s="50" t="s">
        <v>75</v>
      </c>
    </row>
    <row r="198" spans="1:10" ht="18.75" customHeight="1">
      <c r="A198" s="151" t="str">
        <f>ПТО!F16</f>
        <v xml:space="preserve">  -  ремонт подъезда</v>
      </c>
      <c r="B198" s="151"/>
      <c r="C198" s="151"/>
      <c r="D198" s="151"/>
      <c r="E198" s="151"/>
      <c r="F198" s="151"/>
      <c r="G198" s="151"/>
      <c r="H198" s="49">
        <f>ПТО!G16</f>
        <v>200000</v>
      </c>
      <c r="I198" s="52" t="s">
        <v>75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49">
        <f>ПТО!G17</f>
        <v>0</v>
      </c>
      <c r="I199" s="50" t="s">
        <v>75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49">
        <f>ПТО!G18</f>
        <v>0</v>
      </c>
      <c r="I200" s="50" t="s">
        <v>75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49">
        <f>ПТО!G19</f>
        <v>0</v>
      </c>
      <c r="I201" s="50" t="s">
        <v>75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49">
        <f>ПТО!G20</f>
        <v>0</v>
      </c>
      <c r="I202" s="50" t="s">
        <v>75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49">
        <f>ПТО!G21</f>
        <v>0</v>
      </c>
      <c r="I203" s="50" t="s">
        <v>75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49">
        <f>ПТО!G22</f>
        <v>0</v>
      </c>
      <c r="I204" s="50" t="s">
        <v>75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49">
        <f>ПТО!G23</f>
        <v>0</v>
      </c>
      <c r="I205" s="50" t="s">
        <v>75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49">
        <f>ПТО!G24</f>
        <v>0</v>
      </c>
      <c r="I206" s="50" t="s">
        <v>75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49">
        <f>ПТО!G25</f>
        <v>0</v>
      </c>
      <c r="I207" s="50" t="s">
        <v>75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49">
        <f>ПТО!G26</f>
        <v>0</v>
      </c>
      <c r="I208" s="50" t="s">
        <v>75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49">
        <f>ПТО!G27</f>
        <v>0</v>
      </c>
      <c r="I209" s="50" t="s">
        <v>75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49">
        <f>ПТО!G28</f>
        <v>0</v>
      </c>
      <c r="I210" s="50" t="s">
        <v>75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49">
        <f>ПТО!G29</f>
        <v>0</v>
      </c>
      <c r="I211" s="50" t="s">
        <v>75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49">
        <f>ПТО!G30</f>
        <v>0</v>
      </c>
      <c r="I212" s="50" t="s">
        <v>75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49">
        <f>ПТО!G31</f>
        <v>0</v>
      </c>
      <c r="I213" s="50" t="s">
        <v>75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253900</v>
      </c>
      <c r="I214" s="56" t="s">
        <v>80</v>
      </c>
    </row>
  </sheetData>
  <sheetProtection algorithmName="SHA-512" hashValue="rzn2PS0El48TY12So+d0DYASuZlZhRFYlpwOzNB01LwVK56toR0hd7/mkwzK/FIPwdQLSywxwvTAzOmbeW82gA==" saltValue="Z07OF6HxkjDyiBEjNRWO1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-167084.24</f>
        <v>-167084.24</v>
      </c>
    </row>
    <row r="2" spans="1:12" ht="18.75" customHeight="1">
      <c r="A2" s="120" t="s">
        <v>182</v>
      </c>
      <c r="B2" s="119" t="s">
        <v>183</v>
      </c>
      <c r="C2" s="119">
        <v>12</v>
      </c>
      <c r="D2" s="118">
        <v>33600</v>
      </c>
      <c r="E2" s="146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73</v>
      </c>
      <c r="B3" s="119" t="s">
        <v>184</v>
      </c>
      <c r="C3" s="119">
        <v>1</v>
      </c>
      <c r="D3" s="118">
        <v>4100</v>
      </c>
      <c r="E3" s="146" t="s">
        <v>206</v>
      </c>
      <c r="F3" s="30"/>
      <c r="G3" s="30"/>
      <c r="L3" s="33" t="str">
        <f t="shared" si="0"/>
        <v>ТР</v>
      </c>
    </row>
    <row r="4" spans="1:12" ht="18.75" customHeight="1">
      <c r="A4" s="126" t="s">
        <v>192</v>
      </c>
      <c r="B4" s="127" t="s">
        <v>186</v>
      </c>
      <c r="C4" s="124">
        <v>1</v>
      </c>
      <c r="D4" s="125">
        <v>2200</v>
      </c>
      <c r="E4" s="128" t="s">
        <v>193</v>
      </c>
      <c r="F4" s="30"/>
      <c r="G4" s="30"/>
      <c r="L4" s="33" t="str">
        <f t="shared" si="0"/>
        <v>ТР</v>
      </c>
    </row>
    <row r="5" spans="1:12" ht="18.75" customHeight="1">
      <c r="A5" s="120" t="s">
        <v>194</v>
      </c>
      <c r="B5" s="127" t="s">
        <v>186</v>
      </c>
      <c r="C5" s="119">
        <v>1</v>
      </c>
      <c r="D5" s="118">
        <v>39259</v>
      </c>
      <c r="E5" s="129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20" t="s">
        <v>196</v>
      </c>
      <c r="B6" s="130" t="s">
        <v>186</v>
      </c>
      <c r="C6" s="119">
        <v>1</v>
      </c>
      <c r="D6" s="118">
        <v>1750</v>
      </c>
      <c r="E6" s="131" t="s">
        <v>197</v>
      </c>
      <c r="F6" s="44"/>
      <c r="G6" s="44"/>
      <c r="K6" s="46"/>
      <c r="L6" s="33" t="str">
        <f t="shared" si="0"/>
        <v>ТР</v>
      </c>
    </row>
    <row r="7" spans="1:12" ht="30" customHeight="1">
      <c r="A7" s="147" t="s">
        <v>207</v>
      </c>
      <c r="B7" s="132" t="s">
        <v>186</v>
      </c>
      <c r="C7" s="133">
        <v>1</v>
      </c>
      <c r="D7" s="134">
        <v>1379</v>
      </c>
      <c r="E7" s="135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43" t="s">
        <v>201</v>
      </c>
      <c r="B8" s="144" t="s">
        <v>186</v>
      </c>
      <c r="C8" s="136">
        <v>1</v>
      </c>
      <c r="D8" s="137">
        <v>13200</v>
      </c>
      <c r="E8" s="143" t="s">
        <v>202</v>
      </c>
      <c r="F8" s="45"/>
      <c r="G8" s="45"/>
      <c r="K8" s="43"/>
      <c r="L8" s="33" t="str">
        <f t="shared" si="0"/>
        <v>ТР</v>
      </c>
    </row>
    <row r="9" spans="1:12">
      <c r="A9" s="145" t="s">
        <v>198</v>
      </c>
      <c r="B9" s="132" t="s">
        <v>186</v>
      </c>
      <c r="C9" s="133">
        <v>1</v>
      </c>
      <c r="D9" s="134">
        <v>1062</v>
      </c>
      <c r="E9" s="142" t="s">
        <v>203</v>
      </c>
      <c r="F9" s="44"/>
      <c r="G9" s="44"/>
      <c r="K9" s="43"/>
      <c r="L9" s="33" t="str">
        <f t="shared" si="0"/>
        <v>ТР</v>
      </c>
    </row>
    <row r="10" spans="1:12">
      <c r="A10" s="138" t="s">
        <v>199</v>
      </c>
      <c r="B10" s="139" t="s">
        <v>186</v>
      </c>
      <c r="C10" s="140">
        <v>1</v>
      </c>
      <c r="D10" s="141">
        <v>4275</v>
      </c>
      <c r="E10" s="142" t="s">
        <v>204</v>
      </c>
      <c r="L10" s="33" t="str">
        <f t="shared" si="0"/>
        <v>ТР</v>
      </c>
    </row>
    <row r="11" spans="1:12" ht="94.5">
      <c r="A11" s="30"/>
      <c r="F11" s="111" t="s">
        <v>188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78</v>
      </c>
      <c r="G14" s="114">
        <v>33600</v>
      </c>
      <c r="L14" s="33">
        <f t="shared" si="0"/>
        <v>0</v>
      </c>
    </row>
    <row r="15" spans="1:12" ht="31.5">
      <c r="A15" s="30"/>
      <c r="F15" s="112" t="s">
        <v>77</v>
      </c>
      <c r="G15" s="113">
        <v>15000</v>
      </c>
      <c r="L15" s="33">
        <f t="shared" si="0"/>
        <v>0</v>
      </c>
    </row>
    <row r="16" spans="1:12" ht="15.75">
      <c r="A16" s="30"/>
      <c r="F16" s="112" t="s">
        <v>219</v>
      </c>
      <c r="G16" s="113">
        <v>200000</v>
      </c>
      <c r="L16" s="33">
        <f t="shared" si="0"/>
        <v>0</v>
      </c>
    </row>
    <row r="17" spans="1:12" ht="15.75">
      <c r="A17" s="30"/>
      <c r="F17" s="121"/>
      <c r="G17" s="114"/>
      <c r="L17" s="33">
        <f t="shared" si="0"/>
        <v>0</v>
      </c>
    </row>
    <row r="18" spans="1:12" ht="15.75">
      <c r="A18" s="30"/>
      <c r="F18" s="121"/>
      <c r="G18" s="114"/>
      <c r="L18" s="33">
        <f t="shared" si="0"/>
        <v>0</v>
      </c>
    </row>
    <row r="19" spans="1:12" ht="15.75">
      <c r="A19" s="30"/>
      <c r="F19" s="112"/>
      <c r="G19" s="114"/>
      <c r="L19" s="33">
        <f t="shared" si="0"/>
        <v>0</v>
      </c>
    </row>
    <row r="20" spans="1:12" ht="15.75">
      <c r="A20" s="30"/>
      <c r="F20" s="123"/>
      <c r="G20" s="122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250900.92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250900.92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54560.4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54560.4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53791.92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53791.92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46107.360000000001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46107.360000000001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13448.04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13448.04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61092.24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61092.24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153306.96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153306.96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208</v>
      </c>
      <c r="B47" s="148">
        <f>(E47*G53*F55*6+E47*G53*G55*6)+(F47*G59*F61*6+F47*G59*G61*6)+(F47*G63*F65*6+F47*G63*G65*6)</f>
        <v>37019.285550000001</v>
      </c>
      <c r="C47" s="149" t="s">
        <v>68</v>
      </c>
      <c r="D47" s="48">
        <v>12</v>
      </c>
      <c r="E47" s="148">
        <v>558.9</v>
      </c>
      <c r="F47" s="148">
        <v>342.5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37019.285550000001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 t="s">
        <v>209</v>
      </c>
      <c r="F52" s="150" t="s">
        <v>210</v>
      </c>
      <c r="G52" s="150" t="s">
        <v>211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>
        <v>35.896999999999998</v>
      </c>
      <c r="F53" s="148">
        <v>2868.5</v>
      </c>
      <c r="G53" s="150">
        <v>3.48</v>
      </c>
      <c r="H53" s="150">
        <f>G53*E47/F53</f>
        <v>0.67804497123932372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 t="s">
        <v>212</v>
      </c>
      <c r="G54" s="150" t="s">
        <v>213</v>
      </c>
      <c r="H54" s="150">
        <f>H53*G56</f>
        <v>26.511558375457557</v>
      </c>
    </row>
    <row r="55" spans="5:16">
      <c r="E55" s="150"/>
      <c r="F55" s="150">
        <v>1.17</v>
      </c>
      <c r="G55" s="150">
        <v>1.23</v>
      </c>
      <c r="H55" s="150"/>
    </row>
    <row r="56" spans="5:16">
      <c r="E56" s="150"/>
      <c r="F56" s="150"/>
      <c r="G56" s="150">
        <v>39.1</v>
      </c>
      <c r="H56" s="150"/>
    </row>
    <row r="57" spans="5:16">
      <c r="E57" s="150"/>
      <c r="F57" s="150"/>
      <c r="G57" s="150"/>
      <c r="H57" s="150"/>
    </row>
    <row r="58" spans="5:16">
      <c r="E58" s="150" t="s">
        <v>214</v>
      </c>
      <c r="F58" s="150"/>
      <c r="G58" s="150"/>
      <c r="H58" s="150"/>
    </row>
    <row r="59" spans="5:16">
      <c r="E59" s="150">
        <v>0.59599999999999997</v>
      </c>
      <c r="F59" s="148">
        <v>2868.5</v>
      </c>
      <c r="G59" s="150">
        <v>7.4999999999999997E-2</v>
      </c>
      <c r="H59" s="150">
        <f>G59*F47</f>
        <v>25.6875</v>
      </c>
    </row>
    <row r="60" spans="5:16">
      <c r="E60" s="150"/>
      <c r="F60" s="150" t="s">
        <v>212</v>
      </c>
      <c r="G60" s="150" t="s">
        <v>213</v>
      </c>
      <c r="H60" s="150">
        <f>H59/F59</f>
        <v>8.9550287606763122E-3</v>
      </c>
    </row>
    <row r="61" spans="5:16">
      <c r="E61" s="150"/>
      <c r="F61" s="150">
        <v>12.94</v>
      </c>
      <c r="G61" s="150">
        <v>13.45</v>
      </c>
      <c r="H61" s="150">
        <f>H60*G56</f>
        <v>0.3501416245424438</v>
      </c>
    </row>
    <row r="62" spans="5:16">
      <c r="E62" s="150" t="s">
        <v>215</v>
      </c>
      <c r="F62" s="150"/>
      <c r="G62" s="150"/>
      <c r="H62" s="150"/>
    </row>
    <row r="63" spans="5:16">
      <c r="E63" s="150">
        <v>0.59599999999999997</v>
      </c>
      <c r="F63" s="148">
        <v>2868.5</v>
      </c>
      <c r="G63" s="150">
        <v>7.4999999999999997E-2</v>
      </c>
      <c r="H63" s="150">
        <f>G63*F47</f>
        <v>25.6875</v>
      </c>
    </row>
    <row r="64" spans="5:16">
      <c r="E64" s="150"/>
      <c r="F64" s="150" t="s">
        <v>212</v>
      </c>
      <c r="G64" s="150" t="s">
        <v>213</v>
      </c>
      <c r="H64" s="150">
        <f>H63/F63</f>
        <v>8.9550287606763122E-3</v>
      </c>
    </row>
    <row r="65" spans="4:13" ht="18.75" customHeight="1">
      <c r="E65" s="150"/>
      <c r="F65" s="150">
        <v>15.73</v>
      </c>
      <c r="G65" s="150">
        <v>16.350000000000001</v>
      </c>
      <c r="H65" s="150">
        <f>H64*G56</f>
        <v>0.3501416245424438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185</v>
      </c>
      <c r="F1" s="60">
        <v>2996.1</v>
      </c>
    </row>
    <row r="2" spans="1:10" ht="15.75" customHeight="1">
      <c r="A2" s="70" t="s">
        <v>85</v>
      </c>
      <c r="B2" s="72" t="s">
        <v>2</v>
      </c>
      <c r="C2" s="83">
        <v>0</v>
      </c>
      <c r="D2" s="81" t="s">
        <v>58</v>
      </c>
      <c r="E2" s="61">
        <v>196.2</v>
      </c>
      <c r="F2" s="61" t="s">
        <v>216</v>
      </c>
      <c r="G2" s="61"/>
      <c r="H2" s="61"/>
      <c r="I2" s="61"/>
      <c r="J2" s="61"/>
    </row>
    <row r="3" spans="1:10" ht="15.75" customHeight="1">
      <c r="A3" s="70" t="s">
        <v>86</v>
      </c>
      <c r="B3" s="72" t="s">
        <v>3</v>
      </c>
      <c r="C3" s="79">
        <v>0</v>
      </c>
      <c r="D3" s="80" t="s">
        <v>59</v>
      </c>
      <c r="E3" s="61">
        <v>4.8</v>
      </c>
      <c r="F3" s="61" t="s">
        <v>217</v>
      </c>
      <c r="G3" s="61"/>
      <c r="H3" s="61"/>
      <c r="I3" s="61"/>
      <c r="J3" s="61"/>
    </row>
    <row r="4" spans="1:10" ht="15.75" customHeight="1">
      <c r="A4" s="70" t="s">
        <v>87</v>
      </c>
      <c r="B4" s="72" t="s">
        <v>4</v>
      </c>
      <c r="C4" s="83">
        <v>889250.24</v>
      </c>
      <c r="D4" s="81" t="s">
        <v>60</v>
      </c>
      <c r="E4" s="61">
        <v>-58365.34</v>
      </c>
      <c r="F4" s="61" t="s">
        <v>218</v>
      </c>
      <c r="G4" s="61"/>
      <c r="H4" s="61"/>
      <c r="I4" s="61"/>
      <c r="J4" s="61"/>
    </row>
    <row r="5" spans="1:10" ht="15.75" customHeight="1">
      <c r="A5" s="70" t="s">
        <v>88</v>
      </c>
      <c r="B5" s="72" t="s">
        <v>5</v>
      </c>
      <c r="C5" s="79">
        <f>SUM(C6:C8)</f>
        <v>631644.52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6</v>
      </c>
      <c r="C6" s="83">
        <v>385704.92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7</v>
      </c>
      <c r="C7" s="83">
        <f>(F1*5*12)+E4</f>
        <v>121400.66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8</v>
      </c>
      <c r="C8" s="83">
        <v>124538.94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9</v>
      </c>
      <c r="C9" s="79">
        <f>SUM(C10:C14)</f>
        <v>850897.04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10</v>
      </c>
      <c r="C10" s="83">
        <v>850897.04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15</v>
      </c>
      <c r="C15" s="79">
        <f>C9</f>
        <v>850897.04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18</v>
      </c>
      <c r="C18" s="79">
        <f>IF(C16&gt;0,0,IF(C4&gt;0,C4+C5-C9,C5-C2-C9))</f>
        <v>669997.72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103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104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105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165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107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108</v>
      </c>
      <c r="B27" s="75" t="s">
        <v>4</v>
      </c>
      <c r="C27" s="86">
        <v>293698.03999999998</v>
      </c>
      <c r="D27" s="81" t="s">
        <v>60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109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110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111</v>
      </c>
      <c r="B30" s="75" t="s">
        <v>18</v>
      </c>
      <c r="C30" s="86">
        <v>202014.14</v>
      </c>
      <c r="D30" s="81" t="s">
        <v>66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112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113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114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115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166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167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178343.8</v>
      </c>
      <c r="F37" s="94" t="s">
        <v>170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116</v>
      </c>
      <c r="B38" s="78" t="s">
        <v>37</v>
      </c>
      <c r="C38" s="90">
        <v>148619.82999999999</v>
      </c>
      <c r="D38" s="94" t="s">
        <v>168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117</v>
      </c>
      <c r="B39" s="78" t="s">
        <v>38</v>
      </c>
      <c r="C39" s="91">
        <v>237906.05</v>
      </c>
      <c r="D39" s="94" t="s">
        <v>169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118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119</v>
      </c>
      <c r="B41" s="78" t="s">
        <v>40</v>
      </c>
      <c r="C41" s="93">
        <f>E37</f>
        <v>178343.8</v>
      </c>
      <c r="D41" s="80" t="s">
        <v>59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120</v>
      </c>
      <c r="B42" s="78" t="s">
        <v>41</v>
      </c>
      <c r="C42" s="93">
        <f>E37</f>
        <v>178343.8</v>
      </c>
      <c r="D42" s="80" t="s">
        <v>59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121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122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124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69780.39</v>
      </c>
      <c r="F45" s="94" t="s">
        <v>170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125</v>
      </c>
      <c r="B46" s="78" t="s">
        <v>37</v>
      </c>
      <c r="C46" s="90">
        <v>5286.39</v>
      </c>
      <c r="D46" s="94" t="s">
        <v>171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126</v>
      </c>
      <c r="B47" s="78" t="s">
        <v>38</v>
      </c>
      <c r="C47" s="91">
        <v>76045.34</v>
      </c>
      <c r="D47" s="94" t="s">
        <v>169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127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128</v>
      </c>
      <c r="B49" s="78" t="s">
        <v>40</v>
      </c>
      <c r="C49" s="93">
        <f>E45</f>
        <v>69780.39</v>
      </c>
      <c r="D49" s="80" t="s">
        <v>59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129</v>
      </c>
      <c r="B50" s="78" t="s">
        <v>41</v>
      </c>
      <c r="C50" s="93">
        <f>E45</f>
        <v>69780.39</v>
      </c>
      <c r="D50" s="80" t="s">
        <v>59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130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131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132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146797.87</v>
      </c>
      <c r="F53" s="94" t="s">
        <v>170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133</v>
      </c>
      <c r="B54" s="75" t="s">
        <v>37</v>
      </c>
      <c r="C54" s="98">
        <v>9151.98</v>
      </c>
      <c r="D54" s="94" t="s">
        <v>171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134</v>
      </c>
      <c r="B55" s="75" t="s">
        <v>38</v>
      </c>
      <c r="C55" s="86">
        <v>158731.60999999999</v>
      </c>
      <c r="D55" s="94" t="s">
        <v>169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135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136</v>
      </c>
      <c r="B57" s="75" t="s">
        <v>40</v>
      </c>
      <c r="C57" s="93">
        <f>E53</f>
        <v>146797.87</v>
      </c>
      <c r="D57" s="80" t="s">
        <v>59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137</v>
      </c>
      <c r="B58" s="75" t="s">
        <v>41</v>
      </c>
      <c r="C58" s="93">
        <f>E53</f>
        <v>146797.87</v>
      </c>
      <c r="D58" s="80" t="s">
        <v>59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138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139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55</v>
      </c>
      <c r="E61" s="95">
        <v>115253.01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37</v>
      </c>
      <c r="C62" s="98">
        <v>214.28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38</v>
      </c>
      <c r="C63" s="86">
        <v>125916.37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144</v>
      </c>
      <c r="B65" s="75" t="s">
        <v>40</v>
      </c>
      <c r="C65" s="93">
        <f>E61</f>
        <v>115253.01</v>
      </c>
      <c r="D65" s="80" t="s">
        <v>59</v>
      </c>
      <c r="E65" s="69"/>
      <c r="G65" s="64"/>
      <c r="H65" s="64"/>
    </row>
    <row r="66" spans="1:8" ht="15.75" customHeight="1">
      <c r="A66" s="73" t="s">
        <v>145</v>
      </c>
      <c r="B66" s="75" t="s">
        <v>41</v>
      </c>
      <c r="C66" s="93">
        <f>E61</f>
        <v>115253.01</v>
      </c>
      <c r="D66" s="80" t="s">
        <v>59</v>
      </c>
      <c r="E66" s="69"/>
      <c r="G66" s="64"/>
      <c r="H66" s="64"/>
    </row>
    <row r="67" spans="1:8" ht="15.75" customHeight="1">
      <c r="A67" s="73" t="s">
        <v>146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147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55</v>
      </c>
      <c r="E69" s="95">
        <v>47730.06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37</v>
      </c>
      <c r="C70" s="98">
        <v>3615.91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38</v>
      </c>
      <c r="C71" s="86">
        <v>50989.66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152</v>
      </c>
      <c r="B73" s="75" t="s">
        <v>40</v>
      </c>
      <c r="C73" s="93">
        <f>E69</f>
        <v>47730.06</v>
      </c>
      <c r="D73" s="80" t="s">
        <v>59</v>
      </c>
      <c r="E73" s="69"/>
      <c r="G73" s="64"/>
      <c r="H73" s="64"/>
    </row>
    <row r="74" spans="1:8" ht="15.75" customHeight="1">
      <c r="A74" s="73" t="s">
        <v>153</v>
      </c>
      <c r="B74" s="75" t="s">
        <v>41</v>
      </c>
      <c r="C74" s="93">
        <f>E69</f>
        <v>47730.06</v>
      </c>
      <c r="D74" s="80" t="s">
        <v>59</v>
      </c>
      <c r="E74" s="69"/>
      <c r="G74" s="64"/>
      <c r="H74" s="64"/>
    </row>
    <row r="75" spans="1:8" ht="15.75" customHeight="1">
      <c r="A75" s="73" t="s">
        <v>154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155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0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37</v>
      </c>
      <c r="C78" s="98">
        <v>0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38</v>
      </c>
      <c r="C79" s="86">
        <v>0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160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161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162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163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2022-03-28T03:10:45Z</dcterms:modified>
</cp:coreProperties>
</file>