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I66" i="2" l="1"/>
  <c r="H66" i="2"/>
  <c r="F66" i="2"/>
  <c r="I63" i="2"/>
  <c r="H63" i="2"/>
  <c r="F63" i="2"/>
  <c r="H64" i="2" s="1"/>
  <c r="H65" i="2" s="1"/>
  <c r="H60" i="2"/>
  <c r="H61" i="2" s="1"/>
  <c r="I59" i="2"/>
  <c r="H59" i="2"/>
  <c r="F59" i="2"/>
  <c r="I53" i="2"/>
  <c r="I54" i="2" s="1"/>
  <c r="I55" i="2" s="1"/>
  <c r="H53" i="2"/>
  <c r="H54" i="2" s="1"/>
  <c r="B47" i="2"/>
  <c r="I60" i="2" l="1"/>
  <c r="I61" i="2" s="1"/>
  <c r="I67" i="2"/>
  <c r="I68" i="2" s="1"/>
  <c r="H67" i="2"/>
  <c r="H68" i="2" s="1"/>
  <c r="I64" i="2"/>
  <c r="I65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7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8" i="1"/>
  <c r="A106" i="1"/>
  <c r="A105" i="1"/>
  <c r="A104" i="1"/>
  <c r="G102" i="1"/>
  <c r="F102" i="1"/>
  <c r="D102" i="1"/>
  <c r="A102" i="1"/>
  <c r="J101" i="1"/>
  <c r="J96" i="1"/>
  <c r="J95" i="1"/>
  <c r="A98" i="1"/>
  <c r="A97" i="1"/>
  <c r="G94" i="1"/>
  <c r="F94" i="1"/>
  <c r="D94" i="1"/>
  <c r="A94" i="1"/>
  <c r="K94" i="1"/>
  <c r="A101" i="1" l="1"/>
  <c r="A95" i="1"/>
  <c r="A96" i="1"/>
  <c r="A99" i="1"/>
  <c r="A118" i="1"/>
  <c r="A140" i="1"/>
  <c r="A103" i="1"/>
  <c r="A135" i="1"/>
  <c r="A134" i="1"/>
  <c r="A136" i="1"/>
  <c r="D134" i="1"/>
  <c r="A139" i="1"/>
  <c r="A123" i="1"/>
  <c r="A119" i="1"/>
  <c r="D118" i="1"/>
  <c r="A124" i="1"/>
  <c r="A110" i="1"/>
  <c r="A111" i="1"/>
  <c r="A115" i="1"/>
  <c r="F118" i="1"/>
  <c r="A121" i="1"/>
  <c r="A125" i="1"/>
  <c r="F134" i="1"/>
  <c r="A137" i="1"/>
  <c r="A141" i="1"/>
  <c r="A120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<sst xmlns="http://schemas.openxmlformats.org/spreadsheetml/2006/main" count="546" uniqueCount="199">
  <si>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</si>
  <si>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</si>
  <si>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</si>
  <si>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</si>
  <si>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</si>
  <si>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</si>
  <si>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</si>
  <si>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</si>
  <si>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</si>
  <si>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</si>
  <si>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</si>
  <si>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</si>
  <si>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</si>
  <si>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</si>
  <si>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</si>
  <si>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</si>
  <si>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</si>
  <si>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</si>
  <si>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</si>
  <si>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</si>
  <si>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</si>
  <si>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</si>
  <si>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</si>
  <si>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</si>
  <si>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</si>
  <si>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</si>
  <si>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</si>
  <si>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</si>
  <si>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</si>
  <si>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</si>
  <si>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</si>
  <si>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</si>
  <si>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</si>
  <si>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</si>
  <si>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</si>
  <si>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</si>
  <si>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</si>
  <si>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</si>
  <si>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</si>
  <si>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</si>
  <si>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</si>
  <si>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</si>
  <si>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</si>
  <si>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</si>
  <si>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</si>
  <si>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</si>
  <si>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</si>
  <si>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</si>
  <si>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</si>
  <si>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</si>
  <si>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</si>
  <si>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</si>
  <si>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</si>
  <si>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</si>
  <si>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</si>
  <si>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</si>
  <si>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</si>
  <si>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</si>
  <si>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</si>
  <si>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</si>
  <si>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</si>
  <si>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</si>
  <si>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</si>
  <si>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</si>
  <si>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</si>
  <si>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</si>
  <si>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</si>
  <si>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</si>
  <si>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</si>
  <si>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</si>
  <si>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</si>
  <si>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</si>
  <si>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</si>
  <si>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</si>
  <si>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</si>
  <si>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</si>
  <si>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</si>
  <si>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</si>
  <si>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</si>
  <si>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</si>
  <si>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</si>
  <si>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</si>
  <si>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</si>
  <si>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</si>
  <si>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</si>
  <si>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</si>
  <si>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</si>
  <si>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</si>
  <si>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</si>
  <si>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</si>
  <si>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</si>
  <si>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</si>
  <si>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</si>
  <si>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</si>
  <si>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</si>
  <si>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</si>
  <si>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</si>
  <si>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</si>
  <si>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</si>
  <si>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</si>
  <si>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</si>
  <si>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</si>
  <si>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</si>
  <si>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</si>
  <si>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</si>
  <si>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</si>
  <si>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</si>
  <si>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</si>
  <si>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</si>
  <si>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</si>
  <si>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</si>
  <si>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</si>
  <si>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</si>
  <si>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</si>
  <si>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</si>
  <si>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</si>
  <si>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</si>
  <si>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</si>
  <si>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</si>
  <si>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</si>
  <si>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</si>
  <si>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</si>
  <si>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</si>
  <si>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</si>
  <si>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</si>
  <si>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</si>
  <si>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</si>
  <si>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</si>
  <si>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</si>
  <si>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</si>
  <si>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</si>
  <si>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</si>
  <si>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</si>
  <si>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</si>
  <si>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</si>
  <si>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</si>
  <si>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</si>
  <si>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</si>
  <si>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</si>
  <si>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</si>
  <si>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</si>
  <si>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</si>
  <si>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</si>
  <si>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</si>
  <si>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</si>
  <si>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</si>
  <si>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</si>
  <si>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</si>
  <si>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</si>
  <si>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</si>
  <si>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</si>
  <si>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</si>
  <si>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</si>
  <si>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</si>
  <si>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</si>
  <si>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</si>
  <si>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</si>
  <si>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</si>
  <si>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</si>
  <si>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</si>
  <si>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</si>
  <si>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</si>
  <si>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</si>
  <si>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</si>
  <si>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</si>
  <si>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</si>
  <si>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</si>
  <si>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</si>
  <si>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</si>
  <si>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</si>
  <si>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</si>
  <si>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</si>
  <si>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</si>
  <si>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</si>
  <si>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</si>
  <si>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</si>
  <si>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</si>
  <si>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</si>
  <si>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ежемесячно</t>
  </si>
  <si>
    <t>Отчет об исполнении договора управления многоквартирного дома 
Александра Невского, 99/3</t>
  </si>
  <si>
    <t>Отчет об исполнении договора управления многоквартирного дома 
Александра Невского, 99/3 в части текущего ремонта</t>
  </si>
  <si>
    <t>Техническое обслуживание видеонаблюдения.</t>
  </si>
  <si>
    <t>с 01.04.2019 на осн. Протокола №1-2 от 02.04.2018, Приказ №21 от 02.04..2019</t>
  </si>
  <si>
    <t>площадь дома</t>
  </si>
  <si>
    <t xml:space="preserve">  -  укладка керамогранита в подъезде</t>
  </si>
  <si>
    <t>ежегодно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</si>
  <si>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</si>
  <si>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</si>
  <si>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</si>
  <si>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</si>
  <si>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</si>
  <si>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</si>
  <si>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</si>
  <si>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04.02.2021</t>
  </si>
  <si>
    <t>Замена термопреобразователей сопротивления.</t>
  </si>
  <si>
    <t>АВР 2/21 от 04.02.2021</t>
  </si>
  <si>
    <t>АВР 3/21 от 10.02.2021</t>
  </si>
  <si>
    <t>АВР 4/21 от 11.02.2021, счет №43 от 11.02.2021</t>
  </si>
  <si>
    <t>Коммунальные ресурсы на содержание общего имущества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</si>
</sst>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</cellStyleXfs>
  <cellXfs count="19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 applyAlignment="1">
      <alignment horizontal="center"/>
    </xf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 applyBorder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4" fontId="5" fillId="0" borderId="0" xfId="2" applyNumberFormat="1" applyFont="1" applyFill="1" applyBorder="1" applyAlignment="1"/>
    <xf numFmtId="4" fontId="5" fillId="0" borderId="0" xfId="4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0" fontId="8" fillId="0" borderId="0" xfId="4" applyFont="1" applyFill="1" applyBorder="1" applyAlignment="1">
      <alignment horizontal="center"/>
    </xf>
    <xf numFmtId="0" fontId="11" fillId="0" borderId="0" xfId="9" applyFill="1" applyBorder="1" applyAlignment="1">
      <alignment horizontal="center"/>
    </xf>
    <xf numFmtId="4" fontId="28" fillId="0" borderId="0" xfId="9" applyNumberFormat="1" applyFont="1" applyFill="1" applyBorder="1" applyAlignment="1"/>
    <xf numFmtId="0" fontId="28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13" fillId="0" borderId="0" xfId="6" applyFill="1" applyBorder="1" applyAlignment="1"/>
    <xf numFmtId="0" fontId="12" fillId="0" borderId="0" xfId="6" applyFont="1" applyFill="1" applyBorder="1" applyAlignment="1">
      <alignment horizontal="center"/>
    </xf>
    <xf numFmtId="0" fontId="13" fillId="0" borderId="0" xfId="6" applyFill="1" applyBorder="1" applyAlignment="1">
      <alignment horizontal="center"/>
    </xf>
    <xf numFmtId="4" fontId="13" fillId="0" borderId="0" xfId="6" applyNumberFormat="1" applyFill="1" applyBorder="1" applyAlignment="1"/>
    <xf numFmtId="0" fontId="28" fillId="0" borderId="0" xfId="6" applyFont="1" applyFill="1" applyBorder="1" applyAlignment="1"/>
    <xf numFmtId="0" fontId="28" fillId="0" borderId="0" xfId="6" applyFont="1" applyFill="1" applyBorder="1" applyAlignment="1">
      <alignment horizontal="center"/>
    </xf>
    <xf numFmtId="0" fontId="28" fillId="0" borderId="0" xfId="6" applyNumberFormat="1" applyFont="1" applyFill="1" applyBorder="1" applyAlignment="1">
      <alignment horizontal="center"/>
    </xf>
    <xf numFmtId="4" fontId="28" fillId="0" borderId="0" xfId="6" applyNumberFormat="1" applyFont="1" applyFill="1" applyBorder="1" applyAlignment="1"/>
    <xf numFmtId="0" fontId="2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11" applyNumberFormat="1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2 5" xfId="11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179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9"/>
      <c r="L8" s="181"/>
      <c r="M8" s="109"/>
      <c r="N8" s="109"/>
      <c r="O8" s="70" t="s">
        <v>84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9"/>
      <c r="L9" s="181"/>
      <c r="M9" s="109"/>
      <c r="N9" s="109"/>
      <c r="O9" s="70" t="s">
        <v>85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95662.63</v>
      </c>
      <c r="K10" s="109"/>
      <c r="L10" s="181"/>
      <c r="M10" s="109"/>
      <c r="N10" s="109"/>
      <c r="O10" s="70" t="s">
        <v>86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822803.29599999997</v>
      </c>
      <c r="K11" s="109"/>
      <c r="L11" s="181"/>
      <c r="M11" s="109"/>
      <c r="N11" s="109"/>
      <c r="O11" s="70" t="s">
        <v>87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442119.63</v>
      </c>
      <c r="K12" s="109"/>
      <c r="L12" s="181"/>
      <c r="M12" s="109"/>
      <c r="N12" s="109"/>
      <c r="O12" s="70" t="s">
        <v>88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238854.81599999999</v>
      </c>
      <c r="K13" s="109"/>
      <c r="L13" s="181"/>
      <c r="M13" s="109"/>
      <c r="N13" s="109"/>
      <c r="O13" s="70" t="s">
        <v>89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141828.85</v>
      </c>
      <c r="K14" s="109"/>
      <c r="L14" s="181"/>
      <c r="M14" s="109"/>
      <c r="N14" s="109"/>
      <c r="O14" s="70" t="s">
        <v>90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810342.88</v>
      </c>
      <c r="K15" s="109"/>
      <c r="L15" s="181"/>
      <c r="M15" s="109"/>
      <c r="N15" s="109"/>
      <c r="O15" s="70" t="s">
        <v>91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810342.88</v>
      </c>
      <c r="K16" s="109"/>
      <c r="L16" s="181"/>
      <c r="M16" s="109"/>
      <c r="N16" s="109"/>
      <c r="O16" s="70" t="s">
        <v>92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9"/>
      <c r="L17" s="181"/>
      <c r="M17" s="109"/>
      <c r="N17" s="109"/>
      <c r="O17" s="70" t="s">
        <v>93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9"/>
      <c r="L18" s="181"/>
      <c r="M18" s="109"/>
      <c r="N18" s="109"/>
      <c r="O18" s="70" t="s">
        <v>94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9"/>
      <c r="L19" s="181"/>
      <c r="M19" s="109"/>
      <c r="N19" s="109"/>
      <c r="O19" s="70" t="s">
        <v>95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9"/>
      <c r="L20" s="181"/>
      <c r="M20" s="109"/>
      <c r="N20" s="109"/>
      <c r="O20" s="70" t="s">
        <v>96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810342.88</v>
      </c>
      <c r="K21" s="109"/>
      <c r="L21" s="181"/>
      <c r="M21" s="109"/>
      <c r="N21" s="109"/>
      <c r="O21" s="70" t="s">
        <v>97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9"/>
      <c r="L22" s="181"/>
      <c r="M22" s="109"/>
      <c r="N22" s="109"/>
      <c r="O22" s="70" t="s">
        <v>98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9"/>
      <c r="L23" s="181"/>
      <c r="M23" s="109"/>
      <c r="N23" s="109"/>
      <c r="O23" s="70" t="s">
        <v>99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108123.04599999997</v>
      </c>
      <c r="K24" s="109"/>
      <c r="L24" s="181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221135.64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67687.319999999992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45361.2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42526.080000000002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12757.800000000001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46778.64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8">
        <f>ПТО!A46</f>
        <v>0</v>
      </c>
      <c r="B35" s="158"/>
      <c r="C35" s="158"/>
      <c r="D35" s="158"/>
      <c r="E35" s="158"/>
      <c r="F35" s="159" t="e">
        <f>VLOOKUP(A35,ПТО!$A$39:$D$53,2,FALSE)</f>
        <v>#N/A</v>
      </c>
      <c r="G35" s="159"/>
      <c r="H35" s="42" t="e">
        <f>VLOOKUP(A35,ПТО!$A$39:$D$53,3,FALSE)</f>
        <v>#N/A</v>
      </c>
      <c r="I35" s="160" t="e">
        <f>VLOOKUP(A35,ПТО!$A$39:$D$53,4,FALSE)</f>
        <v>#N/A</v>
      </c>
      <c r="J35" s="160"/>
      <c r="K35" s="109"/>
      <c r="L35" s="182"/>
      <c r="M35" s="116"/>
      <c r="N35" s="109"/>
      <c r="O35" s="23">
        <f t="shared" si="1"/>
        <v>0</v>
      </c>
      <c r="R35" s="1" t="s">
        <v>71</v>
      </c>
    </row>
    <row r="36" spans="1:18" ht="51" customHeight="1" outlineLevel="1">
      <c r="A36" s="158" t="str">
        <f>ПТО!A47</f>
        <v>Коммунальные ресурсы на содержание общего имущества</v>
      </c>
      <c r="B36" s="158"/>
      <c r="C36" s="158"/>
      <c r="D36" s="158"/>
      <c r="E36" s="158"/>
      <c r="F36" s="159">
        <f>VLOOKUP(A36,ПТО!$A$39:$D$53,2,FALSE)</f>
        <v>42502.985279999994</v>
      </c>
      <c r="G36" s="159"/>
      <c r="H36" s="42" t="str">
        <f>VLOOKUP(A36,ПТО!$A$39:$D$53,3,FALSE)</f>
        <v>Ежемесячно</v>
      </c>
      <c r="I36" s="160">
        <f>VLOOKUP(A36,ПТО!$A$39:$D$53,4,FALSE)</f>
        <v>12</v>
      </c>
      <c r="J36" s="160"/>
      <c r="K36" s="109"/>
      <c r="L36" s="182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9"/>
      <c r="L37" s="182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82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82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82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82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82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59">
        <f>VLOOKUP(A43,ПТО!$A$2:$D$31,4,FALSE)</f>
        <v>8100</v>
      </c>
      <c r="G43" s="159"/>
      <c r="H43" s="19" t="str">
        <f>VLOOKUP(A43,ПТО!$A$2:$D$31,2,FALSE)</f>
        <v>ежегодно</v>
      </c>
      <c r="I43" s="160">
        <f>VLOOKUP(A43,ПТО!$A$2:$D$31,3,FALSE)</f>
        <v>1</v>
      </c>
      <c r="J43" s="160"/>
      <c r="K43" s="109"/>
      <c r="L43" s="182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8" t="str">
        <f>ПТО!A3</f>
        <v>Техническое обслуживание видеонаблюдения.</v>
      </c>
      <c r="B44" s="158"/>
      <c r="C44" s="158"/>
      <c r="D44" s="158"/>
      <c r="E44" s="158"/>
      <c r="F44" s="159">
        <f>VLOOKUP(A44,ПТО!$A$2:$D$31,4,FALSE)</f>
        <v>5240</v>
      </c>
      <c r="G44" s="159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09"/>
      <c r="L44" s="182"/>
      <c r="M44" s="116"/>
      <c r="N44" s="109"/>
      <c r="O44" s="23" t="str">
        <f t="shared" si="1"/>
        <v>Техническое обслуживание видеонаблюдения.</v>
      </c>
      <c r="R44" s="22" t="s">
        <v>72</v>
      </c>
    </row>
    <row r="45" spans="1:18" ht="51" customHeight="1" outlineLevel="1">
      <c r="A45" s="158" t="str">
        <f>ПТО!A4</f>
        <v>Механизированная уборка и вывоз снега с придомовой территории.</v>
      </c>
      <c r="B45" s="158"/>
      <c r="C45" s="158"/>
      <c r="D45" s="158"/>
      <c r="E45" s="158"/>
      <c r="F45" s="159">
        <f>VLOOKUP(A45,ПТО!$A$2:$D$31,4,FALSE)</f>
        <v>15261.2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82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8" t="str">
        <f>ПТО!A5</f>
        <v>Замена термопреобразователей сопротивления.</v>
      </c>
      <c r="B46" s="158"/>
      <c r="C46" s="158"/>
      <c r="D46" s="158"/>
      <c r="E46" s="158"/>
      <c r="F46" s="159">
        <f>VLOOKUP(A46,ПТО!$A$2:$D$31,4,FALSE)</f>
        <v>4888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9"/>
      <c r="L46" s="182"/>
      <c r="M46" s="116"/>
      <c r="N46" s="109"/>
      <c r="O46" s="23" t="str">
        <f t="shared" si="1"/>
        <v>Замена термопреобразователей сопротивления.</v>
      </c>
      <c r="R46" s="22" t="s">
        <v>72</v>
      </c>
    </row>
    <row r="47" spans="1:18" ht="51" hidden="1" customHeight="1" outlineLevel="1">
      <c r="A47" s="158">
        <f>ПТО!A6</f>
        <v>0</v>
      </c>
      <c r="B47" s="158"/>
      <c r="C47" s="158"/>
      <c r="D47" s="158"/>
      <c r="E47" s="158"/>
      <c r="F47" s="159" t="e">
        <f>VLOOKUP(A47,ПТО!$A$2:$D$31,4,FALSE)</f>
        <v>#N/A</v>
      </c>
      <c r="G47" s="159"/>
      <c r="H47" s="25" t="e">
        <f>VLOOKUP(A47,ПТО!$A$2:$D$31,2,FALSE)</f>
        <v>#N/A</v>
      </c>
      <c r="I47" s="160" t="e">
        <f>VLOOKUP(A47,ПТО!$A$2:$D$31,3,FALSE)</f>
        <v>#N/A</v>
      </c>
      <c r="J47" s="160"/>
      <c r="K47" s="109"/>
      <c r="L47" s="182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58">
        <f>ПТО!A7</f>
        <v>0</v>
      </c>
      <c r="B48" s="158"/>
      <c r="C48" s="158"/>
      <c r="D48" s="158"/>
      <c r="E48" s="158"/>
      <c r="F48" s="159" t="e">
        <f>VLOOKUP(A48,ПТО!$A$2:$D$31,4,FALSE)</f>
        <v>#N/A</v>
      </c>
      <c r="G48" s="159"/>
      <c r="H48" s="25" t="e">
        <f>VLOOKUP(A48,ПТО!$A$2:$D$31,2,FALSE)</f>
        <v>#N/A</v>
      </c>
      <c r="I48" s="160" t="e">
        <f>VLOOKUP(A48,ПТО!$A$2:$D$31,3,FALSE)</f>
        <v>#N/A</v>
      </c>
      <c r="J48" s="160"/>
      <c r="K48" s="109"/>
      <c r="L48" s="182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58">
        <f>ПТО!A8</f>
        <v>0</v>
      </c>
      <c r="B49" s="158"/>
      <c r="C49" s="158"/>
      <c r="D49" s="158"/>
      <c r="E49" s="158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60" t="e">
        <f>VLOOKUP(A49,ПТО!$A$2:$D$31,3,FALSE)</f>
        <v>#N/A</v>
      </c>
      <c r="J49" s="160"/>
      <c r="K49" s="109"/>
      <c r="L49" s="182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8">
        <f>ПТО!A9</f>
        <v>0</v>
      </c>
      <c r="B50" s="158"/>
      <c r="C50" s="158"/>
      <c r="D50" s="158"/>
      <c r="E50" s="158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60" t="e">
        <f>VLOOKUP(A50,ПТО!$A$2:$D$31,3,FALSE)</f>
        <v>#N/A</v>
      </c>
      <c r="J50" s="160"/>
      <c r="K50" s="109"/>
      <c r="L50" s="182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60" t="e">
        <f>VLOOKUP(A51,ПТО!$A$2:$D$31,3,FALSE)</f>
        <v>#N/A</v>
      </c>
      <c r="J51" s="160"/>
      <c r="K51" s="109"/>
      <c r="L51" s="182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09"/>
      <c r="L52" s="182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82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82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82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82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82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82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82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82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82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82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82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82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82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82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82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82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82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82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6"/>
      <c r="L71" s="182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82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65"/>
      <c r="M75" s="109"/>
      <c r="N75" s="109"/>
      <c r="O75" s="70" t="s">
        <v>101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65"/>
      <c r="M76" s="109"/>
      <c r="N76" s="109"/>
      <c r="O76" s="70" t="s">
        <v>102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65"/>
      <c r="M77" s="109"/>
      <c r="N77" s="109"/>
      <c r="O77" s="70" t="s">
        <v>103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65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7">
        <f t="shared" ref="J81:J90" si="2">VLOOKUP(O81,АО,3,FALSE)</f>
        <v>0</v>
      </c>
      <c r="K81" s="109"/>
      <c r="L81" s="183"/>
      <c r="M81" s="109"/>
      <c r="N81" s="109"/>
      <c r="O81" s="70" t="s">
        <v>105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7">
        <f t="shared" si="2"/>
        <v>0</v>
      </c>
      <c r="K82" s="109"/>
      <c r="L82" s="183"/>
      <c r="M82" s="109"/>
      <c r="N82" s="109"/>
      <c r="O82" s="70" t="s">
        <v>106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32915.269999999997</v>
      </c>
      <c r="K83" s="109"/>
      <c r="L83" s="183"/>
      <c r="M83" s="109"/>
      <c r="N83" s="109"/>
      <c r="O83" s="70" t="s">
        <v>107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83"/>
      <c r="M84" s="109"/>
      <c r="N84" s="109"/>
      <c r="O84" s="70" t="s">
        <v>108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83"/>
      <c r="M85" s="109"/>
      <c r="N85" s="109"/>
      <c r="O85" s="70" t="s">
        <v>109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43302.19</v>
      </c>
      <c r="K86" s="109"/>
      <c r="L86" s="183"/>
      <c r="M86" s="109"/>
      <c r="N86" s="109"/>
      <c r="O86" s="70" t="s">
        <v>110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83"/>
      <c r="M87" s="109"/>
      <c r="N87" s="109"/>
      <c r="O87" s="70" t="s">
        <v>111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83"/>
      <c r="M88" s="109"/>
      <c r="N88" s="109"/>
      <c r="O88" s="70" t="s">
        <v>112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83"/>
      <c r="M89" s="109"/>
      <c r="N89" s="109"/>
      <c r="O89" s="70" t="s">
        <v>113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83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7" t="s">
        <v>48</v>
      </c>
      <c r="B93" s="167"/>
      <c r="C93" s="167"/>
      <c r="D93" s="170" t="s">
        <v>49</v>
      </c>
      <c r="E93" s="170"/>
      <c r="F93" s="10" t="s">
        <v>50</v>
      </c>
      <c r="G93" s="167" t="s">
        <v>51</v>
      </c>
      <c r="H93" s="167"/>
      <c r="I93" s="167"/>
      <c r="J93" s="167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75760.81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63134.01</v>
      </c>
      <c r="L95" s="184"/>
      <c r="O95" s="1" t="s">
        <v>115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75151.509999999995</v>
      </c>
      <c r="L96" s="184"/>
      <c r="O96" s="1" t="s">
        <v>116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609.30000000000291</v>
      </c>
      <c r="L97" s="184"/>
      <c r="O97" s="1" t="s">
        <v>117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75760.81</v>
      </c>
      <c r="L98" s="184"/>
      <c r="O98" s="1" t="s">
        <v>118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75760.81</v>
      </c>
      <c r="L99" s="184"/>
      <c r="O99" s="1" t="s">
        <v>119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120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121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72753.83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5511.65</v>
      </c>
      <c r="L103" s="184"/>
      <c r="O103" s="1" t="s">
        <v>124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69671.8</v>
      </c>
      <c r="L104" s="184"/>
      <c r="O104" s="1" t="s">
        <v>125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3082.0299999999988</v>
      </c>
      <c r="L105" s="184"/>
      <c r="O105" s="1" t="s">
        <v>126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72753.83</v>
      </c>
      <c r="L106" s="184"/>
      <c r="O106" s="1" t="s">
        <v>127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72753.83</v>
      </c>
      <c r="L107" s="184"/>
      <c r="O107" s="1" t="s">
        <v>128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129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130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148376.94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9250.43</v>
      </c>
      <c r="L111" s="184"/>
      <c r="O111" s="1" t="s">
        <v>132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141813.60999999999</v>
      </c>
      <c r="L112" s="184"/>
      <c r="O112" s="1" t="s">
        <v>133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6563.3300000000163</v>
      </c>
      <c r="L113" s="184"/>
      <c r="O113" s="1" t="s">
        <v>134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148376.94</v>
      </c>
      <c r="L114" s="184"/>
      <c r="O114" s="1" t="s">
        <v>135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148376.94</v>
      </c>
      <c r="L115" s="184"/>
      <c r="O115" s="1" t="s">
        <v>136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137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138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68">
        <f>VLOOKUP("тко",АО,5,FALSE)</f>
        <v>119541.44</v>
      </c>
      <c r="H118" s="169"/>
      <c r="I118" s="169"/>
      <c r="J118" s="169"/>
      <c r="L118" s="48"/>
    </row>
    <row r="119" spans="1:15" ht="32.25" customHeight="1" outlineLevel="2">
      <c r="A119" s="166" t="str">
        <f t="shared" ref="A119:A125" si="8">IF(VLOOKUP("тко",АО,3,FALSE)&gt;0,VLOOKUP(O119,АО,2,FALSE),0)</f>
        <v>Общий объем потребления, нат. показ.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222.25</v>
      </c>
      <c r="L119" s="48"/>
      <c r="O119" s="1" t="s">
        <v>140</v>
      </c>
    </row>
    <row r="120" spans="1:15" ht="32.25" customHeight="1" outlineLevel="2">
      <c r="A120" s="166" t="str">
        <f t="shared" si="8"/>
        <v>Оплачено потребителями, руб.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119723.3</v>
      </c>
      <c r="L120" s="48"/>
      <c r="O120" s="1" t="s">
        <v>141</v>
      </c>
    </row>
    <row r="121" spans="1:15" ht="32.25" customHeight="1" outlineLevel="2">
      <c r="A121" s="166" t="str">
        <f t="shared" si="8"/>
        <v>Задолженность потребителей, руб.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66" t="str">
        <f t="shared" si="8"/>
        <v>Начислено поставщиком (поставщиками) коммунального ресурса, руб.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119541.44</v>
      </c>
      <c r="L122" s="48"/>
      <c r="O122" s="1" t="s">
        <v>143</v>
      </c>
    </row>
    <row r="123" spans="1:15" ht="32.25" customHeight="1" outlineLevel="2">
      <c r="A123" s="166" t="str">
        <f t="shared" si="8"/>
        <v>Оплачено поставщику (поставщикам) коммунального ресурса, руб.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119541.44</v>
      </c>
      <c r="L123" s="48"/>
      <c r="O123" s="1" t="s">
        <v>144</v>
      </c>
    </row>
    <row r="124" spans="1:15" ht="32.25" customHeight="1" outlineLevel="2">
      <c r="A124" s="166" t="str">
        <f t="shared" si="8"/>
        <v>Задолженность перед поставщиком (поставщиками) коммунального ресурса, руб.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66" t="str">
        <f t="shared" si="8"/>
        <v>Размер пени и штрафов, уплаченных поставщику (поставщикам) коммунального ресурса, руб.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8"/>
      <c r="O125" s="1" t="s">
        <v>146</v>
      </c>
    </row>
    <row r="126" spans="1:15" ht="32.25" customHeight="1" outlineLevel="1">
      <c r="A126" s="171" t="str">
        <f>IF(VLOOKUP("гвс",АО,3,FALSE)&gt;0,"Горячее водоснабжение",0)</f>
        <v>Горячее водоснабжение</v>
      </c>
      <c r="B126" s="171"/>
      <c r="C126" s="171"/>
      <c r="D126" s="169" t="str">
        <f>IF(VLOOKUP("гвс",АО,3,FALSE)&gt;0,VLOOKUP("гвс",АО,3,FALSE),0)</f>
        <v>Предоставляется</v>
      </c>
      <c r="E126" s="169"/>
      <c r="F126" s="13" t="str">
        <f>IF(VLOOKUP("гвс",АО,3,FALSE)&gt;0,VLOOKUP("гвс",АО,4,FALSE),0)</f>
        <v>куб.м.</v>
      </c>
      <c r="G126" s="168">
        <f>VLOOKUP("гвс",АО,5,FALSE)</f>
        <v>15719.55</v>
      </c>
      <c r="H126" s="169"/>
      <c r="I126" s="169"/>
      <c r="J126" s="169"/>
      <c r="L126" s="48"/>
    </row>
    <row r="127" spans="1:15" ht="32.25" customHeight="1" outlineLevel="2">
      <c r="A127" s="166" t="str">
        <f t="shared" ref="A127:A133" si="10">IF(VLOOKUP("гвс",АО,3,FALSE)&gt;0,VLOOKUP(O127,АО,2,FALSE),0)</f>
        <v>Общий объем потребления, нат. показ.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1190.8800000000001</v>
      </c>
      <c r="L127" s="48"/>
      <c r="O127" s="1" t="s">
        <v>148</v>
      </c>
    </row>
    <row r="128" spans="1:15" ht="32.25" customHeight="1" outlineLevel="2">
      <c r="A128" s="166" t="str">
        <f t="shared" si="10"/>
        <v>Оплачено потребителями, руб.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15405.43</v>
      </c>
      <c r="L128" s="48"/>
      <c r="O128" s="1" t="s">
        <v>149</v>
      </c>
    </row>
    <row r="129" spans="1:15" ht="32.25" customHeight="1" outlineLevel="2">
      <c r="A129" s="166" t="str">
        <f t="shared" si="10"/>
        <v>Задолженность потребителей, руб.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314.11999999999898</v>
      </c>
      <c r="L129" s="48"/>
      <c r="O129" s="1" t="s">
        <v>150</v>
      </c>
    </row>
    <row r="130" spans="1:15" ht="32.25" customHeight="1" outlineLevel="2">
      <c r="A130" s="166" t="str">
        <f t="shared" si="10"/>
        <v>Начислено поставщиком (поставщиками) коммунального ресурса, руб.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15719.55</v>
      </c>
      <c r="L130" s="48"/>
      <c r="O130" s="1" t="s">
        <v>151</v>
      </c>
    </row>
    <row r="131" spans="1:15" ht="32.25" customHeight="1" outlineLevel="2">
      <c r="A131" s="166" t="str">
        <f t="shared" si="10"/>
        <v>Оплачено поставщику (поставщикам) коммунального ресурса, руб.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15719.55</v>
      </c>
      <c r="L131" s="48"/>
      <c r="O131" s="1" t="s">
        <v>152</v>
      </c>
    </row>
    <row r="132" spans="1:15" ht="32.25" customHeight="1" outlineLevel="2">
      <c r="A132" s="166" t="str">
        <f t="shared" si="10"/>
        <v>Задолженность перед поставщиком (поставщиками) коммунального ресурса, руб.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8"/>
      <c r="O132" s="1" t="s">
        <v>153</v>
      </c>
    </row>
    <row r="133" spans="1:15" ht="32.25" customHeight="1" outlineLevel="2">
      <c r="A133" s="166" t="str">
        <f t="shared" si="10"/>
        <v>Размер пени и штрафов, уплаченных поставщику (поставщикам) коммунального ресурса, руб.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8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66" t="s">
        <v>45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172</v>
      </c>
    </row>
    <row r="145" spans="1:15" ht="18.75" customHeight="1" outlineLevel="1">
      <c r="A145" s="166" t="s">
        <v>46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66" t="s">
        <v>175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0</v>
      </c>
      <c r="O146" t="s">
        <v>174</v>
      </c>
    </row>
    <row r="149" spans="1:15" ht="52.5" customHeight="1">
      <c r="A149" s="162" t="s">
        <v>180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1" t="s">
        <v>186</v>
      </c>
      <c r="B154" s="161"/>
      <c r="C154" s="161"/>
      <c r="D154" s="161"/>
      <c r="E154" s="27">
        <f>ПТО!G1</f>
        <v>-56594.57</v>
      </c>
    </row>
    <row r="155" spans="1:15" ht="34.5" customHeight="1">
      <c r="A155" s="163" t="s">
        <v>190</v>
      </c>
      <c r="B155" s="163"/>
      <c r="C155" s="163"/>
      <c r="D155" s="163"/>
      <c r="E155" s="28">
        <f>J13</f>
        <v>238854.81599999999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8100</v>
      </c>
      <c r="G158" s="159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1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видеонаблюдения.</v>
      </c>
      <c r="B159" s="158"/>
      <c r="C159" s="158"/>
      <c r="D159" s="158"/>
      <c r="E159" s="158"/>
      <c r="F159" s="159">
        <f t="shared" si="15"/>
        <v>5240</v>
      </c>
      <c r="G159" s="159"/>
      <c r="H159" s="24" t="str">
        <f t="shared" si="16"/>
        <v>ежемесячно</v>
      </c>
      <c r="I159" s="160">
        <f t="shared" si="17"/>
        <v>12</v>
      </c>
      <c r="J159" s="160"/>
      <c r="M159" s="22" t="s">
        <v>72</v>
      </c>
      <c r="N159" s="1" t="str">
        <v>Техническое обслуживание видеонаблюдения.</v>
      </c>
    </row>
    <row r="160" spans="1:15" ht="28.5" customHeight="1">
      <c r="A160" s="158" t="str">
        <f t="shared" si="14"/>
        <v>Механизированная уборка и вывоз снега с придомовой территории.</v>
      </c>
      <c r="B160" s="158"/>
      <c r="C160" s="158"/>
      <c r="D160" s="158"/>
      <c r="E160" s="158"/>
      <c r="F160" s="159">
        <f t="shared" si="15"/>
        <v>15261.2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8" t="str">
        <f>IF(N161&gt;0,N161,0)</f>
        <v>Замена термопреобразователей сопротивления.</v>
      </c>
      <c r="B161" s="158"/>
      <c r="C161" s="158"/>
      <c r="D161" s="158"/>
      <c r="E161" s="158"/>
      <c r="F161" s="159">
        <f t="shared" si="15"/>
        <v>4888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Замена термопреобразователей сопротивления.</v>
      </c>
    </row>
    <row r="162" spans="1:14" ht="28.5" hidden="1" customHeight="1">
      <c r="A162" s="158">
        <f t="shared" si="14"/>
        <v>0</v>
      </c>
      <c r="B162" s="158"/>
      <c r="C162" s="158"/>
      <c r="D162" s="158"/>
      <c r="E162" s="158"/>
      <c r="F162" s="159">
        <f t="shared" si="15"/>
        <v>0</v>
      </c>
      <c r="G162" s="159"/>
      <c r="H162" s="24" t="e">
        <f t="shared" si="16"/>
        <v>#N/A</v>
      </c>
      <c r="I162" s="160" t="e">
        <f>VLOOKUP(A162,$A$28:$J$72,9,FALSE)</f>
        <v>#N/A</v>
      </c>
      <c r="J162" s="160"/>
      <c r="M162" s="22" t="s">
        <v>72</v>
      </c>
      <c r="N162" s="1">
        <v>0</v>
      </c>
    </row>
    <row r="163" spans="1:14" ht="28.5" hidden="1" customHeight="1">
      <c r="A163" s="158">
        <f t="shared" si="14"/>
        <v>0</v>
      </c>
      <c r="B163" s="158"/>
      <c r="C163" s="158"/>
      <c r="D163" s="158"/>
      <c r="E163" s="158"/>
      <c r="F163" s="159">
        <f t="shared" si="15"/>
        <v>0</v>
      </c>
      <c r="G163" s="159"/>
      <c r="H163" s="24" t="e">
        <f t="shared" si="16"/>
        <v>#N/A</v>
      </c>
      <c r="I163" s="160" t="e">
        <f>VLOOKUP(A163,$A$28:$J$72,9,FALSE)</f>
        <v>#N/A</v>
      </c>
      <c r="J163" s="160"/>
      <c r="M163" s="22" t="s">
        <v>72</v>
      </c>
      <c r="N163" s="1">
        <v>0</v>
      </c>
    </row>
    <row r="164" spans="1:14" ht="28.5" hidden="1" customHeight="1">
      <c r="A164" s="158">
        <f t="shared" ref="A164:A187" si="18">IF(N164&gt;0,N164,0)</f>
        <v>0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60" t="e">
        <f t="shared" ref="I164:I187" si="20">VLOOKUP(A164,$A$28:$J$72,9,FALSE)</f>
        <v>#N/A</v>
      </c>
      <c r="J164" s="160"/>
      <c r="M164" s="22" t="s">
        <v>72</v>
      </c>
      <c r="N164" s="1">
        <v>0</v>
      </c>
    </row>
    <row r="165" spans="1:14" ht="28.5" hidden="1" customHeight="1">
      <c r="A165" s="158">
        <f t="shared" si="18"/>
        <v>0</v>
      </c>
      <c r="B165" s="158"/>
      <c r="C165" s="158"/>
      <c r="D165" s="158"/>
      <c r="E165" s="158"/>
      <c r="F165" s="159">
        <f t="shared" si="19"/>
        <v>0</v>
      </c>
      <c r="G165" s="159"/>
      <c r="H165" s="29" t="e">
        <f t="shared" si="16"/>
        <v>#N/A</v>
      </c>
      <c r="I165" s="160" t="e">
        <f t="shared" si="20"/>
        <v>#N/A</v>
      </c>
      <c r="J165" s="160"/>
      <c r="M165" s="22" t="s">
        <v>72</v>
      </c>
      <c r="N165" s="1">
        <v>0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59">
        <f t="shared" si="19"/>
        <v>0</v>
      </c>
      <c r="G166" s="159"/>
      <c r="H166" s="29" t="e">
        <f t="shared" si="16"/>
        <v>#N/A</v>
      </c>
      <c r="I166" s="160" t="e">
        <f t="shared" si="20"/>
        <v>#N/A</v>
      </c>
      <c r="J166" s="160"/>
      <c r="M166" s="22" t="s">
        <v>72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59">
        <f t="shared" si="19"/>
        <v>0</v>
      </c>
      <c r="G167" s="159"/>
      <c r="H167" s="29" t="e">
        <f t="shared" si="16"/>
        <v>#N/A</v>
      </c>
      <c r="I167" s="160" t="e">
        <f t="shared" si="20"/>
        <v>#N/A</v>
      </c>
      <c r="J167" s="160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59">
        <f t="shared" si="19"/>
        <v>0</v>
      </c>
      <c r="G168" s="159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61" t="s">
        <v>189</v>
      </c>
      <c r="B190" s="161"/>
      <c r="C190" s="161"/>
      <c r="D190" s="161"/>
      <c r="E190" s="27">
        <f>SUM(F158:G187)</f>
        <v>33489.199999999997</v>
      </c>
    </row>
    <row r="191" spans="1:14" ht="51.75" customHeight="1">
      <c r="A191" s="161" t="s">
        <v>188</v>
      </c>
      <c r="B191" s="161"/>
      <c r="C191" s="161"/>
      <c r="D191" s="161"/>
      <c r="E191" s="27">
        <f>E190+E154-E155</f>
        <v>-261960.18599999999</v>
      </c>
    </row>
    <row r="192" spans="1:14">
      <c r="A192" s="104" t="s">
        <v>176</v>
      </c>
    </row>
    <row r="193" spans="1:10" ht="62.25" customHeight="1">
      <c r="A193" s="186" t="s">
        <v>187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75</v>
      </c>
    </row>
    <row r="195" spans="1:10" ht="18.75" customHeight="1">
      <c r="A195" s="185" t="str">
        <f>ПТО!F13</f>
        <v xml:space="preserve">  -  техническое освидетельствование лифта</v>
      </c>
      <c r="B195" s="185"/>
      <c r="C195" s="185"/>
      <c r="D195" s="185"/>
      <c r="E195" s="185"/>
      <c r="F195" s="185"/>
      <c r="G195" s="185"/>
      <c r="H195" s="49">
        <f>ПТО!G13</f>
        <v>8100</v>
      </c>
      <c r="I195" s="50" t="s">
        <v>75</v>
      </c>
    </row>
    <row r="196" spans="1:10" ht="18.75" customHeight="1">
      <c r="A196" s="185" t="str">
        <f>ПТО!F14</f>
        <v xml:space="preserve">  -  техническое обслуживание системы видеонаблюдения</v>
      </c>
      <c r="B196" s="185"/>
      <c r="C196" s="185"/>
      <c r="D196" s="185"/>
      <c r="E196" s="185"/>
      <c r="F196" s="185"/>
      <c r="G196" s="185"/>
      <c r="H196" s="49">
        <f>ПТО!G14</f>
        <v>5240</v>
      </c>
      <c r="I196" s="50" t="s">
        <v>75</v>
      </c>
    </row>
    <row r="197" spans="1:10" ht="18.75" customHeight="1">
      <c r="A197" s="185" t="str">
        <f>ПТО!F15</f>
        <v xml:space="preserve">  -  укладка керамогранита в подъезде</v>
      </c>
      <c r="B197" s="185"/>
      <c r="C197" s="185"/>
      <c r="D197" s="185"/>
      <c r="E197" s="185"/>
      <c r="F197" s="185"/>
      <c r="G197" s="185"/>
      <c r="H197" s="49">
        <f>ПТО!G15</f>
        <v>310000</v>
      </c>
      <c r="I197" s="50" t="s">
        <v>75</v>
      </c>
    </row>
    <row r="198" spans="1:10" ht="18.75" hidden="1" customHeight="1">
      <c r="A198" s="185">
        <f>ПТО!F16</f>
        <v>0</v>
      </c>
      <c r="B198" s="185"/>
      <c r="C198" s="185"/>
      <c r="D198" s="185"/>
      <c r="E198" s="185"/>
      <c r="F198" s="185"/>
      <c r="G198" s="185"/>
      <c r="H198" s="49">
        <f>ПТО!G16</f>
        <v>0</v>
      </c>
      <c r="I198" s="52" t="s">
        <v>75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75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75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75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75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75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75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75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75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75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75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75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75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75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75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324540</v>
      </c>
      <c r="I214" s="56" t="s">
        <v>79</v>
      </c>
    </row>
  </sheetData>
  <sheetProtection algorithmName="SHA-512" hashValue="yM2EAszEQxaxXrgXP1LrPV3CGtsMdDLMC88Yx/8moST4umPK+GqLW7n/Y75wILad2yZqBhee2EMQyQfL+Q5YIA==" saltValue="kbh3rkZ3P4okv52NCshLg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-56594.57</f>
        <v>-56594.57</v>
      </c>
    </row>
    <row r="2" spans="1:12" ht="18.75" customHeight="1">
      <c r="A2" s="140" t="s">
        <v>73</v>
      </c>
      <c r="B2" s="141" t="s">
        <v>185</v>
      </c>
      <c r="C2" s="142">
        <v>1</v>
      </c>
      <c r="D2" s="143">
        <v>8100</v>
      </c>
      <c r="E2" s="127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181</v>
      </c>
      <c r="B3" s="145" t="s">
        <v>178</v>
      </c>
      <c r="C3" s="146">
        <v>12</v>
      </c>
      <c r="D3" s="147">
        <v>5240</v>
      </c>
      <c r="E3" s="127" t="s">
        <v>196</v>
      </c>
      <c r="F3" s="30"/>
      <c r="G3" s="30"/>
      <c r="L3" s="33" t="str">
        <f t="shared" si="0"/>
        <v>ТР</v>
      </c>
    </row>
    <row r="4" spans="1:12" ht="18.75" customHeight="1">
      <c r="A4" s="138" t="s">
        <v>191</v>
      </c>
      <c r="B4" s="139" t="s">
        <v>192</v>
      </c>
      <c r="C4" s="136">
        <v>1</v>
      </c>
      <c r="D4" s="137">
        <v>15261.2</v>
      </c>
      <c r="E4" s="138" t="s">
        <v>193</v>
      </c>
      <c r="F4" s="30"/>
      <c r="G4" s="30"/>
      <c r="L4" s="33" t="str">
        <f t="shared" si="0"/>
        <v>ТР</v>
      </c>
    </row>
    <row r="5" spans="1:12" ht="18.75" customHeight="1">
      <c r="A5" s="45" t="s">
        <v>194</v>
      </c>
      <c r="B5" s="148" t="s">
        <v>192</v>
      </c>
      <c r="C5" s="43">
        <v>1</v>
      </c>
      <c r="D5" s="47">
        <v>4888</v>
      </c>
      <c r="E5" s="45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154"/>
      <c r="B6" s="120"/>
      <c r="C6" s="155"/>
      <c r="D6" s="156"/>
      <c r="E6" s="157"/>
      <c r="F6" s="45"/>
      <c r="G6" s="45"/>
      <c r="K6" s="47"/>
      <c r="L6" s="33">
        <f t="shared" si="0"/>
        <v>0</v>
      </c>
    </row>
    <row r="7" spans="1:12" ht="18.75" customHeight="1">
      <c r="A7" s="121"/>
      <c r="B7" s="122"/>
      <c r="C7" s="123"/>
      <c r="D7" s="47"/>
      <c r="E7" s="124"/>
      <c r="F7" s="46"/>
      <c r="G7" s="46"/>
      <c r="K7" s="47"/>
      <c r="L7" s="33">
        <f t="shared" si="0"/>
        <v>0</v>
      </c>
    </row>
    <row r="8" spans="1:12" ht="18.75" customHeight="1">
      <c r="A8" s="125"/>
      <c r="B8" s="126"/>
      <c r="C8" s="120"/>
      <c r="D8" s="47"/>
      <c r="E8" s="127"/>
      <c r="F8" s="46"/>
      <c r="G8" s="46"/>
      <c r="K8" s="44"/>
      <c r="L8" s="33">
        <f t="shared" si="0"/>
        <v>0</v>
      </c>
    </row>
    <row r="9" spans="1:12">
      <c r="A9" s="128"/>
      <c r="B9" s="129"/>
      <c r="C9" s="43"/>
      <c r="D9" s="44"/>
      <c r="E9" s="130"/>
      <c r="F9" s="45"/>
      <c r="G9" s="45"/>
      <c r="K9" s="44"/>
      <c r="L9" s="33">
        <f t="shared" si="0"/>
        <v>0</v>
      </c>
    </row>
    <row r="10" spans="1:12">
      <c r="A10" s="131"/>
      <c r="B10" s="132"/>
      <c r="C10" s="133"/>
      <c r="D10" s="134"/>
      <c r="E10" s="134"/>
      <c r="L10" s="33">
        <f t="shared" si="0"/>
        <v>0</v>
      </c>
    </row>
    <row r="11" spans="1:12" ht="94.5">
      <c r="A11" s="45"/>
      <c r="B11" s="135"/>
      <c r="C11" s="43"/>
      <c r="D11" s="44"/>
      <c r="E11" s="45"/>
      <c r="F11" s="111" t="s">
        <v>187</v>
      </c>
      <c r="G11" s="111"/>
      <c r="L11" s="33">
        <f t="shared" si="0"/>
        <v>0</v>
      </c>
    </row>
    <row r="12" spans="1:12" ht="31.5">
      <c r="A12" s="128"/>
      <c r="B12" s="129"/>
      <c r="C12" s="43"/>
      <c r="D12" s="44"/>
      <c r="E12" s="128"/>
      <c r="F12" s="112" t="s">
        <v>74</v>
      </c>
      <c r="G12" s="113">
        <v>1200</v>
      </c>
      <c r="L12" s="33">
        <f t="shared" si="0"/>
        <v>0</v>
      </c>
    </row>
    <row r="13" spans="1:12" ht="31.5">
      <c r="A13" s="45"/>
      <c r="B13" s="135"/>
      <c r="C13" s="43"/>
      <c r="D13" s="44"/>
      <c r="E13" s="45"/>
      <c r="F13" s="112" t="s">
        <v>76</v>
      </c>
      <c r="G13" s="113">
        <v>8100</v>
      </c>
      <c r="L13" s="33">
        <f t="shared" si="0"/>
        <v>0</v>
      </c>
    </row>
    <row r="14" spans="1:12" ht="31.5">
      <c r="A14" s="125"/>
      <c r="B14" s="126"/>
      <c r="C14" s="120"/>
      <c r="D14" s="47"/>
      <c r="E14" s="127"/>
      <c r="F14" s="112" t="s">
        <v>77</v>
      </c>
      <c r="G14" s="114">
        <v>5240</v>
      </c>
      <c r="L14" s="33">
        <f t="shared" si="0"/>
        <v>0</v>
      </c>
    </row>
    <row r="15" spans="1:12" ht="15.75">
      <c r="A15" s="131"/>
      <c r="B15" s="132"/>
      <c r="C15" s="133"/>
      <c r="D15" s="134"/>
      <c r="E15" s="134"/>
      <c r="F15" s="112" t="s">
        <v>184</v>
      </c>
      <c r="G15" s="113">
        <v>310000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221135.64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221135.64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67687.319999999992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67687.319999999992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45361.2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45361.2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42526.080000000002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42526.080000000002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12757.800000000001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12757.800000000001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46778.64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46778.64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198</v>
      </c>
      <c r="B47" s="149">
        <f>(E47*3.48*1.23*6+E47*3.48*1.17*6)+(F47*0.03*13.45*6+F47*0.03*12.94*6)+(F47*0.06*16.35*6+F47*0.06*15.73*6)+(F47*0.03*107.48*6+F47*0.03*104.91*6)</f>
        <v>42502.985279999994</v>
      </c>
      <c r="C47" s="150" t="s">
        <v>68</v>
      </c>
      <c r="D47" s="151">
        <v>12</v>
      </c>
      <c r="E47" s="149">
        <v>427.7</v>
      </c>
      <c r="F47" s="149">
        <v>386.4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42502.985279999994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52">
        <v>2987.7</v>
      </c>
      <c r="G53" s="153">
        <v>3.48</v>
      </c>
      <c r="H53" s="31">
        <f>G53*E47/F53</f>
        <v>0.49817451551360581</v>
      </c>
      <c r="I53" s="152">
        <f>G53*E47</f>
        <v>1488.396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74.400000000000006</v>
      </c>
      <c r="H54" s="31">
        <f>H53*35.2</f>
        <v>17.535742946078926</v>
      </c>
      <c r="I54" s="31">
        <f>I53/F53</f>
        <v>0.49817451551360581</v>
      </c>
    </row>
    <row r="55" spans="5:16">
      <c r="I55" s="31">
        <f>I54*F54</f>
        <v>37.064183954212275</v>
      </c>
    </row>
    <row r="59" spans="5:16">
      <c r="E59" s="31">
        <v>0.19600000000000001</v>
      </c>
      <c r="F59" s="152">
        <f>F53</f>
        <v>2987.7</v>
      </c>
      <c r="G59" s="153">
        <v>3.2000000000000001E-2</v>
      </c>
      <c r="H59" s="31">
        <f>G59*F47</f>
        <v>12.364799999999999</v>
      </c>
      <c r="I59" s="31">
        <f>G59*F47</f>
        <v>12.364799999999999</v>
      </c>
    </row>
    <row r="60" spans="5:16">
      <c r="H60" s="31">
        <f>H59/F59</f>
        <v>4.1385681293302536E-3</v>
      </c>
      <c r="I60" s="31">
        <f>I59/F59</f>
        <v>4.1385681293302536E-3</v>
      </c>
    </row>
    <row r="61" spans="5:16">
      <c r="H61" s="31">
        <f>H60*35.2</f>
        <v>0.14567759815242493</v>
      </c>
      <c r="I61" s="31">
        <f>I60*F54</f>
        <v>0.30790946882217091</v>
      </c>
    </row>
    <row r="63" spans="5:16">
      <c r="E63" s="31">
        <v>0.19600000000000001</v>
      </c>
      <c r="F63" s="152">
        <f>F53</f>
        <v>2987.7</v>
      </c>
      <c r="G63" s="153">
        <v>3.2000000000000001E-2</v>
      </c>
      <c r="H63" s="31">
        <f>G63*F47</f>
        <v>12.364799999999999</v>
      </c>
      <c r="I63" s="31">
        <f>G59*F47</f>
        <v>12.364799999999999</v>
      </c>
    </row>
    <row r="64" spans="5:16">
      <c r="H64" s="31">
        <f>H63/F63</f>
        <v>4.1385681293302536E-3</v>
      </c>
      <c r="I64" s="31">
        <f>I63/F63</f>
        <v>4.1385681293302536E-3</v>
      </c>
    </row>
    <row r="65" spans="4:13" ht="18.75" customHeight="1">
      <c r="D65" s="99"/>
      <c r="H65" s="31">
        <f>H64*35.2</f>
        <v>0.14567759815242493</v>
      </c>
      <c r="I65" s="31">
        <f>I64*F54</f>
        <v>0.30790946882217091</v>
      </c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52">
        <f>F53</f>
        <v>2987.7</v>
      </c>
      <c r="G66" s="153">
        <v>6.4000000000000001E-2</v>
      </c>
      <c r="H66" s="31">
        <f>G66*F47</f>
        <v>24.729599999999998</v>
      </c>
      <c r="I66" s="31">
        <f>G66*F47</f>
        <v>24.729599999999998</v>
      </c>
      <c r="J66" s="102"/>
      <c r="M66" s="1"/>
    </row>
    <row r="67" spans="4:13" ht="18.75" customHeight="1">
      <c r="D67" s="102"/>
      <c r="H67" s="31">
        <f>H66/F66</f>
        <v>8.2771362586605071E-3</v>
      </c>
      <c r="I67" s="31">
        <f>I66/F66</f>
        <v>8.2771362586605071E-3</v>
      </c>
      <c r="J67" s="102"/>
      <c r="M67" s="1"/>
    </row>
    <row r="68" spans="4:13" ht="18.75" customHeight="1">
      <c r="D68" s="102"/>
      <c r="H68" s="31">
        <f>H67*35.2</f>
        <v>0.29135519630484985</v>
      </c>
      <c r="I68" s="31">
        <f>I67*F54</f>
        <v>0.61581893764434181</v>
      </c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1" sqref="D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2953.2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118">
        <v>6.74</v>
      </c>
      <c r="F2" s="119" t="s">
        <v>182</v>
      </c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95662.63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822803.29599999997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442119.63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F1*6.74*12</f>
        <v>238854.81599999999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141828.85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810342.88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810342.88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810342.88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108123.04599999997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107</v>
      </c>
      <c r="B27" s="75" t="s">
        <v>4</v>
      </c>
      <c r="C27" s="86">
        <v>32915.269999999997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110</v>
      </c>
      <c r="B30" s="75" t="s">
        <v>18</v>
      </c>
      <c r="C30" s="86">
        <v>43302.19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75760.81</v>
      </c>
      <c r="F37" s="94" t="s">
        <v>169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63134.01</v>
      </c>
      <c r="D38" s="94" t="s">
        <v>167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75151.509999999995</v>
      </c>
      <c r="D39" s="94" t="s">
        <v>168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609.30000000000291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75760.81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75760.81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72753.83</v>
      </c>
      <c r="F45" s="94" t="s">
        <v>169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5511.65</v>
      </c>
      <c r="D46" s="94" t="s">
        <v>170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69671.8</v>
      </c>
      <c r="D47" s="94" t="s">
        <v>168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3082.0299999999988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72753.83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72753.83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148376.94</v>
      </c>
      <c r="F53" s="94" t="s">
        <v>169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9250.43</v>
      </c>
      <c r="D54" s="94" t="s">
        <v>170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141813.60999999999</v>
      </c>
      <c r="D55" s="94" t="s">
        <v>168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6563.3300000000163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148376.94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148376.94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119541.44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222.25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119723.3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119541.44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119541.44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15719.55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1190.8800000000001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15405.43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314.11999999999898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15719.55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15719.55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2022-03-28T05:14:36Z</dcterms:modified>
</cp:coreProperties>
</file>