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I66" i="2" l="1"/>
  <c r="I67" i="2" s="1"/>
  <c r="I68" i="2" s="1"/>
  <c r="H66" i="2"/>
  <c r="F66" i="2"/>
  <c r="I63" i="2"/>
  <c r="H63" i="2"/>
  <c r="F63" i="2"/>
  <c r="I59" i="2"/>
  <c r="H59" i="2"/>
  <c r="F59" i="2"/>
  <c r="I53" i="2"/>
  <c r="I54" i="2" s="1"/>
  <c r="I55" i="2" s="1"/>
  <c r="H53" i="2"/>
  <c r="H54" i="2" s="1"/>
  <c r="B47" i="2"/>
  <c r="I60" i="2" l="1"/>
  <c r="I61" i="2" s="1"/>
  <c r="I64" i="2"/>
  <c r="I65" i="2" s="1"/>
  <c r="H64" i="2"/>
  <c r="H65" i="2" s="1"/>
  <c r="H60" i="2"/>
  <c r="H61" i="2" s="1"/>
  <c r="H67" i="2"/>
  <c r="H68" i="2" s="1"/>
  <c r="G1" i="2"/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6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2" i="1"/>
  <c r="G110" i="1"/>
  <c r="J109" i="1"/>
  <c r="J104" i="1"/>
  <c r="J103" i="1"/>
  <c r="A107" i="1"/>
  <c r="A103" i="1"/>
  <c r="G102" i="1"/>
  <c r="J101" i="1"/>
  <c r="J96" i="1"/>
  <c r="J95" i="1"/>
  <c r="A95" i="1"/>
  <c r="G94" i="1"/>
  <c r="K94" i="1"/>
  <c r="A119" i="1" l="1"/>
  <c r="D110" i="1"/>
  <c r="A102" i="1"/>
  <c r="F134" i="1"/>
  <c r="A94" i="1"/>
  <c r="A122" i="1"/>
  <c r="A141" i="1"/>
  <c r="A99" i="1"/>
  <c r="A118" i="1"/>
  <c r="A123" i="1"/>
  <c r="A137" i="1"/>
  <c r="A114" i="1"/>
  <c r="A110" i="1"/>
  <c r="A111" i="1"/>
  <c r="A115" i="1"/>
  <c r="F110" i="1"/>
  <c r="A113" i="1"/>
  <c r="D94" i="1"/>
  <c r="A100" i="1"/>
  <c r="A101" i="1"/>
  <c r="A96" i="1"/>
  <c r="F94" i="1"/>
  <c r="A97" i="1"/>
  <c r="D102" i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<sst xmlns="http://schemas.openxmlformats.org/spreadsheetml/2006/main" count="543" uniqueCount="196">
  <si>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</si>
  <si>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</si>
  <si>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</si>
  <si>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</si>
  <si>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</si>
  <si>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</si>
  <si>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</si>
  <si>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</si>
  <si>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</si>
  <si>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</si>
  <si>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</si>
  <si>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</si>
  <si>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</si>
  <si>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</si>
  <si>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</si>
  <si>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</si>
  <si>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</si>
  <si>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</si>
  <si>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</si>
  <si>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</si>
  <si>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</si>
  <si>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</si>
  <si>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</si>
  <si>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</si>
  <si>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</si>
  <si>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</si>
  <si>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</si>
  <si>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</si>
  <si>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</si>
  <si>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</si>
  <si>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</si>
  <si>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</si>
  <si>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</si>
  <si>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</si>
  <si>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</si>
  <si>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</si>
  <si>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</si>
  <si>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</si>
  <si>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</si>
  <si>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</si>
  <si>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</si>
  <si>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</si>
  <si>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</si>
  <si>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</si>
  <si>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</si>
  <si>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</si>
  <si>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</si>
  <si>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</si>
  <si>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</si>
  <si>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</si>
  <si>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</si>
  <si>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</si>
  <si>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</si>
  <si>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</si>
  <si>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</si>
  <si>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</si>
  <si>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</si>
  <si>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</si>
  <si>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</si>
  <si>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</si>
  <si>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</si>
  <si>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</si>
  <si>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</si>
  <si>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</si>
  <si>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</si>
  <si>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</si>
  <si>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</si>
  <si>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</si>
  <si>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</si>
  <si>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</si>
  <si>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</si>
  <si>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</si>
  <si>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</si>
  <si>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</si>
  <si>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</si>
  <si>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</si>
  <si>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</si>
  <si>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</si>
  <si>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</si>
  <si>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</si>
  <si>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</si>
  <si>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</si>
  <si>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</si>
  <si>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</si>
  <si>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</si>
  <si>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</si>
  <si>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</si>
  <si>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</si>
  <si>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</si>
  <si>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</si>
  <si>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</si>
  <si>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</si>
  <si>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</si>
  <si>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</si>
  <si>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</si>
  <si>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</si>
  <si>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</si>
  <si>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</si>
  <si>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</si>
  <si>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</si>
  <si>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</si>
  <si>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</si>
  <si>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</si>
  <si>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</si>
  <si>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</si>
  <si>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</si>
  <si>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</si>
  <si>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</si>
  <si>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</si>
  <si>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</si>
  <si>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</si>
  <si>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</si>
  <si>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</si>
  <si>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</si>
  <si>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</si>
  <si>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</si>
  <si>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</si>
  <si>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</si>
  <si>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</si>
  <si>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</si>
  <si>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</si>
  <si>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</si>
  <si>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</si>
  <si>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</si>
  <si>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</si>
  <si>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</si>
  <si>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</si>
  <si>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</si>
  <si>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</si>
  <si>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</si>
  <si>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</si>
  <si>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</si>
  <si>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</si>
  <si>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</si>
  <si>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</si>
  <si>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</si>
  <si>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</si>
  <si>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</si>
  <si>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</si>
  <si>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</si>
  <si>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</si>
  <si>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</si>
  <si>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</si>
  <si>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</si>
  <si>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</si>
  <si>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</si>
  <si>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</si>
  <si>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</si>
  <si>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</si>
  <si>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</si>
  <si>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</si>
  <si>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</si>
  <si>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</si>
  <si>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</si>
  <si>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</si>
  <si>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</si>
  <si>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</si>
  <si>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</si>
  <si>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</si>
  <si>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</si>
  <si>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</si>
  <si>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</si>
  <si>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</si>
  <si>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</si>
  <si>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</si>
  <si>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</si>
  <si>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</si>
  <si>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</si>
  <si>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</si>
  <si>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</si>
  <si>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</si>
  <si>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</si>
  <si>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</si>
  <si>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</si>
  <si>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</si>
  <si>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</si>
  <si>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</si>
  <si>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</si>
  <si>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</si>
  <si>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Александра Невского, 99/5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</si>
  <si>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</si>
  <si>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</si>
  <si>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</si>
  <si>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</si>
  <si>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99/5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</si>
  <si>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</si>
  <si>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</si>
  <si>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</si>
  <si>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</si>
  <si>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</si>
  <si>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Механизированная уборка и вывоз снега с придомовой территории.</t>
  </si>
  <si>
    <t>разово</t>
  </si>
  <si>
    <t>АВР 1/21 от 04.02.2021</t>
  </si>
  <si>
    <t>АВР 3/21 от 15.02.2021</t>
  </si>
  <si>
    <t>Коммунальные ресурсы на содержание общего имущества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</si>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</sst>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6" fillId="0" borderId="0"/>
    <xf numFmtId="0" fontId="1" fillId="0" borderId="0"/>
  </cellStyleXfs>
  <cellXfs count="179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22" fillId="0" borderId="0" xfId="6" applyFont="1" applyFill="1" applyBorder="1" applyAlignment="1"/>
    <xf numFmtId="0" fontId="6" fillId="0" borderId="0" xfId="6" applyFill="1" applyBorder="1" applyAlignment="1">
      <alignment horizontal="center"/>
    </xf>
    <xf numFmtId="4" fontId="22" fillId="0" borderId="0" xfId="6" applyNumberFormat="1" applyFont="1" applyFill="1" applyBorder="1" applyAlignment="1"/>
    <xf numFmtId="0" fontId="7" fillId="6" borderId="0" xfId="5" applyFill="1" applyBorder="1" applyAlignment="1"/>
    <xf numFmtId="0" fontId="7" fillId="6" borderId="0" xfId="5" applyFill="1" applyBorder="1" applyAlignment="1">
      <alignment horizontal="center"/>
    </xf>
    <xf numFmtId="4" fontId="7" fillId="6" borderId="0" xfId="5" applyNumberFormat="1" applyFill="1" applyBorder="1" applyAlignment="1"/>
    <xf numFmtId="0" fontId="0" fillId="6" borderId="0" xfId="0" applyFill="1" applyBorder="1"/>
    <xf numFmtId="0" fontId="2" fillId="0" borderId="0" xfId="6" applyFont="1" applyFill="1" applyBorder="1" applyAlignment="1">
      <alignment horizontal="center"/>
    </xf>
    <xf numFmtId="0" fontId="22" fillId="0" borderId="0" xfId="5" applyFont="1" applyFill="1" applyBorder="1" applyAlignment="1"/>
    <xf numFmtId="0" fontId="22" fillId="0" borderId="0" xfId="5" applyFont="1" applyFill="1" applyBorder="1" applyAlignment="1">
      <alignment horizontal="center"/>
    </xf>
    <xf numFmtId="0" fontId="22" fillId="0" borderId="0" xfId="5" applyNumberFormat="1" applyFont="1" applyFill="1" applyBorder="1" applyAlignment="1">
      <alignment horizontal="center"/>
    </xf>
    <xf numFmtId="4" fontId="22" fillId="0" borderId="0" xfId="5" applyNumberFormat="1" applyFont="1" applyFill="1" applyBorder="1" applyAlignment="1"/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24" fillId="3" borderId="0" xfId="7" applyNumberFormat="1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5" t="s">
        <v>179</v>
      </c>
      <c r="B2" s="165"/>
      <c r="C2" s="165"/>
      <c r="D2" s="165"/>
      <c r="E2" s="165"/>
      <c r="F2" s="165"/>
      <c r="G2" s="165"/>
      <c r="H2" s="165"/>
      <c r="I2" s="165"/>
      <c r="J2" s="16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0"/>
      <c r="L8" s="166"/>
      <c r="M8" s="110"/>
      <c r="N8" s="110"/>
      <c r="O8" s="70" t="s">
        <v>84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0"/>
      <c r="L9" s="166"/>
      <c r="M9" s="110"/>
      <c r="N9" s="110"/>
      <c r="O9" s="70" t="s">
        <v>85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175071.35999999999</v>
      </c>
      <c r="K10" s="110"/>
      <c r="L10" s="166"/>
      <c r="M10" s="110"/>
      <c r="N10" s="110"/>
      <c r="O10" s="70" t="s">
        <v>86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532268.12199999997</v>
      </c>
      <c r="K11" s="110"/>
      <c r="L11" s="166"/>
      <c r="M11" s="110"/>
      <c r="N11" s="110"/>
      <c r="O11" s="70" t="s">
        <v>87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406000.21</v>
      </c>
      <c r="K12" s="110"/>
      <c r="L12" s="166"/>
      <c r="M12" s="110"/>
      <c r="N12" s="110"/>
      <c r="O12" s="70" t="s">
        <v>88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126267.91200000001</v>
      </c>
      <c r="K13" s="110"/>
      <c r="L13" s="166"/>
      <c r="M13" s="110"/>
      <c r="N13" s="110"/>
      <c r="O13" s="70" t="s">
        <v>89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0"/>
      <c r="L14" s="166"/>
      <c r="M14" s="110"/>
      <c r="N14" s="110"/>
      <c r="O14" s="70" t="s">
        <v>90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549266.51</v>
      </c>
      <c r="K15" s="110"/>
      <c r="L15" s="166"/>
      <c r="M15" s="110"/>
      <c r="N15" s="110"/>
      <c r="O15" s="70" t="s">
        <v>91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549266.51</v>
      </c>
      <c r="K16" s="110"/>
      <c r="L16" s="166"/>
      <c r="M16" s="110"/>
      <c r="N16" s="110"/>
      <c r="O16" s="70" t="s">
        <v>92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0"/>
      <c r="L17" s="166"/>
      <c r="M17" s="110"/>
      <c r="N17" s="110"/>
      <c r="O17" s="70" t="s">
        <v>93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0"/>
      <c r="L18" s="166"/>
      <c r="M18" s="110"/>
      <c r="N18" s="110"/>
      <c r="O18" s="70" t="s">
        <v>94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0"/>
      <c r="L19" s="166"/>
      <c r="M19" s="110"/>
      <c r="N19" s="110"/>
      <c r="O19" s="70" t="s">
        <v>95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0"/>
      <c r="L20" s="166"/>
      <c r="M20" s="110"/>
      <c r="N20" s="110"/>
      <c r="O20" s="70" t="s">
        <v>96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549266.51</v>
      </c>
      <c r="K21" s="110"/>
      <c r="L21" s="166"/>
      <c r="M21" s="110"/>
      <c r="N21" s="110"/>
      <c r="O21" s="70" t="s">
        <v>97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0"/>
      <c r="L22" s="166"/>
      <c r="M22" s="110"/>
      <c r="N22" s="110"/>
      <c r="O22" s="70" t="s">
        <v>98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0"/>
      <c r="L23" s="166"/>
      <c r="M23" s="110"/>
      <c r="N23" s="110"/>
      <c r="O23" s="70" t="s">
        <v>99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158072.97199999995</v>
      </c>
      <c r="K24" s="110"/>
      <c r="L24" s="166"/>
      <c r="M24" s="110"/>
      <c r="N24" s="110"/>
      <c r="O24" s="70" t="s">
        <v>100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10"/>
      <c r="L27" s="16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99994.92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0"/>
      <c r="L28" s="16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Работы по содержанию лифта (лифтов)</v>
      </c>
      <c r="B29" s="150"/>
      <c r="C29" s="150"/>
      <c r="D29" s="150"/>
      <c r="E29" s="150"/>
      <c r="F29" s="155">
        <f>VLOOKUP(A29,ПТО!$A$39:$D$53,2,FALSE)</f>
        <v>67815.72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0"/>
      <c r="L29" s="167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45210.48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0"/>
      <c r="L30" s="16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31913.279999999999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0"/>
      <c r="L31" s="16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0"/>
      <c r="L32" s="167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9308.0400000000009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0"/>
      <c r="L33" s="16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46806.12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0"/>
      <c r="L34" s="16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0"/>
      <c r="C35" s="150"/>
      <c r="D35" s="150"/>
      <c r="E35" s="150"/>
      <c r="F35" s="155">
        <f>VLOOKUP(A35,ПТО!$A$39:$D$53,2,FALSE)</f>
        <v>106111.67999999999</v>
      </c>
      <c r="G35" s="155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10"/>
      <c r="L35" s="167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50" t="str">
        <f>ПТО!A47</f>
        <v>Коммунальные ресурсы на содержание общего имущества</v>
      </c>
      <c r="B36" s="150"/>
      <c r="C36" s="150"/>
      <c r="D36" s="150"/>
      <c r="E36" s="150"/>
      <c r="F36" s="155">
        <f>VLOOKUP(A36,ПТО!$A$39:$D$53,2,FALSE)</f>
        <v>44278.594920000003</v>
      </c>
      <c r="G36" s="155"/>
      <c r="H36" s="42" t="str">
        <f>VLOOKUP(A36,ПТО!$A$39:$D$53,3,FALSE)</f>
        <v>Ежемесячно</v>
      </c>
      <c r="I36" s="151">
        <f>VLOOKUP(A36,ПТО!$A$39:$D$53,4,FALSE)</f>
        <v>12</v>
      </c>
      <c r="J36" s="151"/>
      <c r="K36" s="110"/>
      <c r="L36" s="167"/>
      <c r="M36" s="117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0"/>
      <c r="L37" s="167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0"/>
      <c r="L38" s="167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0"/>
      <c r="L39" s="167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0"/>
      <c r="L40" s="167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0"/>
      <c r="L41" s="167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0"/>
      <c r="L42" s="167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Техническое освидетельствование лифта.</v>
      </c>
      <c r="B43" s="150"/>
      <c r="C43" s="150"/>
      <c r="D43" s="150"/>
      <c r="E43" s="150"/>
      <c r="F43" s="155">
        <f>VLOOKUP(A43,ПТО!$A$2:$D$31,4,FALSE)</f>
        <v>8100</v>
      </c>
      <c r="G43" s="155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10"/>
      <c r="L43" s="167"/>
      <c r="M43" s="117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0" t="str">
        <f>ПТО!A3</f>
        <v>Техническое обслуживание системы видеонаблюдения.</v>
      </c>
      <c r="B44" s="150"/>
      <c r="C44" s="150"/>
      <c r="D44" s="150"/>
      <c r="E44" s="150"/>
      <c r="F44" s="155">
        <f>VLOOKUP(A44,ПТО!$A$2:$D$31,4,FALSE)</f>
        <v>5240</v>
      </c>
      <c r="G44" s="155"/>
      <c r="H44" s="25" t="str">
        <f>VLOOKUP(A44,ПТО!$A$2:$D$31,2,FALSE)</f>
        <v>ежемесячно</v>
      </c>
      <c r="I44" s="151">
        <f>VLOOKUP(A44,ПТО!$A$2:$D$31,3,FALSE)</f>
        <v>12</v>
      </c>
      <c r="J44" s="151"/>
      <c r="K44" s="110"/>
      <c r="L44" s="167"/>
      <c r="M44" s="117"/>
      <c r="N44" s="110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50" t="str">
        <f>ПТО!A4</f>
        <v>Механизированная уборка и вывоз снега с придомовой территории.</v>
      </c>
      <c r="B45" s="150"/>
      <c r="C45" s="150"/>
      <c r="D45" s="150"/>
      <c r="E45" s="150"/>
      <c r="F45" s="155">
        <f>VLOOKUP(A45,ПТО!$A$2:$D$31,4,FALSE)</f>
        <v>11560.9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0"/>
      <c r="L45" s="167"/>
      <c r="M45" s="117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hidden="1" customHeight="1" outlineLevel="1">
      <c r="A46" s="150">
        <f>ПТО!A5</f>
        <v>0</v>
      </c>
      <c r="B46" s="150"/>
      <c r="C46" s="150"/>
      <c r="D46" s="150"/>
      <c r="E46" s="150"/>
      <c r="F46" s="155" t="e">
        <f>VLOOKUP(A46,ПТО!$A$2:$D$31,4,FALSE)</f>
        <v>#N/A</v>
      </c>
      <c r="G46" s="155"/>
      <c r="H46" s="25" t="e">
        <f>VLOOKUP(A46,ПТО!$A$2:$D$31,2,FALSE)</f>
        <v>#N/A</v>
      </c>
      <c r="I46" s="151" t="e">
        <f>VLOOKUP(A46,ПТО!$A$2:$D$31,3,FALSE)</f>
        <v>#N/A</v>
      </c>
      <c r="J46" s="151"/>
      <c r="K46" s="110"/>
      <c r="L46" s="167"/>
      <c r="M46" s="117"/>
      <c r="N46" s="110"/>
      <c r="O46" s="23">
        <f t="shared" si="1"/>
        <v>0</v>
      </c>
      <c r="R46" s="22" t="s">
        <v>72</v>
      </c>
    </row>
    <row r="47" spans="1:18" ht="51" hidden="1" customHeight="1" outlineLevel="1">
      <c r="A47" s="150">
        <f>ПТО!A6</f>
        <v>0</v>
      </c>
      <c r="B47" s="150"/>
      <c r="C47" s="150"/>
      <c r="D47" s="150"/>
      <c r="E47" s="150"/>
      <c r="F47" s="155" t="e">
        <f>VLOOKUP(A47,ПТО!$A$2:$D$31,4,FALSE)</f>
        <v>#N/A</v>
      </c>
      <c r="G47" s="155"/>
      <c r="H47" s="25" t="e">
        <f>VLOOKUP(A47,ПТО!$A$2:$D$31,2,FALSE)</f>
        <v>#N/A</v>
      </c>
      <c r="I47" s="151" t="e">
        <f>VLOOKUP(A47,ПТО!$A$2:$D$31,3,FALSE)</f>
        <v>#N/A</v>
      </c>
      <c r="J47" s="151"/>
      <c r="K47" s="110"/>
      <c r="L47" s="167"/>
      <c r="M47" s="117"/>
      <c r="N47" s="110"/>
      <c r="O47" s="23">
        <f t="shared" si="1"/>
        <v>0</v>
      </c>
      <c r="R47" s="22" t="s">
        <v>72</v>
      </c>
    </row>
    <row r="48" spans="1:18" ht="51" hidden="1" customHeight="1" outlineLevel="1">
      <c r="A48" s="150">
        <f>ПТО!A7</f>
        <v>0</v>
      </c>
      <c r="B48" s="150"/>
      <c r="C48" s="150"/>
      <c r="D48" s="150"/>
      <c r="E48" s="150"/>
      <c r="F48" s="155" t="e">
        <f>VLOOKUP(A48,ПТО!$A$2:$D$31,4,FALSE)</f>
        <v>#N/A</v>
      </c>
      <c r="G48" s="155"/>
      <c r="H48" s="25" t="e">
        <f>VLOOKUP(A48,ПТО!$A$2:$D$31,2,FALSE)</f>
        <v>#N/A</v>
      </c>
      <c r="I48" s="151" t="e">
        <f>VLOOKUP(A48,ПТО!$A$2:$D$31,3,FALSE)</f>
        <v>#N/A</v>
      </c>
      <c r="J48" s="151"/>
      <c r="K48" s="110"/>
      <c r="L48" s="167"/>
      <c r="M48" s="117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50">
        <f>ПТО!A8</f>
        <v>0</v>
      </c>
      <c r="B49" s="150"/>
      <c r="C49" s="150"/>
      <c r="D49" s="150"/>
      <c r="E49" s="150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1" t="e">
        <f>VLOOKUP(A49,ПТО!$A$2:$D$31,3,FALSE)</f>
        <v>#N/A</v>
      </c>
      <c r="J49" s="151"/>
      <c r="K49" s="110"/>
      <c r="L49" s="167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10"/>
      <c r="L50" s="167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0"/>
      <c r="L51" s="167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0"/>
      <c r="L52" s="167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0"/>
      <c r="L53" s="167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0"/>
      <c r="L54" s="167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0"/>
      <c r="L55" s="167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0"/>
      <c r="L56" s="167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0"/>
      <c r="L57" s="167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0"/>
      <c r="L58" s="167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0"/>
      <c r="L59" s="167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0"/>
      <c r="L60" s="167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0"/>
      <c r="L61" s="167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0"/>
      <c r="L62" s="167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0"/>
      <c r="L63" s="167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0"/>
      <c r="L64" s="167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0"/>
      <c r="L65" s="167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0"/>
      <c r="L66" s="167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0"/>
      <c r="L67" s="167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0"/>
      <c r="L68" s="167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0"/>
      <c r="L69" s="167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0"/>
      <c r="L70" s="167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7"/>
      <c r="L71" s="167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0"/>
      <c r="L72" s="167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176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10"/>
      <c r="L75" s="170"/>
      <c r="M75" s="110"/>
      <c r="N75" s="110"/>
      <c r="O75" s="70" t="s">
        <v>101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10"/>
      <c r="L76" s="170"/>
      <c r="M76" s="110"/>
      <c r="N76" s="110"/>
      <c r="O76" s="70" t="s">
        <v>102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10"/>
      <c r="L77" s="170"/>
      <c r="M77" s="110"/>
      <c r="N77" s="110"/>
      <c r="O77" s="70" t="s">
        <v>103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7">
        <f>VLOOKUP(O78,АО,3,FALSE)</f>
        <v>0</v>
      </c>
      <c r="K78" s="110"/>
      <c r="L78" s="170"/>
      <c r="M78" s="110"/>
      <c r="N78" s="110"/>
      <c r="O78" s="70" t="s">
        <v>104</v>
      </c>
    </row>
    <row r="79" spans="1:16384">
      <c r="A79" s="116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7">
        <f t="shared" ref="J81:J90" si="2">VLOOKUP(O81,АО,3,FALSE)</f>
        <v>0</v>
      </c>
      <c r="K81" s="110"/>
      <c r="L81" s="156"/>
      <c r="M81" s="110"/>
      <c r="N81" s="110"/>
      <c r="O81" s="70" t="s">
        <v>105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7">
        <f t="shared" si="2"/>
        <v>0</v>
      </c>
      <c r="K82" s="110"/>
      <c r="L82" s="156"/>
      <c r="M82" s="110"/>
      <c r="N82" s="110"/>
      <c r="O82" s="70" t="s">
        <v>106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7">
        <f t="shared" si="2"/>
        <v>118058.29</v>
      </c>
      <c r="K83" s="110"/>
      <c r="L83" s="156"/>
      <c r="M83" s="110"/>
      <c r="N83" s="110"/>
      <c r="O83" s="70" t="s">
        <v>107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7">
        <f t="shared" si="2"/>
        <v>0</v>
      </c>
      <c r="K84" s="110"/>
      <c r="L84" s="156"/>
      <c r="M84" s="110"/>
      <c r="N84" s="110"/>
      <c r="O84" s="70" t="s">
        <v>108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7">
        <f t="shared" si="2"/>
        <v>0</v>
      </c>
      <c r="K85" s="110"/>
      <c r="L85" s="156"/>
      <c r="M85" s="110"/>
      <c r="N85" s="110"/>
      <c r="O85" s="70" t="s">
        <v>109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7">
        <f t="shared" si="2"/>
        <v>113165.12</v>
      </c>
      <c r="K86" s="110"/>
      <c r="L86" s="156"/>
      <c r="M86" s="110"/>
      <c r="N86" s="110"/>
      <c r="O86" s="70" t="s">
        <v>110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0"/>
      <c r="L87" s="156"/>
      <c r="M87" s="110"/>
      <c r="N87" s="110"/>
      <c r="O87" s="70" t="s">
        <v>111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0"/>
      <c r="L88" s="156"/>
      <c r="M88" s="110"/>
      <c r="N88" s="110"/>
      <c r="O88" s="70" t="s">
        <v>112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0"/>
      <c r="L89" s="156"/>
      <c r="M89" s="110"/>
      <c r="N89" s="110"/>
      <c r="O89" s="70" t="s">
        <v>113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7">
        <f t="shared" si="2"/>
        <v>0</v>
      </c>
      <c r="K90" s="110"/>
      <c r="L90" s="156"/>
      <c r="M90" s="110"/>
      <c r="N90" s="110"/>
      <c r="O90" s="70" t="s">
        <v>114</v>
      </c>
    </row>
    <row r="91" spans="1:15">
      <c r="A91" s="105" t="s">
        <v>176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10"/>
      <c r="L93" s="110"/>
      <c r="M93" s="110"/>
      <c r="N93" s="110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4">
        <f>VLOOKUP("эл",АО,5,FALSE)</f>
        <v>155930.26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129941.88</v>
      </c>
      <c r="L95" s="157"/>
      <c r="O95" s="1" t="s">
        <v>115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150388.48000000001</v>
      </c>
      <c r="L96" s="157"/>
      <c r="O96" s="1" t="s">
        <v>116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5541.7799999999988</v>
      </c>
      <c r="L97" s="157"/>
      <c r="O97" s="1" t="s">
        <v>117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155930.26</v>
      </c>
      <c r="L98" s="157"/>
      <c r="O98" s="1" t="s">
        <v>118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155930.26</v>
      </c>
      <c r="L99" s="157"/>
      <c r="O99" s="1" t="s">
        <v>119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120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121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52239.35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3957.53</v>
      </c>
      <c r="L103" s="157"/>
      <c r="O103" s="1" t="s">
        <v>124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53138.53</v>
      </c>
      <c r="L104" s="157"/>
      <c r="O104" s="1" t="s">
        <v>125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0</v>
      </c>
      <c r="L105" s="157"/>
      <c r="O105" s="1" t="s">
        <v>126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52239.35</v>
      </c>
      <c r="L106" s="157"/>
      <c r="O106" s="1" t="s">
        <v>127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52239.35</v>
      </c>
      <c r="L107" s="157"/>
      <c r="O107" s="1" t="s">
        <v>128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129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130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108642.68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6773.23</v>
      </c>
      <c r="L111" s="157"/>
      <c r="O111" s="1" t="s">
        <v>132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109375.56</v>
      </c>
      <c r="L112" s="157"/>
      <c r="O112" s="1" t="s">
        <v>133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57"/>
      <c r="O113" s="1" t="s">
        <v>134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108642.68</v>
      </c>
      <c r="L114" s="157"/>
      <c r="O114" s="1" t="s">
        <v>135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108642.68</v>
      </c>
      <c r="L115" s="157"/>
      <c r="O115" s="1" t="s">
        <v>136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137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138</v>
      </c>
    </row>
    <row r="118" spans="1:15" ht="32.25" customHeight="1" outlineLevel="1">
      <c r="A118" s="152" t="str">
        <f>IF(VLOOKUP("тко",АО,3,FALSE)&gt;0,"Обращение с ТКО",0)</f>
        <v>Обращение с ТКО</v>
      </c>
      <c r="B118" s="152"/>
      <c r="C118" s="152"/>
      <c r="D118" s="153" t="str">
        <f>IF(VLOOKUP("тко",АО,3,FALSE)&gt;0,VLOOKUP("тко",АО,3,FALSE),0)</f>
        <v>Предоставляется</v>
      </c>
      <c r="E118" s="153"/>
      <c r="F118" s="13" t="str">
        <f>IF(VLOOKUP("тко",АО,3,FALSE)&gt;0,VLOOKUP("тко",АО,4,FALSE),0)</f>
        <v>куб.м.</v>
      </c>
      <c r="G118" s="154">
        <f>VLOOKUP("тко",АО,5,FALSE)</f>
        <v>93060.08</v>
      </c>
      <c r="H118" s="153"/>
      <c r="I118" s="153"/>
      <c r="J118" s="153"/>
      <c r="L118" s="48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1729.19</v>
      </c>
      <c r="L119" s="48"/>
      <c r="O119" s="1" t="s">
        <v>140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101626.16</v>
      </c>
      <c r="L120" s="48"/>
      <c r="O120" s="1" t="s">
        <v>141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8"/>
      <c r="O121" s="1" t="s">
        <v>142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93060.08</v>
      </c>
      <c r="L122" s="48"/>
      <c r="O122" s="1" t="s">
        <v>143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93060.08</v>
      </c>
      <c r="L123" s="48"/>
      <c r="O123" s="1" t="s">
        <v>144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146</v>
      </c>
    </row>
    <row r="126" spans="1:15" ht="32.25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3" t="str">
        <f>IF(VLOOKUP("гвс",АО,3,FALSE)&gt;0,VLOOKUP("гвс",АО,3,FALSE),0)</f>
        <v>Предоставляется</v>
      </c>
      <c r="E126" s="153"/>
      <c r="F126" s="13" t="str">
        <f>IF(VLOOKUP("гвс",АО,3,FALSE)&gt;0,VLOOKUP("гвс",АО,4,FALSE),0)</f>
        <v>куб.м.</v>
      </c>
      <c r="G126" s="154">
        <f>VLOOKUP("гвс",АО,5,FALSE)</f>
        <v>13660.09</v>
      </c>
      <c r="H126" s="153"/>
      <c r="I126" s="153"/>
      <c r="J126" s="153"/>
      <c r="L126" s="48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1034.8599999999999</v>
      </c>
      <c r="L127" s="48"/>
      <c r="O127" s="1" t="s">
        <v>148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13896.9</v>
      </c>
      <c r="L128" s="48"/>
      <c r="O128" s="1" t="s">
        <v>149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8"/>
      <c r="O129" s="1" t="s">
        <v>150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13660.09</v>
      </c>
      <c r="L130" s="48"/>
      <c r="O130" s="1" t="s">
        <v>151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13660.09</v>
      </c>
      <c r="L131" s="48"/>
      <c r="O131" s="1" t="s">
        <v>152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153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172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2</v>
      </c>
      <c r="L145" s="15"/>
      <c r="O145" t="s">
        <v>173</v>
      </c>
    </row>
    <row r="146" spans="1:15" ht="30" customHeight="1" outlineLevel="1">
      <c r="A146" s="148" t="s">
        <v>175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88114.97</v>
      </c>
      <c r="O146" t="s">
        <v>174</v>
      </c>
    </row>
    <row r="149" spans="1:15" ht="52.5" customHeight="1">
      <c r="A149" s="173" t="s">
        <v>184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5" t="s">
        <v>185</v>
      </c>
      <c r="B154" s="175"/>
      <c r="C154" s="175"/>
      <c r="D154" s="175"/>
      <c r="E154" s="27">
        <f>ПТО!G1</f>
        <v>94789.83</v>
      </c>
    </row>
    <row r="155" spans="1:15" ht="34.5" customHeight="1">
      <c r="A155" s="174" t="s">
        <v>189</v>
      </c>
      <c r="B155" s="174"/>
      <c r="C155" s="174"/>
      <c r="D155" s="174"/>
      <c r="E155" s="28">
        <f>J13</f>
        <v>126267.91200000001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Техническое освидетельствование лифта.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8100</v>
      </c>
      <c r="G158" s="155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0" t="str">
        <f t="shared" si="14"/>
        <v>Техническое обслуживание системы видеонаблюдения.</v>
      </c>
      <c r="B159" s="150"/>
      <c r="C159" s="150"/>
      <c r="D159" s="150"/>
      <c r="E159" s="150"/>
      <c r="F159" s="155">
        <f t="shared" si="15"/>
        <v>5240</v>
      </c>
      <c r="G159" s="155"/>
      <c r="H159" s="24" t="str">
        <f t="shared" si="16"/>
        <v>ежемесячно</v>
      </c>
      <c r="I159" s="151">
        <f t="shared" si="17"/>
        <v>12</v>
      </c>
      <c r="J159" s="151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50" t="str">
        <f t="shared" si="14"/>
        <v>Механизированная уборка и вывоз снега с придомовой территории.</v>
      </c>
      <c r="B160" s="150"/>
      <c r="C160" s="150"/>
      <c r="D160" s="150"/>
      <c r="E160" s="150"/>
      <c r="F160" s="155">
        <f t="shared" si="15"/>
        <v>11560.9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hidden="1" customHeight="1">
      <c r="A161" s="150">
        <f>IF(N161&gt;0,N161,0)</f>
        <v>0</v>
      </c>
      <c r="B161" s="150"/>
      <c r="C161" s="150"/>
      <c r="D161" s="150"/>
      <c r="E161" s="150"/>
      <c r="F161" s="155">
        <f t="shared" si="15"/>
        <v>0</v>
      </c>
      <c r="G161" s="155"/>
      <c r="H161" s="24" t="e">
        <f t="shared" si="16"/>
        <v>#N/A</v>
      </c>
      <c r="I161" s="151" t="e">
        <f t="shared" si="17"/>
        <v>#N/A</v>
      </c>
      <c r="J161" s="151"/>
      <c r="M161" s="22" t="s">
        <v>72</v>
      </c>
      <c r="N161" s="1">
        <v>0</v>
      </c>
    </row>
    <row r="162" spans="1:14" ht="28.5" hidden="1" customHeight="1">
      <c r="A162" s="150">
        <f t="shared" si="14"/>
        <v>0</v>
      </c>
      <c r="B162" s="150"/>
      <c r="C162" s="150"/>
      <c r="D162" s="150"/>
      <c r="E162" s="150"/>
      <c r="F162" s="155">
        <f t="shared" si="15"/>
        <v>0</v>
      </c>
      <c r="G162" s="155"/>
      <c r="H162" s="24" t="e">
        <f t="shared" si="16"/>
        <v>#N/A</v>
      </c>
      <c r="I162" s="151" t="e">
        <f>VLOOKUP(A162,$A$28:$J$72,9,FALSE)</f>
        <v>#N/A</v>
      </c>
      <c r="J162" s="151"/>
      <c r="M162" s="22" t="s">
        <v>72</v>
      </c>
      <c r="N162" s="1">
        <v>0</v>
      </c>
    </row>
    <row r="163" spans="1:14" ht="28.5" hidden="1" customHeight="1">
      <c r="A163" s="150">
        <f t="shared" si="14"/>
        <v>0</v>
      </c>
      <c r="B163" s="150"/>
      <c r="C163" s="150"/>
      <c r="D163" s="150"/>
      <c r="E163" s="150"/>
      <c r="F163" s="155">
        <f t="shared" si="15"/>
        <v>0</v>
      </c>
      <c r="G163" s="155"/>
      <c r="H163" s="24" t="e">
        <f t="shared" si="16"/>
        <v>#N/A</v>
      </c>
      <c r="I163" s="151" t="e">
        <f>VLOOKUP(A163,$A$28:$J$72,9,FALSE)</f>
        <v>#N/A</v>
      </c>
      <c r="J163" s="151"/>
      <c r="M163" s="22" t="s">
        <v>72</v>
      </c>
      <c r="N163" s="1">
        <v>0</v>
      </c>
    </row>
    <row r="164" spans="1:14" ht="28.5" hidden="1" customHeight="1">
      <c r="A164" s="150">
        <f t="shared" ref="A164:A187" si="18">IF(N164&gt;0,N164,0)</f>
        <v>0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1" t="e">
        <f t="shared" ref="I164:I187" si="20">VLOOKUP(A164,$A$28:$J$72,9,FALSE)</f>
        <v>#N/A</v>
      </c>
      <c r="J164" s="151"/>
      <c r="M164" s="22" t="s">
        <v>72</v>
      </c>
      <c r="N164" s="1">
        <v>0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5">
        <f t="shared" si="19"/>
        <v>0</v>
      </c>
      <c r="G165" s="155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5">
        <f t="shared" si="19"/>
        <v>0</v>
      </c>
      <c r="G166" s="155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5" t="s">
        <v>176</v>
      </c>
    </row>
    <row r="189" spans="1:14" ht="29.25" customHeight="1">
      <c r="A189" s="105" t="s">
        <v>176</v>
      </c>
    </row>
    <row r="190" spans="1:14" ht="36.75" customHeight="1">
      <c r="A190" s="175" t="s">
        <v>188</v>
      </c>
      <c r="B190" s="175"/>
      <c r="C190" s="175"/>
      <c r="D190" s="175"/>
      <c r="E190" s="27">
        <f>SUM(F158:G187)</f>
        <v>24900.9</v>
      </c>
    </row>
    <row r="191" spans="1:14" ht="51.75" customHeight="1">
      <c r="A191" s="175" t="s">
        <v>187</v>
      </c>
      <c r="B191" s="175"/>
      <c r="C191" s="175"/>
      <c r="D191" s="175"/>
      <c r="E191" s="27">
        <f>E190+E154-E155</f>
        <v>-6577.1820000000007</v>
      </c>
    </row>
    <row r="192" spans="1:14">
      <c r="A192" s="105" t="s">
        <v>176</v>
      </c>
    </row>
    <row r="193" spans="1:10" ht="62.25" customHeight="1">
      <c r="A193" s="149" t="s">
        <v>186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>
      <c r="A194" s="147" t="str">
        <f>ПТО!F12</f>
        <v xml:space="preserve">  -  поверка (замена) манометров и термометров</v>
      </c>
      <c r="B194" s="147"/>
      <c r="C194" s="147"/>
      <c r="D194" s="147"/>
      <c r="E194" s="147"/>
      <c r="F194" s="147"/>
      <c r="G194" s="147"/>
      <c r="H194" s="49">
        <f>ПТО!G12</f>
        <v>1200</v>
      </c>
      <c r="I194" s="50" t="s">
        <v>75</v>
      </c>
    </row>
    <row r="195" spans="1:10" ht="18.75" customHeight="1">
      <c r="A195" s="147" t="str">
        <f>ПТО!F13</f>
        <v xml:space="preserve">  -  техническое освидетельствование лифта</v>
      </c>
      <c r="B195" s="147"/>
      <c r="C195" s="147"/>
      <c r="D195" s="147"/>
      <c r="E195" s="147"/>
      <c r="F195" s="147"/>
      <c r="G195" s="147"/>
      <c r="H195" s="49">
        <f>ПТО!G13</f>
        <v>8100</v>
      </c>
      <c r="I195" s="50" t="s">
        <v>75</v>
      </c>
    </row>
    <row r="196" spans="1:10" ht="18.75" customHeight="1">
      <c r="A196" s="147" t="str">
        <f>ПТО!F14</f>
        <v xml:space="preserve">  -  техническое обслуживание системы видеонаблюдения</v>
      </c>
      <c r="B196" s="147"/>
      <c r="C196" s="147"/>
      <c r="D196" s="147"/>
      <c r="E196" s="147"/>
      <c r="F196" s="147"/>
      <c r="G196" s="147"/>
      <c r="H196" s="49">
        <f>ПТО!G14</f>
        <v>5240</v>
      </c>
      <c r="I196" s="50" t="s">
        <v>75</v>
      </c>
    </row>
    <row r="197" spans="1:10" ht="18.75" customHeight="1">
      <c r="A197" s="147" t="str">
        <f>ПТО!F15</f>
        <v xml:space="preserve">  -  ремонт подъезда</v>
      </c>
      <c r="B197" s="147"/>
      <c r="C197" s="147"/>
      <c r="D197" s="147"/>
      <c r="E197" s="147"/>
      <c r="F197" s="147"/>
      <c r="G197" s="147"/>
      <c r="H197" s="49">
        <f>ПТО!G15</f>
        <v>300000</v>
      </c>
      <c r="I197" s="50" t="s">
        <v>75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49">
        <f>ПТО!G16</f>
        <v>0</v>
      </c>
      <c r="I198" s="52" t="s">
        <v>75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49">
        <f>ПТО!G17</f>
        <v>0</v>
      </c>
      <c r="I199" s="50" t="s">
        <v>75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49">
        <f>ПТО!G18</f>
        <v>0</v>
      </c>
      <c r="I200" s="50" t="s">
        <v>75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49">
        <f>ПТО!G19</f>
        <v>0</v>
      </c>
      <c r="I201" s="50" t="s">
        <v>75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49">
        <f>ПТО!G20</f>
        <v>0</v>
      </c>
      <c r="I202" s="50" t="s">
        <v>75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49">
        <f>ПТО!G21</f>
        <v>0</v>
      </c>
      <c r="I203" s="50" t="s">
        <v>75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49">
        <f>ПТО!G22</f>
        <v>0</v>
      </c>
      <c r="I204" s="50" t="s">
        <v>75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49">
        <f>ПТО!G23</f>
        <v>0</v>
      </c>
      <c r="I205" s="50" t="s">
        <v>75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49">
        <f>ПТО!G24</f>
        <v>0</v>
      </c>
      <c r="I206" s="50" t="s">
        <v>75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49">
        <f>ПТО!G25</f>
        <v>0</v>
      </c>
      <c r="I207" s="50" t="s">
        <v>75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49">
        <f>ПТО!G26</f>
        <v>0</v>
      </c>
      <c r="I208" s="50" t="s">
        <v>75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49">
        <f>ПТО!G27</f>
        <v>0</v>
      </c>
      <c r="I209" s="50" t="s">
        <v>75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49">
        <f>ПТО!G28</f>
        <v>0</v>
      </c>
      <c r="I210" s="50" t="s">
        <v>75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49">
        <f>ПТО!G29</f>
        <v>0</v>
      </c>
      <c r="I211" s="50" t="s">
        <v>75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49">
        <f>ПТО!G30</f>
        <v>0</v>
      </c>
      <c r="I212" s="50" t="s">
        <v>75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314540</v>
      </c>
      <c r="I214" s="56" t="s">
        <v>79</v>
      </c>
    </row>
  </sheetData>
  <sheetProtection algorithmName="SHA-512" hashValue="WeSSuH8ysdysN5wz//Rk/W5QgLmu9HeSISCRrtnkV+x5XYUZOpc7pfZmxwvfVMAhx2pVpl0yFLNb7ufrodmxlw==" saltValue="dPAfDRjgsapa3CQzlAZT9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185</v>
      </c>
      <c r="G1" s="102">
        <f>94789.83</f>
        <v>94789.83</v>
      </c>
    </row>
    <row r="2" spans="1:12" ht="18.75" customHeight="1">
      <c r="A2" s="131" t="s">
        <v>73</v>
      </c>
      <c r="B2" s="132" t="s">
        <v>181</v>
      </c>
      <c r="C2" s="132">
        <v>1</v>
      </c>
      <c r="D2" s="133">
        <v>8100</v>
      </c>
      <c r="E2" s="134"/>
      <c r="F2" s="32"/>
      <c r="G2" s="32"/>
      <c r="L2" s="33" t="str">
        <f t="shared" ref="L2:L22" si="0">IF(A2&gt;0,"ТР",0)</f>
        <v>ТР</v>
      </c>
    </row>
    <row r="3" spans="1:12" ht="18.75" customHeight="1">
      <c r="A3" s="136" t="s">
        <v>180</v>
      </c>
      <c r="B3" s="137" t="s">
        <v>182</v>
      </c>
      <c r="C3" s="138">
        <v>12</v>
      </c>
      <c r="D3" s="139">
        <f>2620*12/6</f>
        <v>5240</v>
      </c>
      <c r="E3" s="140" t="s">
        <v>193</v>
      </c>
      <c r="F3" s="30"/>
      <c r="G3" s="30"/>
      <c r="L3" s="33" t="str">
        <f t="shared" si="0"/>
        <v>ТР</v>
      </c>
    </row>
    <row r="4" spans="1:12" ht="18.75" customHeight="1">
      <c r="A4" s="128" t="s">
        <v>190</v>
      </c>
      <c r="B4" s="135" t="s">
        <v>191</v>
      </c>
      <c r="C4" s="129">
        <v>1</v>
      </c>
      <c r="D4" s="130">
        <v>11560.9</v>
      </c>
      <c r="E4" s="128" t="s">
        <v>192</v>
      </c>
      <c r="F4" s="30"/>
      <c r="G4" s="30"/>
      <c r="L4" s="33" t="str">
        <f t="shared" si="0"/>
        <v>ТР</v>
      </c>
    </row>
    <row r="5" spans="1:12" ht="18.75" customHeight="1">
      <c r="A5" s="45"/>
      <c r="B5" s="146"/>
      <c r="C5" s="146"/>
      <c r="D5" s="47"/>
      <c r="E5" s="45"/>
      <c r="F5" s="45"/>
      <c r="G5" s="45"/>
      <c r="K5" s="47"/>
      <c r="L5" s="33">
        <f t="shared" si="0"/>
        <v>0</v>
      </c>
    </row>
    <row r="6" spans="1:12" ht="18.75" customHeight="1">
      <c r="A6" s="119"/>
      <c r="B6" s="120"/>
      <c r="C6" s="121"/>
      <c r="D6" s="122"/>
      <c r="E6" s="123"/>
      <c r="F6" s="45"/>
      <c r="G6" s="45"/>
      <c r="K6" s="47"/>
      <c r="L6" s="33">
        <f t="shared" si="0"/>
        <v>0</v>
      </c>
    </row>
    <row r="7" spans="1:12" ht="18.75" customHeight="1">
      <c r="A7" s="125"/>
      <c r="B7" s="126"/>
      <c r="C7" s="43"/>
      <c r="D7" s="44"/>
      <c r="E7" s="127"/>
      <c r="F7" s="46"/>
      <c r="G7" s="46"/>
      <c r="K7" s="47"/>
      <c r="L7" s="33">
        <f t="shared" si="0"/>
        <v>0</v>
      </c>
    </row>
    <row r="8" spans="1:12" ht="18.75" customHeight="1">
      <c r="A8" s="45"/>
      <c r="B8" s="124"/>
      <c r="C8" s="43"/>
      <c r="D8" s="44"/>
      <c r="E8" s="45"/>
      <c r="F8" s="46"/>
      <c r="G8" s="46"/>
      <c r="K8" s="44"/>
      <c r="L8" s="33">
        <f t="shared" si="0"/>
        <v>0</v>
      </c>
    </row>
    <row r="9" spans="1:12">
      <c r="A9" s="45"/>
      <c r="B9" s="124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8"/>
      <c r="D10" s="47"/>
      <c r="L10" s="33">
        <f t="shared" si="0"/>
        <v>0</v>
      </c>
    </row>
    <row r="11" spans="1:12" ht="94.5">
      <c r="A11" s="30"/>
      <c r="F11" s="112" t="s">
        <v>186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31.5">
      <c r="A14" s="30"/>
      <c r="F14" s="113" t="s">
        <v>77</v>
      </c>
      <c r="G14" s="115">
        <v>5240</v>
      </c>
      <c r="L14" s="33">
        <f t="shared" si="0"/>
        <v>0</v>
      </c>
    </row>
    <row r="15" spans="1:12" ht="15.75">
      <c r="A15" s="30"/>
      <c r="F15" s="113" t="s">
        <v>195</v>
      </c>
      <c r="G15" s="114">
        <v>300000</v>
      </c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99994.92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99994.92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67815.72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67815.72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45210.48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45210.48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31913.279999999999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31913.279999999999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9308.0400000000009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9308.0400000000009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46806.12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46806.12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178</v>
      </c>
      <c r="B46" s="38">
        <v>106111.67999999999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106111.67999999999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194</v>
      </c>
      <c r="B47" s="141">
        <f>(E47*3.48*1.23*6+E47*3.48*1.17*6)+(F47*0.03*13.45*6+F47*0.03*12.94*6)+(F47*0.06*16.35*6+F47*0.06*15.73*6)+(F47*0.03*107.48*6+F47*0.03*104.91*6)</f>
        <v>44278.594920000003</v>
      </c>
      <c r="C47" s="142" t="s">
        <v>68</v>
      </c>
      <c r="D47" s="143">
        <v>12</v>
      </c>
      <c r="E47" s="141">
        <v>468.9</v>
      </c>
      <c r="F47" s="141">
        <v>381.1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44278.594920000003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44">
        <v>2425.6999999999998</v>
      </c>
      <c r="G53" s="145">
        <v>3.48</v>
      </c>
      <c r="H53" s="31">
        <f>G53*E47/F53</f>
        <v>0.67270148823020159</v>
      </c>
      <c r="I53" s="144">
        <f>G53*E47</f>
        <v>1631.7719999999999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F54" s="31">
        <v>39.1</v>
      </c>
      <c r="H54" s="31">
        <f>H53*35.2</f>
        <v>23.679092385703097</v>
      </c>
      <c r="I54" s="31">
        <f>I53/F53</f>
        <v>0.67270148823020159</v>
      </c>
    </row>
    <row r="55" spans="5:16">
      <c r="I55" s="31">
        <f>I54*F54</f>
        <v>26.302628189800885</v>
      </c>
    </row>
    <row r="59" spans="5:16">
      <c r="E59" s="31">
        <v>0.19600000000000001</v>
      </c>
      <c r="F59" s="144">
        <f>F53</f>
        <v>2425.6999999999998</v>
      </c>
      <c r="G59" s="145">
        <v>3.2000000000000001E-2</v>
      </c>
      <c r="H59" s="31">
        <f>G59*F47</f>
        <v>12.195200000000002</v>
      </c>
      <c r="I59" s="31">
        <f>G59*F47</f>
        <v>12.195200000000002</v>
      </c>
    </row>
    <row r="60" spans="5:16">
      <c r="H60" s="31">
        <f>H59/F59</f>
        <v>5.0274972172981002E-3</v>
      </c>
      <c r="I60" s="31">
        <f>I59/F59</f>
        <v>5.0274972172981002E-3</v>
      </c>
    </row>
    <row r="61" spans="5:16">
      <c r="H61" s="31">
        <f>H60*35.2</f>
        <v>0.17696790204889315</v>
      </c>
      <c r="I61" s="31">
        <f>I60*F54</f>
        <v>0.19657514119635572</v>
      </c>
    </row>
    <row r="63" spans="5:16">
      <c r="E63" s="31">
        <v>0.19600000000000001</v>
      </c>
      <c r="F63" s="144">
        <f>F53</f>
        <v>2425.6999999999998</v>
      </c>
      <c r="G63" s="145">
        <v>3.2000000000000001E-2</v>
      </c>
      <c r="H63" s="31">
        <f>G63*F47</f>
        <v>12.195200000000002</v>
      </c>
      <c r="I63" s="31">
        <f>G59*F47</f>
        <v>12.195200000000002</v>
      </c>
    </row>
    <row r="64" spans="5:16">
      <c r="H64" s="31">
        <f>H63/F63</f>
        <v>5.0274972172981002E-3</v>
      </c>
      <c r="I64" s="31">
        <f>I63/F63</f>
        <v>5.0274972172981002E-3</v>
      </c>
    </row>
    <row r="65" spans="4:13" ht="18.75" customHeight="1">
      <c r="D65" s="100"/>
      <c r="H65" s="31">
        <f>H64*35.2</f>
        <v>0.17696790204889315</v>
      </c>
      <c r="I65" s="31">
        <f>I64*F54</f>
        <v>0.19657514119635572</v>
      </c>
      <c r="J65" s="100"/>
      <c r="K65" s="100"/>
      <c r="L65" s="100"/>
      <c r="M65" s="100"/>
    </row>
    <row r="66" spans="4:13" ht="18.75" customHeight="1">
      <c r="D66" s="103"/>
      <c r="E66" s="31">
        <v>0.39100000000000001</v>
      </c>
      <c r="F66" s="144">
        <f>F53</f>
        <v>2425.6999999999998</v>
      </c>
      <c r="G66" s="145">
        <v>6.4000000000000001E-2</v>
      </c>
      <c r="H66" s="31">
        <f>G66*F47</f>
        <v>24.390400000000003</v>
      </c>
      <c r="I66" s="31">
        <f>G66*F47</f>
        <v>24.390400000000003</v>
      </c>
      <c r="J66" s="103"/>
      <c r="M66" s="1"/>
    </row>
    <row r="67" spans="4:13" ht="18.75" customHeight="1">
      <c r="D67" s="103"/>
      <c r="H67" s="31">
        <f>H66/F66</f>
        <v>1.00549944345962E-2</v>
      </c>
      <c r="I67" s="31">
        <f>I66/F66</f>
        <v>1.00549944345962E-2</v>
      </c>
      <c r="J67" s="103"/>
      <c r="M67" s="1"/>
    </row>
    <row r="68" spans="4:13" ht="18.75" customHeight="1">
      <c r="D68" s="103"/>
      <c r="H68" s="31">
        <f>H67*35.2</f>
        <v>0.3539358040977863</v>
      </c>
      <c r="I68" s="31">
        <f>I67*F54</f>
        <v>0.39315028239271144</v>
      </c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2219.9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175071.35999999999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532268.12199999997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406000.21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F1*4.74*12</f>
        <v>126267.91200000001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549266.51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549266.51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549266.51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158072.97199999995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8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8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8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8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7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7"/>
      <c r="N26" s="63"/>
    </row>
    <row r="27" spans="1:15" ht="18.75" customHeight="1">
      <c r="A27" s="70" t="s">
        <v>107</v>
      </c>
      <c r="B27" s="75" t="s">
        <v>4</v>
      </c>
      <c r="C27" s="86">
        <v>118058.29</v>
      </c>
      <c r="D27" s="81" t="s">
        <v>60</v>
      </c>
      <c r="E27" s="64"/>
      <c r="F27" s="64"/>
      <c r="G27" s="64"/>
      <c r="H27" s="64"/>
      <c r="I27" s="64"/>
      <c r="J27" s="64"/>
      <c r="M27" s="177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7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7"/>
      <c r="N29" s="63"/>
    </row>
    <row r="30" spans="1:15" ht="18.75" customHeight="1">
      <c r="A30" s="70" t="s">
        <v>110</v>
      </c>
      <c r="B30" s="75" t="s">
        <v>18</v>
      </c>
      <c r="C30" s="86">
        <v>113165.12</v>
      </c>
      <c r="D30" s="81" t="s">
        <v>66</v>
      </c>
      <c r="E30" s="64"/>
      <c r="F30" s="64"/>
      <c r="G30" s="64"/>
      <c r="H30" s="64"/>
      <c r="I30" s="64"/>
      <c r="J30" s="64"/>
      <c r="M30" s="177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7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7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7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7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155930.26</v>
      </c>
      <c r="F37" s="94" t="s">
        <v>169</v>
      </c>
      <c r="G37" s="66"/>
      <c r="H37" s="66"/>
      <c r="I37" s="66"/>
      <c r="L37" s="63"/>
      <c r="M37" s="176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129941.88</v>
      </c>
      <c r="D38" s="94" t="s">
        <v>167</v>
      </c>
      <c r="E38" s="68"/>
      <c r="G38" s="67"/>
      <c r="H38" s="67"/>
      <c r="L38" s="63"/>
      <c r="M38" s="176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150388.48000000001</v>
      </c>
      <c r="D39" s="94" t="s">
        <v>168</v>
      </c>
      <c r="E39" s="68"/>
      <c r="G39" s="67"/>
      <c r="H39" s="67"/>
      <c r="L39" s="63"/>
      <c r="M39" s="176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5541.7799999999988</v>
      </c>
      <c r="D40" s="80" t="s">
        <v>59</v>
      </c>
      <c r="E40" s="68"/>
      <c r="G40" s="67"/>
      <c r="H40" s="67"/>
      <c r="L40" s="63"/>
      <c r="M40" s="176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155930.26</v>
      </c>
      <c r="D41" s="80" t="s">
        <v>59</v>
      </c>
      <c r="E41" s="68"/>
      <c r="G41" s="67"/>
      <c r="H41" s="67"/>
      <c r="L41" s="63"/>
      <c r="M41" s="176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155930.26</v>
      </c>
      <c r="D42" s="80" t="s">
        <v>59</v>
      </c>
      <c r="E42" s="68"/>
      <c r="G42" s="67"/>
      <c r="H42" s="67"/>
      <c r="L42" s="63"/>
      <c r="M42" s="176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6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6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52239.35</v>
      </c>
      <c r="F45" s="94" t="s">
        <v>169</v>
      </c>
      <c r="G45" s="66"/>
      <c r="H45" s="66"/>
      <c r="L45" s="63"/>
      <c r="M45" s="176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3957.53</v>
      </c>
      <c r="D46" s="94" t="s">
        <v>170</v>
      </c>
      <c r="E46" s="68"/>
      <c r="G46" s="67"/>
      <c r="H46" s="67"/>
      <c r="L46" s="63"/>
      <c r="M46" s="176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53138.53</v>
      </c>
      <c r="D47" s="94" t="s">
        <v>168</v>
      </c>
      <c r="E47" s="68"/>
      <c r="G47" s="67"/>
      <c r="H47" s="67"/>
      <c r="L47" s="63"/>
      <c r="M47" s="176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6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52239.35</v>
      </c>
      <c r="D49" s="80" t="s">
        <v>59</v>
      </c>
      <c r="E49" s="68"/>
      <c r="G49" s="67"/>
      <c r="H49" s="67"/>
      <c r="L49" s="63"/>
      <c r="M49" s="176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52239.35</v>
      </c>
      <c r="D50" s="80" t="s">
        <v>59</v>
      </c>
      <c r="E50" s="68"/>
      <c r="G50" s="67"/>
      <c r="H50" s="67"/>
      <c r="L50" s="63"/>
      <c r="M50" s="176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6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6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108642.68</v>
      </c>
      <c r="F53" s="94" t="s">
        <v>169</v>
      </c>
      <c r="G53" s="66"/>
      <c r="H53" s="66"/>
      <c r="L53" s="63"/>
      <c r="M53" s="176"/>
      <c r="N53" s="63"/>
      <c r="O53" s="63"/>
    </row>
    <row r="54" spans="1:15" ht="18.75" customHeight="1">
      <c r="A54" s="73" t="s">
        <v>132</v>
      </c>
      <c r="B54" s="75" t="s">
        <v>37</v>
      </c>
      <c r="C54" s="99">
        <v>6773.23</v>
      </c>
      <c r="D54" s="94" t="s">
        <v>170</v>
      </c>
      <c r="E54" s="69"/>
      <c r="F54" s="89"/>
      <c r="G54" s="64"/>
      <c r="H54" s="64"/>
      <c r="L54" s="63"/>
      <c r="M54" s="176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109375.56</v>
      </c>
      <c r="D55" s="94" t="s">
        <v>168</v>
      </c>
      <c r="E55" s="69"/>
      <c r="G55" s="64"/>
      <c r="H55" s="64"/>
      <c r="L55" s="63"/>
      <c r="M55" s="176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6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108642.68</v>
      </c>
      <c r="D57" s="80" t="s">
        <v>59</v>
      </c>
      <c r="E57" s="69"/>
      <c r="G57" s="64"/>
      <c r="H57" s="64"/>
      <c r="L57" s="63"/>
      <c r="M57" s="176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108642.68</v>
      </c>
      <c r="D58" s="80" t="s">
        <v>59</v>
      </c>
      <c r="E58" s="69"/>
      <c r="G58" s="64"/>
      <c r="H58" s="64"/>
      <c r="L58" s="63"/>
      <c r="M58" s="176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6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6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93060.08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9">
        <v>1729.19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101626.16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93060.08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93060.08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 t="str">
        <f>IF(E69&gt;0,"Предоставляется",0)</f>
        <v>Предоставляется</v>
      </c>
      <c r="D69" s="96" t="s">
        <v>55</v>
      </c>
      <c r="E69" s="95">
        <v>13660.09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9">
        <v>1034.8599999999999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13896.9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13660.09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13660.09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9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7" sqref="D1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6">
        <v>2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7">
        <v>88114.97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2022-03-28T05:19:38Z</dcterms:modified>
</cp:coreProperties>
</file>