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G14" l="1"/>
  <c r="D3" l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/>
  <c r="J120"/>
  <c r="J119"/>
  <c r="A119"/>
  <c r="G118"/>
  <c r="J117"/>
  <c r="J112"/>
  <c r="J111"/>
  <c r="A114"/>
  <c r="G110"/>
  <c r="J109"/>
  <c r="J104"/>
  <c r="J103"/>
  <c r="A109"/>
  <c r="A105"/>
  <c r="G102"/>
  <c r="F102"/>
  <c r="J101"/>
  <c r="J96"/>
  <c r="J95"/>
  <c r="A101"/>
  <c r="A97"/>
  <c r="G94"/>
  <c r="F94"/>
  <c r="K94"/>
  <c r="A122" l="1"/>
  <c r="A118"/>
  <c r="A123"/>
  <c r="A141"/>
  <c r="F134"/>
  <c r="A137"/>
  <c r="D118"/>
  <c r="A120"/>
  <c r="A124"/>
  <c r="F118"/>
  <c r="A121"/>
  <c r="A110"/>
  <c r="A111"/>
  <c r="A115"/>
  <c r="D110"/>
  <c r="A112"/>
  <c r="A116"/>
  <c r="F110"/>
  <c r="A113"/>
  <c r="A94"/>
  <c r="A95"/>
  <c r="A99"/>
  <c r="A98"/>
  <c r="D94"/>
  <c r="A96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N184"/>
  <c r="A184" s="1"/>
  <c r="I184" s="1"/>
  <c r="N181"/>
  <c r="A181" s="1"/>
  <c r="I181" s="1"/>
  <c r="N179"/>
  <c r="A179" s="1"/>
  <c r="I179" s="1"/>
  <c r="N178"/>
  <c r="A178" s="1"/>
  <c r="I178" s="1"/>
  <c r="N180"/>
  <c r="A180" s="1"/>
  <c r="I180" s="1"/>
  <c r="N177"/>
  <c r="A177" s="1"/>
  <c r="I177" s="1"/>
  <c r="N175"/>
  <c r="A175" s="1"/>
  <c r="I175" s="1"/>
  <c r="N174"/>
  <c r="A174" s="1"/>
  <c r="I174" s="1"/>
  <c r="N160"/>
  <c r="N187"/>
  <c r="A187" s="1"/>
  <c r="I187" s="1"/>
  <c r="N186"/>
  <c r="A186" s="1"/>
  <c r="I186" s="1"/>
  <c r="N172"/>
  <c r="A172" s="1"/>
  <c r="I172" s="1"/>
  <c r="N169"/>
  <c r="A169" s="1"/>
  <c r="I169" s="1"/>
  <c r="N167"/>
  <c r="A167" s="1"/>
  <c r="I167" s="1"/>
  <c r="N166"/>
  <c r="A166" s="1"/>
  <c r="I166" s="1"/>
  <c r="O28"/>
  <c r="N182" l="1"/>
  <c r="A182" s="1"/>
  <c r="I182" s="1"/>
  <c r="N183"/>
  <c r="A183" s="1"/>
  <c r="I183" s="1"/>
  <c r="N185"/>
  <c r="A185" s="1"/>
  <c r="I185" s="1"/>
  <c r="N170"/>
  <c r="A170" s="1"/>
  <c r="I170" s="1"/>
  <c r="N171"/>
  <c r="A171" s="1"/>
  <c r="I171" s="1"/>
  <c r="N173"/>
  <c r="A173" s="1"/>
  <c r="I173" s="1"/>
  <c r="N176"/>
  <c r="A176" s="1"/>
  <c r="I176" s="1"/>
  <c r="N159"/>
  <c r="N161"/>
  <c r="A161" s="1"/>
  <c r="N164"/>
  <c r="A164" s="1"/>
  <c r="I164" s="1"/>
  <c r="N162"/>
  <c r="A162" s="1"/>
  <c r="N163"/>
  <c r="N165"/>
  <c r="A165" s="1"/>
  <c r="I165" s="1"/>
  <c r="N168"/>
  <c r="A168" s="1"/>
  <c r="I168" s="1"/>
  <c r="F166"/>
  <c r="F186"/>
  <c r="H173"/>
  <c r="H186"/>
  <c r="H181"/>
  <c r="F184"/>
  <c r="H184"/>
  <c r="H183"/>
  <c r="H176"/>
  <c r="H166"/>
  <c r="F183"/>
  <c r="H185"/>
  <c r="F181"/>
  <c r="F180"/>
  <c r="H175"/>
  <c r="F173"/>
  <c r="H170"/>
  <c r="F168"/>
  <c r="F174"/>
  <c r="H171"/>
  <c r="F164"/>
  <c r="H168"/>
  <c r="F171"/>
  <c r="H164"/>
  <c r="F167"/>
  <c r="F169"/>
  <c r="F170"/>
  <c r="H178"/>
  <c r="H180"/>
  <c r="H169"/>
  <c r="F172"/>
  <c r="F178"/>
  <c r="H179"/>
  <c r="F175"/>
  <c r="F179"/>
  <c r="F177"/>
  <c r="F182"/>
  <c r="F187"/>
  <c r="H167"/>
  <c r="H187"/>
  <c r="H177"/>
  <c r="H172"/>
  <c r="H174"/>
  <c r="A159"/>
  <c r="A160"/>
  <c r="A163"/>
  <c r="A158"/>
  <c r="E155"/>
  <c r="F185" l="1"/>
  <c r="H182"/>
  <c r="H165"/>
  <c r="F165"/>
  <c r="F176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<sst xmlns="http://schemas.openxmlformats.org/spreadsheetml/2006/main" count="557" uniqueCount="205">
  <si>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</si>
  <si>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</si>
  <si>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</si>
  <si>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</si>
  <si>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</si>
  <si>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</si>
  <si>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</si>
  <si>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</si>
  <si>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</si>
  <si>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</si>
  <si>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</si>
  <si>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</si>
  <si>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</si>
  <si>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</si>
  <si>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</si>
  <si>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</si>
  <si>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</si>
  <si>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</si>
  <si>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</si>
  <si>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</si>
  <si>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</si>
  <si>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</si>
  <si>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</si>
  <si>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</si>
  <si>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</si>
  <si>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</si>
  <si>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</si>
  <si>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</si>
  <si>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</si>
  <si>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</si>
  <si>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</si>
  <si>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</si>
  <si>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</si>
  <si>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</si>
  <si>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</si>
  <si>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</si>
  <si>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</si>
  <si>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</si>
  <si>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</si>
  <si>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</si>
  <si>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</si>
  <si>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</si>
  <si>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</si>
  <si>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</si>
  <si>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</si>
  <si>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</si>
  <si>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</si>
  <si>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</si>
  <si>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</si>
  <si>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</si>
  <si>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</si>
  <si>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</si>
  <si>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</si>
  <si>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</si>
  <si>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</si>
  <si>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</si>
  <si>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</si>
  <si>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</si>
  <si>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</si>
  <si>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</si>
  <si>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</si>
  <si>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</si>
  <si>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</si>
  <si>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</si>
  <si>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</si>
  <si>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</si>
  <si>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</si>
  <si>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</si>
  <si>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</si>
  <si>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</si>
  <si>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</si>
  <si>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</si>
  <si>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</si>
  <si>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</si>
  <si>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</si>
  <si>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</si>
  <si>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</si>
  <si>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</si>
  <si>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</si>
  <si>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</si>
  <si>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</si>
  <si>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</si>
  <si>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</si>
  <si>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</si>
  <si>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</si>
  <si>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</si>
  <si>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</si>
  <si>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</si>
  <si>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</si>
  <si>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</si>
  <si>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</si>
  <si>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</si>
  <si>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</si>
  <si>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</si>
  <si>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</si>
  <si>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</si>
  <si>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</si>
  <si>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</si>
  <si>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</si>
  <si>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</si>
  <si>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</si>
  <si>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</si>
  <si>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</si>
  <si>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</si>
  <si>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</si>
  <si>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</si>
  <si>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</si>
  <si>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</si>
  <si>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</si>
  <si>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</si>
  <si>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</si>
  <si>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</si>
  <si>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</si>
  <si>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</si>
  <si>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</si>
  <si>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</si>
  <si>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</si>
  <si>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</si>
  <si>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</si>
  <si>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</si>
  <si>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</si>
  <si>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</si>
  <si>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</si>
  <si>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</si>
  <si>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</si>
  <si>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</si>
  <si>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</si>
  <si>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</si>
  <si>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</si>
  <si>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</si>
  <si>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</si>
  <si>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</si>
  <si>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</si>
  <si>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</si>
  <si>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</si>
  <si>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</si>
  <si>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</si>
  <si>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</si>
  <si>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</si>
  <si>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</si>
  <si>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</si>
  <si>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</si>
  <si>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</si>
  <si>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</si>
  <si>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</si>
  <si>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</si>
  <si>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</si>
  <si>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</si>
  <si>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</si>
  <si>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</si>
  <si>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</si>
  <si>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</si>
  <si>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</si>
  <si>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</si>
  <si>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</si>
  <si>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</si>
  <si>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</si>
  <si>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</si>
  <si>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</si>
  <si>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</si>
  <si>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</si>
  <si>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</si>
  <si>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</si>
  <si>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</si>
  <si>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</si>
  <si>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</si>
  <si>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</si>
  <si>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</si>
  <si>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</si>
  <si>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</si>
  <si>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</si>
  <si>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</si>
  <si>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</si>
  <si>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</si>
  <si>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</si>
  <si>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</si>
  <si>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</si>
  <si>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</si>
  <si>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</si>
  <si>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 xml:space="preserve">Техническое освидетельствование лифта. </t>
  </si>
  <si>
    <t>Техническое обслуживание охранной сигнализации.</t>
  </si>
  <si>
    <t>ежемесячно</t>
  </si>
  <si>
    <t>ежегодно</t>
  </si>
  <si>
    <t>площадь дома</t>
  </si>
  <si>
    <t xml:space="preserve">  -  ремонт подъезда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</si>
  <si>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</si>
  <si>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</si>
  <si>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</si>
  <si>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</si>
  <si>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</si>
  <si>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</si>
  <si>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разово</t>
  </si>
  <si>
    <t>АВР 1/21 от 17.03.2021</t>
  </si>
  <si>
    <t>Ремонт прибора учета тепловой энергии.</t>
  </si>
  <si>
    <t>счет №104 от 28.04.2021</t>
  </si>
  <si>
    <t>АВР 2/21 от 12.07.2021, счет №77 от 10.03.2021 (на Герасимова)</t>
  </si>
  <si>
    <t>Благоустройство придомовой территории (приобретение рассады и садового инвентаря).</t>
  </si>
  <si>
    <t>АВР 3/21 от 05.07.2021</t>
  </si>
  <si>
    <t>Ремонт прибора учета тепловой энергии (проливка и настройка).</t>
  </si>
  <si>
    <t>АВР 4/21 от 16.11.2021, Решение, счет №450 от 16.11.2021</t>
  </si>
  <si>
    <t>Приобретение и замена АКБ охранной сигнализации.</t>
  </si>
  <si>
    <t>Приобретение и установка ОДПУ ХВС.</t>
  </si>
  <si>
    <t>АВР 5/21 от 03.09.2021, Решение, счет №6433 от 03.09.2021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</si>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</sst>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1" fillId="0" borderId="0"/>
  </cellStyleXfs>
  <cellXfs count="19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1" fontId="6" fillId="0" borderId="0" xfId="10" applyNumberFormat="1" applyFill="1" applyBorder="1" applyAlignment="1">
      <alignment horizontal="center"/>
    </xf>
    <xf numFmtId="4" fontId="6" fillId="0" borderId="0" xfId="10" applyNumberFormat="1" applyFill="1" applyBorder="1" applyAlignment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9" fontId="17" fillId="0" borderId="0" xfId="0" applyNumberFormat="1" applyFont="1" applyAlignment="1">
      <alignment wrapText="1"/>
    </xf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0" fontId="24" fillId="0" borderId="6" xfId="11" applyFont="1" applyFill="1" applyBorder="1" applyAlignment="1"/>
    <xf numFmtId="0" fontId="3" fillId="0" borderId="0" xfId="12" applyFont="1" applyFill="1" applyBorder="1" applyAlignment="1">
      <alignment horizontal="center"/>
    </xf>
    <xf numFmtId="0" fontId="3" fillId="0" borderId="0" xfId="12" applyFill="1" applyBorder="1" applyAlignment="1">
      <alignment horizontal="center"/>
    </xf>
    <xf numFmtId="4" fontId="3" fillId="0" borderId="0" xfId="12" applyNumberFormat="1" applyFill="1" applyBorder="1" applyAlignment="1"/>
    <xf numFmtId="0" fontId="2" fillId="0" borderId="0" xfId="12" applyFont="1" applyFill="1" applyBorder="1"/>
    <xf numFmtId="4" fontId="26" fillId="3" borderId="0" xfId="13" applyNumberFormat="1" applyFont="1" applyFill="1" applyBorder="1" applyAlignment="1">
      <alignment horizontal="left" vertical="center" wrapText="1"/>
    </xf>
    <xf numFmtId="4" fontId="0" fillId="0" borderId="0" xfId="0" applyNumberFormat="1" applyBorder="1" applyAlignment="1">
      <alignment horizontal="center"/>
    </xf>
    <xf numFmtId="0" fontId="10" fillId="6" borderId="0" xfId="5" applyFill="1" applyBorder="1" applyAlignment="1"/>
    <xf numFmtId="0" fontId="10" fillId="6" borderId="0" xfId="5" applyFill="1" applyBorder="1" applyAlignment="1">
      <alignment horizontal="center"/>
    </xf>
    <xf numFmtId="4" fontId="24" fillId="6" borderId="0" xfId="5" applyNumberFormat="1" applyFont="1" applyFill="1" applyBorder="1" applyAlignment="1"/>
    <xf numFmtId="0" fontId="0" fillId="6" borderId="0" xfId="0" applyFill="1" applyBorder="1"/>
    <xf numFmtId="0" fontId="4" fillId="6" borderId="0" xfId="5" applyFont="1" applyFill="1" applyBorder="1" applyAlignment="1"/>
    <xf numFmtId="0" fontId="10" fillId="6" borderId="0" xfId="5" applyNumberFormat="1" applyFill="1" applyBorder="1" applyAlignment="1">
      <alignment horizontal="center"/>
    </xf>
    <xf numFmtId="4" fontId="10" fillId="6" borderId="0" xfId="5" applyNumberFormat="1" applyFill="1" applyBorder="1" applyAlignment="1">
      <alignment vertic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6"/>
    <cellStyle name="Обычный 2 5" xfId="13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  <cellStyle name="Обычный 6" xfId="12"/>
    <cellStyle name="Обычный 7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6" t="s">
        <v>177</v>
      </c>
      <c r="B2" s="176"/>
      <c r="C2" s="176"/>
      <c r="D2" s="176"/>
      <c r="E2" s="176"/>
      <c r="F2" s="176"/>
      <c r="G2" s="176"/>
      <c r="H2" s="176"/>
      <c r="I2" s="176"/>
      <c r="J2" s="17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0"/>
      <c r="L8" s="177"/>
      <c r="M8" s="110"/>
      <c r="N8" s="110"/>
      <c r="O8" s="71" t="s">
        <v>82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0"/>
      <c r="L9" s="177"/>
      <c r="M9" s="110"/>
      <c r="N9" s="110"/>
      <c r="O9" s="71" t="s">
        <v>83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195596.08</v>
      </c>
      <c r="K10" s="110"/>
      <c r="L10" s="177"/>
      <c r="M10" s="110"/>
      <c r="N10" s="110"/>
      <c r="O10" s="71" t="s">
        <v>84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455365.00400000002</v>
      </c>
      <c r="K11" s="110"/>
      <c r="L11" s="177"/>
      <c r="M11" s="110"/>
      <c r="N11" s="110"/>
      <c r="O11" s="71" t="s">
        <v>85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348242.9</v>
      </c>
      <c r="K12" s="110"/>
      <c r="L12" s="177"/>
      <c r="M12" s="110"/>
      <c r="N12" s="110"/>
      <c r="O12" s="71" t="s">
        <v>86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107122.10400000001</v>
      </c>
      <c r="K13" s="110"/>
      <c r="L13" s="177"/>
      <c r="M13" s="110"/>
      <c r="N13" s="110"/>
      <c r="O13" s="71" t="s">
        <v>87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10"/>
      <c r="L14" s="177"/>
      <c r="M14" s="110"/>
      <c r="N14" s="110"/>
      <c r="O14" s="71" t="s">
        <v>88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479200.36</v>
      </c>
      <c r="K15" s="110"/>
      <c r="L15" s="177"/>
      <c r="M15" s="110"/>
      <c r="N15" s="110"/>
      <c r="O15" s="71" t="s">
        <v>89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479200.36</v>
      </c>
      <c r="K16" s="110"/>
      <c r="L16" s="177"/>
      <c r="M16" s="110"/>
      <c r="N16" s="110"/>
      <c r="O16" s="71" t="s">
        <v>90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0"/>
      <c r="L17" s="177"/>
      <c r="M17" s="110"/>
      <c r="N17" s="110"/>
      <c r="O17" s="71" t="s">
        <v>91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0"/>
      <c r="L18" s="177"/>
      <c r="M18" s="110"/>
      <c r="N18" s="110"/>
      <c r="O18" s="71" t="s">
        <v>92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0"/>
      <c r="L19" s="177"/>
      <c r="M19" s="110"/>
      <c r="N19" s="110"/>
      <c r="O19" s="71" t="s">
        <v>93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0"/>
      <c r="L20" s="177"/>
      <c r="M20" s="110"/>
      <c r="N20" s="110"/>
      <c r="O20" s="71" t="s">
        <v>94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479200.36</v>
      </c>
      <c r="K21" s="110"/>
      <c r="L21" s="177"/>
      <c r="M21" s="110"/>
      <c r="N21" s="110"/>
      <c r="O21" s="71" t="s">
        <v>95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0"/>
      <c r="L22" s="177"/>
      <c r="M22" s="110"/>
      <c r="N22" s="110"/>
      <c r="O22" s="71" t="s">
        <v>96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0"/>
      <c r="L23" s="177"/>
      <c r="M23" s="110"/>
      <c r="N23" s="110"/>
      <c r="O23" s="71" t="s">
        <v>97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171760.72400000005</v>
      </c>
      <c r="K24" s="110"/>
      <c r="L24" s="177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10"/>
      <c r="L27" s="17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6">
        <f>VLOOKUP(A28,ПТО!$A$39:$D$53,2,FALSE)</f>
        <v>69154.8</v>
      </c>
      <c r="G28" s="166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10"/>
      <c r="L28" s="17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1"/>
      <c r="C29" s="161"/>
      <c r="D29" s="161"/>
      <c r="E29" s="161"/>
      <c r="F29" s="166">
        <f>VLOOKUP(A29,ПТО!$A$39:$D$53,2,FALSE)</f>
        <v>90172.44</v>
      </c>
      <c r="G29" s="166"/>
      <c r="H29" s="42" t="str">
        <f>VLOOKUP(A29,ПТО!$A$39:$D$53,3,FALSE)</f>
        <v>Ежемесячно</v>
      </c>
      <c r="I29" s="162">
        <f>VLOOKUP(A29,ПТО!$A$39:$D$53,4,FALSE)</f>
        <v>12</v>
      </c>
      <c r="J29" s="162"/>
      <c r="K29" s="110"/>
      <c r="L29" s="178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6">
        <f>VLOOKUP(A30,ПТО!$A$39:$D$53,2,FALSE)</f>
        <v>46781.16</v>
      </c>
      <c r="G30" s="166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10"/>
      <c r="L30" s="17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6">
        <f>VLOOKUP(A31,ПТО!$A$39:$D$53,2,FALSE)</f>
        <v>27119.52</v>
      </c>
      <c r="G31" s="166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10"/>
      <c r="L31" s="17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10"/>
      <c r="L32" s="178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6">
        <f>VLOOKUP(A33,ПТО!$A$39:$D$53,2,FALSE)</f>
        <v>9039.84</v>
      </c>
      <c r="G33" s="166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10"/>
      <c r="L33" s="17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6">
        <f>VLOOKUP(A34,ПТО!$A$39:$D$53,2,FALSE)</f>
        <v>50397.120000000003</v>
      </c>
      <c r="G34" s="166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10"/>
      <c r="L34" s="17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Работы по содержанию лифта (лифтов)</v>
      </c>
      <c r="B35" s="161"/>
      <c r="C35" s="161"/>
      <c r="D35" s="161"/>
      <c r="E35" s="161"/>
      <c r="F35" s="166">
        <f>VLOOKUP(A35,ПТО!$A$39:$D$53,2,FALSE)</f>
        <v>54013.08</v>
      </c>
      <c r="G35" s="166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10"/>
      <c r="L35" s="178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61" t="str">
        <f>ПТО!A47</f>
        <v>Коммунальные ресурсы на содержание общего имущества</v>
      </c>
      <c r="B36" s="161"/>
      <c r="C36" s="161"/>
      <c r="D36" s="161"/>
      <c r="E36" s="161"/>
      <c r="F36" s="166">
        <f>VLOOKUP(A36,ПТО!$A$39:$D$53,2,FALSE)</f>
        <v>37414.210500000001</v>
      </c>
      <c r="G36" s="166"/>
      <c r="H36" s="42" t="str">
        <f>VLOOKUP(A36,ПТО!$A$39:$D$53,3,FALSE)</f>
        <v>Ежемесячно</v>
      </c>
      <c r="I36" s="162">
        <f>VLOOKUP(A36,ПТО!$A$39:$D$53,4,FALSE)</f>
        <v>12</v>
      </c>
      <c r="J36" s="162"/>
      <c r="K36" s="110"/>
      <c r="L36" s="178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10"/>
      <c r="L37" s="178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10"/>
      <c r="L38" s="178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10"/>
      <c r="L39" s="178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10"/>
      <c r="L40" s="178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10"/>
      <c r="L41" s="178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10"/>
      <c r="L42" s="178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 xml:space="preserve">Техническое освидетельствование лифта. </v>
      </c>
      <c r="B43" s="161"/>
      <c r="C43" s="161"/>
      <c r="D43" s="161"/>
      <c r="E43" s="161"/>
      <c r="F43" s="166">
        <f>VLOOKUP(A43,ПТО!$A$2:$D$31,4,FALSE)</f>
        <v>8100</v>
      </c>
      <c r="G43" s="166"/>
      <c r="H43" s="19" t="str">
        <f>VLOOKUP(A43,ПТО!$A$2:$D$31,2,FALSE)</f>
        <v>ежегодно</v>
      </c>
      <c r="I43" s="162">
        <f>VLOOKUP(A43,ПТО!$A$2:$D$31,3,FALSE)</f>
        <v>1</v>
      </c>
      <c r="J43" s="162"/>
      <c r="K43" s="110"/>
      <c r="L43" s="178"/>
      <c r="M43" s="117"/>
      <c r="N43" s="110"/>
      <c r="O43" s="23" t="str">
        <f t="shared" si="1"/>
        <v xml:space="preserve">Техническое освидетельствование лифта. </v>
      </c>
      <c r="R43" s="22" t="s">
        <v>72</v>
      </c>
    </row>
    <row r="44" spans="1:18" ht="51" customHeight="1" outlineLevel="1">
      <c r="A44" s="161" t="str">
        <f>ПТО!A3</f>
        <v>Техническое обслуживание охранной сигнализации.</v>
      </c>
      <c r="B44" s="161"/>
      <c r="C44" s="161"/>
      <c r="D44" s="161"/>
      <c r="E44" s="161"/>
      <c r="F44" s="166">
        <f>VLOOKUP(A44,ПТО!$A$2:$D$31,4,FALSE)</f>
        <v>10500</v>
      </c>
      <c r="G44" s="166"/>
      <c r="H44" s="25" t="str">
        <f>VLOOKUP(A44,ПТО!$A$2:$D$31,2,FALSE)</f>
        <v>ежемесячно</v>
      </c>
      <c r="I44" s="162">
        <f>VLOOKUP(A44,ПТО!$A$2:$D$31,3,FALSE)</f>
        <v>12</v>
      </c>
      <c r="J44" s="162"/>
      <c r="K44" s="110"/>
      <c r="L44" s="178"/>
      <c r="M44" s="117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1" t="str">
        <f>ПТО!A4</f>
        <v>Механизированная уборка и вывоз снега с придомовой территории.</v>
      </c>
      <c r="B45" s="161"/>
      <c r="C45" s="161"/>
      <c r="D45" s="161"/>
      <c r="E45" s="161"/>
      <c r="F45" s="166">
        <f>VLOOKUP(A45,ПТО!$A$2:$D$31,4,FALSE)</f>
        <v>28000</v>
      </c>
      <c r="G45" s="166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10"/>
      <c r="L45" s="178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1" t="str">
        <f>ПТО!A5</f>
        <v>Ремонт прибора учета тепловой энергии.</v>
      </c>
      <c r="B46" s="161"/>
      <c r="C46" s="161"/>
      <c r="D46" s="161"/>
      <c r="E46" s="161"/>
      <c r="F46" s="166">
        <f>VLOOKUP(A46,ПТО!$A$2:$D$31,4,FALSE)</f>
        <v>4110</v>
      </c>
      <c r="G46" s="166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10"/>
      <c r="L46" s="178"/>
      <c r="M46" s="117"/>
      <c r="N46" s="110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61" t="str">
        <f>ПТО!A6</f>
        <v>Благоустройство придомовой территории (приобретение рассады и садового инвентаря).</v>
      </c>
      <c r="B47" s="161"/>
      <c r="C47" s="161"/>
      <c r="D47" s="161"/>
      <c r="E47" s="161"/>
      <c r="F47" s="166">
        <f>VLOOKUP(A47,ПТО!$A$2:$D$31,4,FALSE)</f>
        <v>4893</v>
      </c>
      <c r="G47" s="166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10"/>
      <c r="L47" s="178"/>
      <c r="M47" s="117"/>
      <c r="N47" s="110"/>
      <c r="O47" s="23" t="str">
        <f t="shared" si="1"/>
        <v>Благоустройство придомовой территории (приобретение рассады и садового инвентаря).</v>
      </c>
      <c r="R47" s="22" t="s">
        <v>72</v>
      </c>
    </row>
    <row r="48" spans="1:18" ht="51" customHeight="1" outlineLevel="1">
      <c r="A48" s="161" t="str">
        <f>ПТО!A7</f>
        <v>Ремонт прибора учета тепловой энергии (проливка и настройка).</v>
      </c>
      <c r="B48" s="161"/>
      <c r="C48" s="161"/>
      <c r="D48" s="161"/>
      <c r="E48" s="161"/>
      <c r="F48" s="166">
        <f>VLOOKUP(A48,ПТО!$A$2:$D$31,4,FALSE)</f>
        <v>1600</v>
      </c>
      <c r="G48" s="166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10"/>
      <c r="L48" s="178"/>
      <c r="M48" s="117"/>
      <c r="N48" s="110"/>
      <c r="O48" s="23" t="str">
        <f t="shared" si="1"/>
        <v>Ремонт прибора учета тепловой энергии (проливка и настройка).</v>
      </c>
      <c r="R48" s="22" t="s">
        <v>72</v>
      </c>
    </row>
    <row r="49" spans="1:18" ht="51" customHeight="1" outlineLevel="1">
      <c r="A49" s="161" t="str">
        <f>ПТО!A8</f>
        <v>Приобретение и замена АКБ охранной сигнализации.</v>
      </c>
      <c r="B49" s="161"/>
      <c r="C49" s="161"/>
      <c r="D49" s="161"/>
      <c r="E49" s="161"/>
      <c r="F49" s="166">
        <f>VLOOKUP(A49,ПТО!$A$2:$D$31,4,FALSE)</f>
        <v>400</v>
      </c>
      <c r="G49" s="166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10"/>
      <c r="L49" s="178"/>
      <c r="M49" s="117"/>
      <c r="N49" s="110"/>
      <c r="O49" s="23" t="str">
        <f t="shared" si="1"/>
        <v>Приобретение и замена АКБ охранной сигнализации.</v>
      </c>
      <c r="R49" s="22" t="s">
        <v>72</v>
      </c>
    </row>
    <row r="50" spans="1:18" ht="51" customHeight="1" outlineLevel="1">
      <c r="A50" s="161" t="str">
        <f>ПТО!A9</f>
        <v>Приобретение и установка ОДПУ ХВС.</v>
      </c>
      <c r="B50" s="161"/>
      <c r="C50" s="161"/>
      <c r="D50" s="161"/>
      <c r="E50" s="161"/>
      <c r="F50" s="166">
        <f>VLOOKUP(A50,ПТО!$A$2:$D$31,4,FALSE)</f>
        <v>3060.47</v>
      </c>
      <c r="G50" s="166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10"/>
      <c r="L50" s="178"/>
      <c r="M50" s="117"/>
      <c r="N50" s="110"/>
      <c r="O50" s="23" t="str">
        <f t="shared" si="1"/>
        <v>Приобретение и установка ОДПУ ХВС.</v>
      </c>
      <c r="R50" s="22" t="s">
        <v>72</v>
      </c>
    </row>
    <row r="51" spans="1:18" ht="51" hidden="1" customHeight="1" outlineLevel="1">
      <c r="A51" s="161">
        <f>ПТО!A10</f>
        <v>0</v>
      </c>
      <c r="B51" s="161"/>
      <c r="C51" s="161"/>
      <c r="D51" s="161"/>
      <c r="E51" s="161"/>
      <c r="F51" s="166" t="e">
        <f>VLOOKUP(A51,ПТО!$A$2:$D$31,4,FALSE)</f>
        <v>#N/A</v>
      </c>
      <c r="G51" s="166"/>
      <c r="H51" s="25" t="e">
        <f>VLOOKUP(A51,ПТО!$A$2:$D$31,2,FALSE)</f>
        <v>#N/A</v>
      </c>
      <c r="I51" s="162" t="e">
        <f>VLOOKUP(A51,ПТО!$A$2:$D$31,3,FALSE)</f>
        <v>#N/A</v>
      </c>
      <c r="J51" s="162"/>
      <c r="K51" s="110"/>
      <c r="L51" s="178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61">
        <f>ПТО!A11</f>
        <v>0</v>
      </c>
      <c r="B52" s="161"/>
      <c r="C52" s="161"/>
      <c r="D52" s="161"/>
      <c r="E52" s="161"/>
      <c r="F52" s="166" t="e">
        <f>VLOOKUP(A52,ПТО!$A$2:$D$31,4,FALSE)</f>
        <v>#N/A</v>
      </c>
      <c r="G52" s="166"/>
      <c r="H52" s="25" t="e">
        <f>VLOOKUP(A52,ПТО!$A$2:$D$31,2,FALSE)</f>
        <v>#N/A</v>
      </c>
      <c r="I52" s="162" t="e">
        <f>VLOOKUP(A52,ПТО!$A$2:$D$31,3,FALSE)</f>
        <v>#N/A</v>
      </c>
      <c r="J52" s="162"/>
      <c r="K52" s="110"/>
      <c r="L52" s="178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61">
        <f>ПТО!A12</f>
        <v>0</v>
      </c>
      <c r="B53" s="161"/>
      <c r="C53" s="161"/>
      <c r="D53" s="161"/>
      <c r="E53" s="161"/>
      <c r="F53" s="166" t="e">
        <f>VLOOKUP(A53,ПТО!$A$2:$D$31,4,FALSE)</f>
        <v>#N/A</v>
      </c>
      <c r="G53" s="166"/>
      <c r="H53" s="25" t="e">
        <f>VLOOKUP(A53,ПТО!$A$2:$D$31,2,FALSE)</f>
        <v>#N/A</v>
      </c>
      <c r="I53" s="162" t="e">
        <f>VLOOKUP(A53,ПТО!$A$2:$D$31,3,FALSE)</f>
        <v>#N/A</v>
      </c>
      <c r="J53" s="162"/>
      <c r="K53" s="110"/>
      <c r="L53" s="178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61">
        <f>ПТО!A13</f>
        <v>0</v>
      </c>
      <c r="B54" s="161"/>
      <c r="C54" s="161"/>
      <c r="D54" s="161"/>
      <c r="E54" s="161"/>
      <c r="F54" s="166" t="e">
        <f>VLOOKUP(A54,ПТО!$A$2:$D$31,4,FALSE)</f>
        <v>#N/A</v>
      </c>
      <c r="G54" s="166"/>
      <c r="H54" s="25" t="e">
        <f>VLOOKUP(A54,ПТО!$A$2:$D$31,2,FALSE)</f>
        <v>#N/A</v>
      </c>
      <c r="I54" s="162" t="e">
        <f>VLOOKUP(A54,ПТО!$A$2:$D$31,3,FALSE)</f>
        <v>#N/A</v>
      </c>
      <c r="J54" s="162"/>
      <c r="K54" s="110"/>
      <c r="L54" s="178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10"/>
      <c r="L55" s="178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10"/>
      <c r="L56" s="178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10"/>
      <c r="L57" s="178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10"/>
      <c r="L58" s="178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10"/>
      <c r="L59" s="178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10"/>
      <c r="L60" s="178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10"/>
      <c r="L61" s="178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10"/>
      <c r="L62" s="178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10"/>
      <c r="L63" s="178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10"/>
      <c r="L64" s="178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10"/>
      <c r="L65" s="178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10"/>
      <c r="L66" s="178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10"/>
      <c r="L67" s="178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10"/>
      <c r="L68" s="178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10"/>
      <c r="L69" s="178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10"/>
      <c r="L70" s="178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7"/>
      <c r="L71" s="178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10"/>
      <c r="L72" s="178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10"/>
      <c r="L75" s="181"/>
      <c r="M75" s="110"/>
      <c r="N75" s="110"/>
      <c r="O75" s="71" t="s">
        <v>99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10"/>
      <c r="L76" s="181"/>
      <c r="M76" s="110"/>
      <c r="N76" s="110"/>
      <c r="O76" s="71" t="s">
        <v>100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10"/>
      <c r="L77" s="181"/>
      <c r="M77" s="110"/>
      <c r="N77" s="110"/>
      <c r="O77" s="71" t="s">
        <v>101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8">
        <f>VLOOKUP(O78,АО,3,FALSE)</f>
        <v>0</v>
      </c>
      <c r="K78" s="110"/>
      <c r="L78" s="181"/>
      <c r="M78" s="110"/>
      <c r="N78" s="110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8">
        <f t="shared" ref="J81:J90" si="2">VLOOKUP(O81,АО,3,FALSE)</f>
        <v>0</v>
      </c>
      <c r="K81" s="110"/>
      <c r="L81" s="167"/>
      <c r="M81" s="110"/>
      <c r="N81" s="110"/>
      <c r="O81" s="71" t="s">
        <v>103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8">
        <f t="shared" si="2"/>
        <v>0</v>
      </c>
      <c r="K82" s="110"/>
      <c r="L82" s="167"/>
      <c r="M82" s="110"/>
      <c r="N82" s="110"/>
      <c r="O82" s="71" t="s">
        <v>104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8">
        <f t="shared" si="2"/>
        <v>56660.76</v>
      </c>
      <c r="K83" s="110"/>
      <c r="L83" s="167"/>
      <c r="M83" s="110"/>
      <c r="N83" s="110"/>
      <c r="O83" s="71" t="s">
        <v>105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8">
        <f t="shared" si="2"/>
        <v>0</v>
      </c>
      <c r="K84" s="110"/>
      <c r="L84" s="167"/>
      <c r="M84" s="110"/>
      <c r="N84" s="110"/>
      <c r="O84" s="71" t="s">
        <v>106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8">
        <f t="shared" si="2"/>
        <v>0</v>
      </c>
      <c r="K85" s="110"/>
      <c r="L85" s="167"/>
      <c r="M85" s="110"/>
      <c r="N85" s="110"/>
      <c r="O85" s="71" t="s">
        <v>107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8">
        <f t="shared" si="2"/>
        <v>18296.7</v>
      </c>
      <c r="K86" s="110"/>
      <c r="L86" s="167"/>
      <c r="M86" s="110"/>
      <c r="N86" s="110"/>
      <c r="O86" s="71" t="s">
        <v>108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10"/>
      <c r="L87" s="167"/>
      <c r="M87" s="110"/>
      <c r="N87" s="110"/>
      <c r="O87" s="71" t="s">
        <v>109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10"/>
      <c r="L88" s="167"/>
      <c r="M88" s="110"/>
      <c r="N88" s="110"/>
      <c r="O88" s="71" t="s">
        <v>110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10"/>
      <c r="L89" s="167"/>
      <c r="M89" s="110"/>
      <c r="N89" s="110"/>
      <c r="O89" s="71" t="s">
        <v>111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8">
        <f t="shared" si="2"/>
        <v>0</v>
      </c>
      <c r="K90" s="110"/>
      <c r="L90" s="167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2" t="s">
        <v>48</v>
      </c>
      <c r="B93" s="182"/>
      <c r="C93" s="182"/>
      <c r="D93" s="183" t="s">
        <v>49</v>
      </c>
      <c r="E93" s="183"/>
      <c r="F93" s="10" t="s">
        <v>50</v>
      </c>
      <c r="G93" s="182" t="s">
        <v>51</v>
      </c>
      <c r="H93" s="182"/>
      <c r="I93" s="182"/>
      <c r="J93" s="182"/>
      <c r="K93" s="110"/>
      <c r="L93" s="110"/>
      <c r="M93" s="110"/>
      <c r="N93" s="110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5">
        <f>VLOOKUP("эл",АО,5,FALSE)</f>
        <v>125476.12</v>
      </c>
      <c r="H94" s="164"/>
      <c r="I94" s="164"/>
      <c r="J94" s="164"/>
      <c r="K94" s="1" t="str">
        <f>VLOOKUP("эл",АО,2,FALSE)</f>
        <v>Электроснабжение</v>
      </c>
      <c r="L94" s="168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104563.43</v>
      </c>
      <c r="L95" s="168"/>
      <c r="O95" s="1" t="s">
        <v>113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146751.88</v>
      </c>
      <c r="L96" s="168"/>
      <c r="O96" s="1" t="s">
        <v>114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0</v>
      </c>
      <c r="L97" s="168"/>
      <c r="O97" s="1" t="s">
        <v>115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125476.12</v>
      </c>
      <c r="L98" s="168"/>
      <c r="O98" s="1" t="s">
        <v>116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125476.12</v>
      </c>
      <c r="L99" s="168"/>
      <c r="O99" s="1" t="s">
        <v>117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68"/>
      <c r="O100" s="1" t="s">
        <v>118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68"/>
      <c r="O101" s="1" t="s">
        <v>119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5">
        <f>VLOOKUP("хвс",АО,5,FALSE)</f>
        <v>46620.87</v>
      </c>
      <c r="H102" s="164"/>
      <c r="I102" s="164"/>
      <c r="J102" s="164"/>
      <c r="L102" s="168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3531.88</v>
      </c>
      <c r="L103" s="168"/>
      <c r="O103" s="1" t="s">
        <v>122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50123.4</v>
      </c>
      <c r="L104" s="168"/>
      <c r="O104" s="1" t="s">
        <v>123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68"/>
      <c r="O105" s="1" t="s">
        <v>124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46620.87</v>
      </c>
      <c r="L106" s="168"/>
      <c r="O106" s="1" t="s">
        <v>125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46620.87</v>
      </c>
      <c r="L107" s="168"/>
      <c r="O107" s="1" t="s">
        <v>126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68"/>
      <c r="O108" s="1" t="s">
        <v>127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68"/>
      <c r="O109" s="1" t="s">
        <v>128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5">
        <f>VLOOKUP("воо",АО,5,FALSE)</f>
        <v>96045.47</v>
      </c>
      <c r="H110" s="164"/>
      <c r="I110" s="164"/>
      <c r="J110" s="164"/>
      <c r="L110" s="168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5987.87</v>
      </c>
      <c r="L111" s="168"/>
      <c r="O111" s="1" t="s">
        <v>130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102729.26</v>
      </c>
      <c r="L112" s="168"/>
      <c r="O112" s="1" t="s">
        <v>131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8"/>
      <c r="O113" s="1" t="s">
        <v>132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96045.47</v>
      </c>
      <c r="L114" s="168"/>
      <c r="O114" s="1" t="s">
        <v>133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96045.47</v>
      </c>
      <c r="L115" s="168"/>
      <c r="O115" s="1" t="s">
        <v>134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8"/>
      <c r="O116" s="1" t="s">
        <v>135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8"/>
      <c r="O117" s="1" t="s">
        <v>136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4" t="str">
        <f>IF(VLOOKUP("тко",АО,3,FALSE)&gt;0,VLOOKUP("тко",АО,3,FALSE),0)</f>
        <v>Предоставляется</v>
      </c>
      <c r="E118" s="164"/>
      <c r="F118" s="13" t="str">
        <f>IF(VLOOKUP("тко",АО,3,FALSE)&gt;0,VLOOKUP("тко",АО,4,FALSE),0)</f>
        <v>куб.м.</v>
      </c>
      <c r="G118" s="165">
        <f>VLOOKUP("тко",АО,5,FALSE)</f>
        <v>86463.360000000001</v>
      </c>
      <c r="H118" s="164"/>
      <c r="I118" s="164"/>
      <c r="J118" s="164"/>
      <c r="L118" s="48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160.75</v>
      </c>
      <c r="L119" s="48"/>
      <c r="O119" s="1" t="s">
        <v>138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91045.62</v>
      </c>
      <c r="L120" s="48"/>
      <c r="O120" s="1" t="s">
        <v>139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86463.360000000001</v>
      </c>
      <c r="L122" s="48"/>
      <c r="O122" s="1" t="s">
        <v>141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86463.360000000001</v>
      </c>
      <c r="L123" s="48"/>
      <c r="O123" s="1" t="s">
        <v>142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8"/>
      <c r="O125" s="1" t="s">
        <v>144</v>
      </c>
    </row>
    <row r="126" spans="1:15" ht="32.25" customHeight="1" outlineLevel="1">
      <c r="A126" s="163" t="str">
        <f>IF(VLOOKUP("гвс",АО,3,FALSE)&gt;0,"Горячее водоснабжение",0)</f>
        <v>Горячее водоснабжение</v>
      </c>
      <c r="B126" s="163"/>
      <c r="C126" s="163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5">
        <f>VLOOKUP("гвс",АО,5,FALSE)</f>
        <v>31773.64</v>
      </c>
      <c r="H126" s="164"/>
      <c r="I126" s="164"/>
      <c r="J126" s="164"/>
      <c r="L126" s="48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2407.09</v>
      </c>
      <c r="L127" s="48"/>
      <c r="O127" s="1" t="s">
        <v>146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34093.360000000001</v>
      </c>
      <c r="L128" s="48"/>
      <c r="O128" s="1" t="s">
        <v>147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8"/>
      <c r="O129" s="1" t="s">
        <v>148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31773.64</v>
      </c>
      <c r="L130" s="48"/>
      <c r="O130" s="1" t="s">
        <v>149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31773.64</v>
      </c>
      <c r="L131" s="48"/>
      <c r="O131" s="1" t="s">
        <v>150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8"/>
      <c r="O132" s="1" t="s">
        <v>151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4"/>
      <c r="I134" s="164"/>
      <c r="J134" s="164"/>
      <c r="L134" s="48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170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9" t="s">
        <v>173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172</v>
      </c>
    </row>
    <row r="149" spans="1:15" ht="52.5" customHeight="1">
      <c r="A149" s="184" t="s">
        <v>178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6" t="s">
        <v>186</v>
      </c>
      <c r="B154" s="186"/>
      <c r="C154" s="186"/>
      <c r="D154" s="186"/>
      <c r="E154" s="27">
        <f>ПТО!G1</f>
        <v>-90484.93</v>
      </c>
    </row>
    <row r="155" spans="1:15" ht="34.5" customHeight="1">
      <c r="A155" s="185" t="s">
        <v>188</v>
      </c>
      <c r="B155" s="185"/>
      <c r="C155" s="185"/>
      <c r="D155" s="185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1" t="str">
        <f t="shared" ref="A158:A163" si="14">IF(N158&gt;0,N158,0)</f>
        <v xml:space="preserve">Техническое освидетельствование лифта. </v>
      </c>
      <c r="B158" s="161"/>
      <c r="C158" s="161"/>
      <c r="D158" s="161"/>
      <c r="E158" s="161"/>
      <c r="F158" s="166">
        <f t="shared" ref="F158:F163" si="15">IF(ISERROR(VLOOKUP(A158,$A$28:$J$72,6,FALSE)),0,VLOOKUP(A158,$A$28:$J$72,6,FALSE))</f>
        <v>8100</v>
      </c>
      <c r="G158" s="166"/>
      <c r="H158" s="24" t="str">
        <f t="shared" ref="H158:H187" si="16">VLOOKUP(A158,$A$28:$J$72,8,FALSE)</f>
        <v>ежегодно</v>
      </c>
      <c r="I158" s="162">
        <f t="shared" ref="I158:I161" si="17">VLOOKUP(A158,$A$28:$J$72,9,FALSE)</f>
        <v>1</v>
      </c>
      <c r="J158" s="162"/>
      <c r="M158" s="22" t="s">
        <v>72</v>
      </c>
      <c r="N158" s="1" t="str">
        <f t="array" ref="N158:N187">INDEX($O$43:$O$72,SMALL(IF($M$158=R43:R72,ROW(O43:O72)-42,""),ROW()-157))</f>
        <v xml:space="preserve">Техническое освидетельствование лифта. </v>
      </c>
    </row>
    <row r="159" spans="1:15" ht="28.5" customHeight="1">
      <c r="A159" s="161" t="str">
        <f t="shared" si="14"/>
        <v>Техническое обслуживание охранной сигнализации.</v>
      </c>
      <c r="B159" s="161"/>
      <c r="C159" s="161"/>
      <c r="D159" s="161"/>
      <c r="E159" s="161"/>
      <c r="F159" s="166">
        <f t="shared" si="15"/>
        <v>10500</v>
      </c>
      <c r="G159" s="166"/>
      <c r="H159" s="24" t="str">
        <f t="shared" si="16"/>
        <v>ежемесячно</v>
      </c>
      <c r="I159" s="162">
        <f t="shared" si="17"/>
        <v>12</v>
      </c>
      <c r="J159" s="162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1" t="str">
        <f t="shared" si="14"/>
        <v>Механизированная уборка и вывоз снега с придомовой территории.</v>
      </c>
      <c r="B160" s="161"/>
      <c r="C160" s="161"/>
      <c r="D160" s="161"/>
      <c r="E160" s="161"/>
      <c r="F160" s="166">
        <f t="shared" si="15"/>
        <v>28000</v>
      </c>
      <c r="G160" s="166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1" t="str">
        <f>IF(N161&gt;0,N161,0)</f>
        <v>Ремонт прибора учета тепловой энергии.</v>
      </c>
      <c r="B161" s="161"/>
      <c r="C161" s="161"/>
      <c r="D161" s="161"/>
      <c r="E161" s="161"/>
      <c r="F161" s="166">
        <f t="shared" si="15"/>
        <v>4110</v>
      </c>
      <c r="G161" s="166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61" t="str">
        <f t="shared" si="14"/>
        <v>Благоустройство придомовой территории (приобретение рассады и садового инвентаря).</v>
      </c>
      <c r="B162" s="161"/>
      <c r="C162" s="161"/>
      <c r="D162" s="161"/>
      <c r="E162" s="161"/>
      <c r="F162" s="166">
        <f t="shared" si="15"/>
        <v>4893</v>
      </c>
      <c r="G162" s="166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Благоустройство придомовой территории (приобретение рассады и садового инвентаря).</v>
      </c>
    </row>
    <row r="163" spans="1:14" ht="28.5" customHeight="1">
      <c r="A163" s="161" t="str">
        <f t="shared" si="14"/>
        <v>Ремонт прибора учета тепловой энергии (проливка и настройка).</v>
      </c>
      <c r="B163" s="161"/>
      <c r="C163" s="161"/>
      <c r="D163" s="161"/>
      <c r="E163" s="161"/>
      <c r="F163" s="166">
        <f t="shared" si="15"/>
        <v>1600</v>
      </c>
      <c r="G163" s="166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Ремонт прибора учета тепловой энергии (проливка и настройка).</v>
      </c>
    </row>
    <row r="164" spans="1:14" ht="28.5" customHeight="1">
      <c r="A164" s="161" t="str">
        <f t="shared" ref="A164:A187" si="18">IF(N164&gt;0,N164,0)</f>
        <v>Приобретение и замена АКБ охранной сигнализации.</v>
      </c>
      <c r="B164" s="161"/>
      <c r="C164" s="161"/>
      <c r="D164" s="161"/>
      <c r="E164" s="161"/>
      <c r="F164" s="166">
        <f t="shared" ref="F164:F187" si="19">IF(ISERROR(VLOOKUP(A164,$A$28:$J$72,6,FALSE)),0,VLOOKUP(A164,$A$28:$J$72,6,FALSE))</f>
        <v>400</v>
      </c>
      <c r="G164" s="166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Приобретение и замена АКБ охранной сигнализации.</v>
      </c>
    </row>
    <row r="165" spans="1:14" ht="28.5" customHeight="1">
      <c r="A165" s="161" t="str">
        <f t="shared" si="18"/>
        <v>Приобретение и установка ОДПУ ХВС.</v>
      </c>
      <c r="B165" s="161"/>
      <c r="C165" s="161"/>
      <c r="D165" s="161"/>
      <c r="E165" s="161"/>
      <c r="F165" s="166">
        <f t="shared" si="19"/>
        <v>3060.47</v>
      </c>
      <c r="G165" s="166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Приобретение и установка ОДПУ ХВС.</v>
      </c>
    </row>
    <row r="166" spans="1:14" ht="28.5" hidden="1" customHeight="1">
      <c r="A166" s="161">
        <f t="shared" si="18"/>
        <v>0</v>
      </c>
      <c r="B166" s="161"/>
      <c r="C166" s="161"/>
      <c r="D166" s="161"/>
      <c r="E166" s="161"/>
      <c r="F166" s="166">
        <f t="shared" si="19"/>
        <v>0</v>
      </c>
      <c r="G166" s="166"/>
      <c r="H166" s="29" t="e">
        <f t="shared" si="16"/>
        <v>#N/A</v>
      </c>
      <c r="I166" s="162" t="e">
        <f t="shared" si="20"/>
        <v>#N/A</v>
      </c>
      <c r="J166" s="162"/>
      <c r="M166" s="22" t="s">
        <v>72</v>
      </c>
      <c r="N166" s="1">
        <v>0</v>
      </c>
    </row>
    <row r="167" spans="1:14" ht="28.5" hidden="1" customHeight="1">
      <c r="A167" s="161">
        <f t="shared" si="18"/>
        <v>0</v>
      </c>
      <c r="B167" s="161"/>
      <c r="C167" s="161"/>
      <c r="D167" s="161"/>
      <c r="E167" s="161"/>
      <c r="F167" s="166">
        <f t="shared" si="19"/>
        <v>0</v>
      </c>
      <c r="G167" s="166"/>
      <c r="H167" s="29" t="e">
        <f t="shared" si="16"/>
        <v>#N/A</v>
      </c>
      <c r="I167" s="162" t="e">
        <f t="shared" si="20"/>
        <v>#N/A</v>
      </c>
      <c r="J167" s="162"/>
      <c r="M167" s="22" t="s">
        <v>72</v>
      </c>
      <c r="N167" s="1">
        <v>0</v>
      </c>
    </row>
    <row r="168" spans="1:14" ht="28.5" hidden="1" customHeight="1">
      <c r="A168" s="161">
        <f t="shared" si="18"/>
        <v>0</v>
      </c>
      <c r="B168" s="161"/>
      <c r="C168" s="161"/>
      <c r="D168" s="161"/>
      <c r="E168" s="161"/>
      <c r="F168" s="166">
        <f t="shared" si="19"/>
        <v>0</v>
      </c>
      <c r="G168" s="166"/>
      <c r="H168" s="29" t="e">
        <f t="shared" si="16"/>
        <v>#N/A</v>
      </c>
      <c r="I168" s="162" t="e">
        <f t="shared" si="20"/>
        <v>#N/A</v>
      </c>
      <c r="J168" s="162"/>
      <c r="M168" s="22" t="s">
        <v>72</v>
      </c>
      <c r="N168" s="1">
        <v>0</v>
      </c>
    </row>
    <row r="169" spans="1:14" ht="28.5" hidden="1" customHeight="1">
      <c r="A169" s="161">
        <f t="shared" si="18"/>
        <v>0</v>
      </c>
      <c r="B169" s="161"/>
      <c r="C169" s="161"/>
      <c r="D169" s="161"/>
      <c r="E169" s="161"/>
      <c r="F169" s="166">
        <f t="shared" si="19"/>
        <v>0</v>
      </c>
      <c r="G169" s="166"/>
      <c r="H169" s="29" t="e">
        <f t="shared" si="16"/>
        <v>#N/A</v>
      </c>
      <c r="I169" s="162" t="e">
        <f t="shared" si="20"/>
        <v>#N/A</v>
      </c>
      <c r="J169" s="162"/>
      <c r="M169" s="22" t="s">
        <v>72</v>
      </c>
      <c r="N169" s="1">
        <v>0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6">
        <f t="shared" si="19"/>
        <v>0</v>
      </c>
      <c r="G170" s="166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6">
        <f t="shared" si="19"/>
        <v>0</v>
      </c>
      <c r="G171" s="166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6">
        <f t="shared" si="19"/>
        <v>0</v>
      </c>
      <c r="G172" s="166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6">
        <f t="shared" si="19"/>
        <v>0</v>
      </c>
      <c r="G173" s="166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6">
        <f t="shared" si="19"/>
        <v>0</v>
      </c>
      <c r="G174" s="166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6">
        <f t="shared" si="19"/>
        <v>0</v>
      </c>
      <c r="G175" s="166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6">
        <f t="shared" si="19"/>
        <v>0</v>
      </c>
      <c r="G176" s="166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6">
        <f t="shared" si="19"/>
        <v>0</v>
      </c>
      <c r="G177" s="166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6">
        <f t="shared" si="19"/>
        <v>0</v>
      </c>
      <c r="G178" s="166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6">
        <f t="shared" si="19"/>
        <v>0</v>
      </c>
      <c r="G179" s="166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6">
        <f t="shared" si="19"/>
        <v>0</v>
      </c>
      <c r="G180" s="166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6">
        <f t="shared" si="19"/>
        <v>0</v>
      </c>
      <c r="G181" s="166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6">
        <f t="shared" si="19"/>
        <v>0</v>
      </c>
      <c r="G182" s="166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6">
        <f t="shared" si="19"/>
        <v>0</v>
      </c>
      <c r="G183" s="166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6">
        <f t="shared" si="19"/>
        <v>0</v>
      </c>
      <c r="G184" s="166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6">
        <f t="shared" si="19"/>
        <v>0</v>
      </c>
      <c r="G185" s="166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6">
        <f t="shared" si="19"/>
        <v>0</v>
      </c>
      <c r="G186" s="166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6">
        <f t="shared" si="19"/>
        <v>0</v>
      </c>
      <c r="G187" s="166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86" t="s">
        <v>189</v>
      </c>
      <c r="B190" s="186"/>
      <c r="C190" s="186"/>
      <c r="D190" s="186"/>
      <c r="E190" s="27">
        <f>SUM(F158:G187)</f>
        <v>60663.47</v>
      </c>
    </row>
    <row r="191" spans="1:14" ht="51.75" customHeight="1">
      <c r="A191" s="186" t="s">
        <v>190</v>
      </c>
      <c r="B191" s="186"/>
      <c r="C191" s="186"/>
      <c r="D191" s="186"/>
      <c r="E191" s="27">
        <f>E190+E154-E155</f>
        <v>-136943.56400000001</v>
      </c>
    </row>
    <row r="192" spans="1:14">
      <c r="A192" s="105" t="s">
        <v>174</v>
      </c>
    </row>
    <row r="193" spans="1:10" ht="62.25" customHeight="1">
      <c r="A193" s="160" t="s">
        <v>187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0">
        <f>ПТО!G12</f>
        <v>1200</v>
      </c>
      <c r="I194" s="51" t="s">
        <v>74</v>
      </c>
    </row>
    <row r="195" spans="1:10" ht="18.75" customHeight="1">
      <c r="A195" s="158" t="str">
        <f>ПТО!F13</f>
        <v xml:space="preserve">  -  техническое освидетельствование лифта</v>
      </c>
      <c r="B195" s="158"/>
      <c r="C195" s="158"/>
      <c r="D195" s="158"/>
      <c r="E195" s="158"/>
      <c r="F195" s="158"/>
      <c r="G195" s="158"/>
      <c r="H195" s="50">
        <f>ПТО!G13</f>
        <v>8100</v>
      </c>
      <c r="I195" s="51" t="s">
        <v>74</v>
      </c>
    </row>
    <row r="196" spans="1:10" ht="18.75" customHeight="1">
      <c r="A196" s="158" t="str">
        <f>ПТО!F14</f>
        <v xml:space="preserve">  -  техническое обслуживание охранной сигнализации</v>
      </c>
      <c r="B196" s="158"/>
      <c r="C196" s="158"/>
      <c r="D196" s="158"/>
      <c r="E196" s="158"/>
      <c r="F196" s="158"/>
      <c r="G196" s="158"/>
      <c r="H196" s="50">
        <f>ПТО!G14</f>
        <v>10500</v>
      </c>
      <c r="I196" s="51" t="s">
        <v>74</v>
      </c>
    </row>
    <row r="197" spans="1:10" ht="18.75" customHeight="1">
      <c r="A197" s="158" t="str">
        <f>ПТО!F15</f>
        <v xml:space="preserve">  -  ремонт подъезда</v>
      </c>
      <c r="B197" s="158"/>
      <c r="C197" s="158"/>
      <c r="D197" s="158"/>
      <c r="E197" s="158"/>
      <c r="F197" s="158"/>
      <c r="G197" s="158"/>
      <c r="H197" s="50">
        <f>ПТО!G15</f>
        <v>300000</v>
      </c>
      <c r="I197" s="51" t="s">
        <v>74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0">
        <f>ПТО!G16</f>
        <v>0</v>
      </c>
      <c r="I198" s="53" t="s">
        <v>74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0">
        <f>ПТО!G17</f>
        <v>0</v>
      </c>
      <c r="I199" s="51" t="s">
        <v>74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0">
        <f>ПТО!G18</f>
        <v>0</v>
      </c>
      <c r="I200" s="51" t="s">
        <v>74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0">
        <f>ПТО!G19</f>
        <v>0</v>
      </c>
      <c r="I201" s="51" t="s">
        <v>74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0">
        <f>ПТО!G20</f>
        <v>0</v>
      </c>
      <c r="I202" s="51" t="s">
        <v>74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0">
        <f>ПТО!G21</f>
        <v>0</v>
      </c>
      <c r="I203" s="51" t="s">
        <v>74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0">
        <f>ПТО!G22</f>
        <v>0</v>
      </c>
      <c r="I204" s="51" t="s">
        <v>74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0">
        <f>ПТО!G23</f>
        <v>0</v>
      </c>
      <c r="I205" s="51" t="s">
        <v>74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0">
        <f>ПТО!G24</f>
        <v>0</v>
      </c>
      <c r="I206" s="51" t="s">
        <v>74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0">
        <f>ПТО!G25</f>
        <v>0</v>
      </c>
      <c r="I207" s="51" t="s">
        <v>74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0">
        <f>ПТО!G26</f>
        <v>0</v>
      </c>
      <c r="I208" s="51" t="s">
        <v>74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0">
        <f>ПТО!G27</f>
        <v>0</v>
      </c>
      <c r="I209" s="51" t="s">
        <v>74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0">
        <f>ПТО!G28</f>
        <v>0</v>
      </c>
      <c r="I210" s="51" t="s">
        <v>74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0">
        <f>ПТО!G29</f>
        <v>0</v>
      </c>
      <c r="I211" s="51" t="s">
        <v>74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0">
        <f>ПТО!G30</f>
        <v>0</v>
      </c>
      <c r="I212" s="51" t="s">
        <v>74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319800</v>
      </c>
      <c r="I214" s="57" t="s">
        <v>77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186</v>
      </c>
      <c r="G1" s="102">
        <f>-90484.93</f>
        <v>-90484.93</v>
      </c>
    </row>
    <row r="2" spans="1:12" ht="18.75" customHeight="1">
      <c r="A2" s="151" t="s">
        <v>179</v>
      </c>
      <c r="B2" s="152" t="s">
        <v>182</v>
      </c>
      <c r="C2" s="152">
        <v>1</v>
      </c>
      <c r="D2" s="153">
        <v>8100</v>
      </c>
      <c r="E2" s="154"/>
      <c r="F2" s="32"/>
      <c r="G2" s="32"/>
      <c r="L2" s="33" t="str">
        <f t="shared" ref="L2:L22" si="0">IF(A2&gt;0,"ТР",0)</f>
        <v>ТР</v>
      </c>
    </row>
    <row r="3" spans="1:12" ht="18.75" customHeight="1">
      <c r="A3" s="155" t="s">
        <v>180</v>
      </c>
      <c r="B3" s="152" t="s">
        <v>181</v>
      </c>
      <c r="C3" s="156">
        <v>12</v>
      </c>
      <c r="D3" s="157">
        <f>1750/2*12</f>
        <v>10500</v>
      </c>
      <c r="E3" s="154"/>
      <c r="F3" s="30"/>
      <c r="G3" s="30"/>
      <c r="L3" s="33" t="str">
        <f t="shared" si="0"/>
        <v>ТР</v>
      </c>
    </row>
    <row r="4" spans="1:12" ht="18.75" customHeight="1">
      <c r="A4" s="125" t="s">
        <v>204</v>
      </c>
      <c r="B4" s="126" t="s">
        <v>191</v>
      </c>
      <c r="C4" s="126">
        <v>1</v>
      </c>
      <c r="D4" s="128">
        <v>28000</v>
      </c>
      <c r="E4" s="123" t="s">
        <v>192</v>
      </c>
      <c r="F4" s="30"/>
      <c r="G4" s="30"/>
      <c r="L4" s="33" t="str">
        <f t="shared" si="0"/>
        <v>ТР</v>
      </c>
    </row>
    <row r="5" spans="1:12" ht="18.75" customHeight="1">
      <c r="A5" s="144" t="s">
        <v>193</v>
      </c>
      <c r="B5" s="145" t="s">
        <v>191</v>
      </c>
      <c r="C5" s="146">
        <v>1</v>
      </c>
      <c r="D5" s="147">
        <v>4110</v>
      </c>
      <c r="E5" s="148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25" t="s">
        <v>196</v>
      </c>
      <c r="B6" s="126" t="s">
        <v>191</v>
      </c>
      <c r="C6" s="127">
        <v>1</v>
      </c>
      <c r="D6" s="128">
        <v>4893</v>
      </c>
      <c r="E6" s="123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25" t="s">
        <v>198</v>
      </c>
      <c r="B7" s="126" t="s">
        <v>191</v>
      </c>
      <c r="C7" s="127">
        <v>1</v>
      </c>
      <c r="D7" s="128">
        <v>1600</v>
      </c>
      <c r="E7" s="123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25" t="s">
        <v>200</v>
      </c>
      <c r="B8" s="126" t="s">
        <v>191</v>
      </c>
      <c r="C8" s="127">
        <v>1</v>
      </c>
      <c r="D8" s="128">
        <v>400</v>
      </c>
      <c r="E8" s="123" t="s">
        <v>202</v>
      </c>
      <c r="F8" s="46"/>
      <c r="G8" s="46"/>
      <c r="K8" s="44"/>
      <c r="L8" s="33" t="str">
        <f t="shared" si="0"/>
        <v>ТР</v>
      </c>
    </row>
    <row r="9" spans="1:12">
      <c r="A9" s="139" t="s">
        <v>201</v>
      </c>
      <c r="B9" s="140" t="s">
        <v>191</v>
      </c>
      <c r="C9" s="141">
        <v>1</v>
      </c>
      <c r="D9" s="142">
        <v>3060.47</v>
      </c>
      <c r="E9" s="143" t="s">
        <v>194</v>
      </c>
      <c r="F9" s="45"/>
      <c r="G9" s="45"/>
      <c r="K9" s="44"/>
      <c r="L9" s="33" t="str">
        <f t="shared" si="0"/>
        <v>ТР</v>
      </c>
    </row>
    <row r="10" spans="1:12">
      <c r="A10" s="119"/>
      <c r="B10" s="120"/>
      <c r="C10" s="121"/>
      <c r="D10" s="122"/>
      <c r="E10" s="123"/>
      <c r="L10" s="33">
        <f t="shared" si="0"/>
        <v>0</v>
      </c>
    </row>
    <row r="11" spans="1:12" ht="94.5">
      <c r="A11" s="131"/>
      <c r="B11" s="132"/>
      <c r="C11" s="127"/>
      <c r="D11" s="133"/>
      <c r="E11" s="124"/>
      <c r="F11" s="112" t="s">
        <v>187</v>
      </c>
      <c r="G11" s="112"/>
      <c r="L11" s="33">
        <f t="shared" si="0"/>
        <v>0</v>
      </c>
    </row>
    <row r="12" spans="1:12" ht="31.5">
      <c r="A12" s="134"/>
      <c r="B12" s="135"/>
      <c r="C12" s="43"/>
      <c r="D12" s="47"/>
      <c r="E12" s="124"/>
      <c r="F12" s="113" t="s">
        <v>73</v>
      </c>
      <c r="G12" s="114">
        <v>1200</v>
      </c>
      <c r="L12" s="33">
        <f t="shared" si="0"/>
        <v>0</v>
      </c>
    </row>
    <row r="13" spans="1:12" ht="31.5">
      <c r="A13" s="136"/>
      <c r="B13" s="137"/>
      <c r="C13" s="43"/>
      <c r="D13" s="122"/>
      <c r="E13" s="124"/>
      <c r="F13" s="113" t="s">
        <v>75</v>
      </c>
      <c r="G13" s="114">
        <v>8100</v>
      </c>
      <c r="L13" s="33">
        <f t="shared" si="0"/>
        <v>0</v>
      </c>
    </row>
    <row r="14" spans="1:12" ht="31.5">
      <c r="A14" s="129"/>
      <c r="B14" s="130"/>
      <c r="C14" s="126"/>
      <c r="D14" s="47"/>
      <c r="E14" s="124"/>
      <c r="F14" s="113" t="s">
        <v>185</v>
      </c>
      <c r="G14" s="114">
        <f>1750/2*12</f>
        <v>10500</v>
      </c>
      <c r="L14" s="33">
        <f t="shared" si="0"/>
        <v>0</v>
      </c>
    </row>
    <row r="15" spans="1:12" ht="15.75">
      <c r="A15" s="129"/>
      <c r="B15" s="130"/>
      <c r="C15" s="126"/>
      <c r="D15" s="47"/>
      <c r="E15" s="124"/>
      <c r="F15" s="113" t="s">
        <v>184</v>
      </c>
      <c r="G15" s="114">
        <v>300000</v>
      </c>
      <c r="L15" s="33">
        <f t="shared" si="0"/>
        <v>0</v>
      </c>
    </row>
    <row r="16" spans="1:12" ht="15.75">
      <c r="A16" s="30"/>
      <c r="B16" s="124"/>
      <c r="C16" s="124"/>
      <c r="D16" s="124"/>
      <c r="E16" s="124"/>
      <c r="F16" s="113"/>
      <c r="G16" s="115"/>
      <c r="L16" s="33">
        <f t="shared" si="0"/>
        <v>0</v>
      </c>
    </row>
    <row r="17" spans="1:12" ht="15.75">
      <c r="A17" s="30"/>
      <c r="F17" s="138"/>
      <c r="G17" s="115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69154.8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69154.8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90172.44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90172.44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46781.16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46781.16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27119.52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27119.52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9039.84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9039.84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50397.120000000003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50397.120000000003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54013.08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54013.08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203</v>
      </c>
      <c r="B47" s="150">
        <f>(E47*3.48*1.23*6+E47*3.48*1.17*6)+(F47*0.075*13.45*6+F47*0.075*12.94*6)+(F47*0.075*16.35*6+F47*0.075*15.73*6)</f>
        <v>37414.210500000001</v>
      </c>
      <c r="C47" s="149" t="s">
        <v>68</v>
      </c>
      <c r="D47" s="49">
        <v>12</v>
      </c>
      <c r="E47" s="150">
        <v>582.9</v>
      </c>
      <c r="F47" s="150">
        <v>311.8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37414.210500000001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183</v>
      </c>
      <c r="F1" s="61">
        <v>1883.3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195596.08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455365.00400000002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348242.9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F1*4.74*12</f>
        <v>107122.10400000001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479200.36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479200.36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479200.36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171760.72400000005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9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9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9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9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8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8"/>
      <c r="N26" s="64"/>
    </row>
    <row r="27" spans="1:15" ht="18.75" customHeight="1">
      <c r="A27" s="71" t="s">
        <v>105</v>
      </c>
      <c r="B27" s="76" t="s">
        <v>4</v>
      </c>
      <c r="C27" s="87">
        <v>56660.76</v>
      </c>
      <c r="D27" s="82" t="s">
        <v>60</v>
      </c>
      <c r="E27" s="65"/>
      <c r="F27" s="65"/>
      <c r="G27" s="65"/>
      <c r="H27" s="65"/>
      <c r="I27" s="65"/>
      <c r="J27" s="65"/>
      <c r="M27" s="188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8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8"/>
      <c r="N29" s="64"/>
    </row>
    <row r="30" spans="1:15" ht="18.75" customHeight="1">
      <c r="A30" s="71" t="s">
        <v>108</v>
      </c>
      <c r="B30" s="76" t="s">
        <v>18</v>
      </c>
      <c r="C30" s="87">
        <v>18296.7</v>
      </c>
      <c r="D30" s="82" t="s">
        <v>66</v>
      </c>
      <c r="E30" s="65"/>
      <c r="F30" s="65"/>
      <c r="G30" s="65"/>
      <c r="H30" s="65"/>
      <c r="I30" s="65"/>
      <c r="J30" s="65"/>
      <c r="M30" s="188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8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8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8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8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125476.12</v>
      </c>
      <c r="F37" s="95" t="s">
        <v>167</v>
      </c>
      <c r="G37" s="67"/>
      <c r="H37" s="67"/>
      <c r="I37" s="67"/>
      <c r="L37" s="64"/>
      <c r="M37" s="187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104563.43</v>
      </c>
      <c r="D38" s="95" t="s">
        <v>165</v>
      </c>
      <c r="E38" s="69"/>
      <c r="G38" s="68"/>
      <c r="H38" s="68"/>
      <c r="L38" s="64"/>
      <c r="M38" s="187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146751.88</v>
      </c>
      <c r="D39" s="95" t="s">
        <v>166</v>
      </c>
      <c r="E39" s="69"/>
      <c r="G39" s="68"/>
      <c r="H39" s="68"/>
      <c r="L39" s="64"/>
      <c r="M39" s="187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7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125476.12</v>
      </c>
      <c r="D41" s="81" t="s">
        <v>59</v>
      </c>
      <c r="E41" s="69"/>
      <c r="G41" s="68"/>
      <c r="H41" s="68"/>
      <c r="L41" s="64"/>
      <c r="M41" s="187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125476.12</v>
      </c>
      <c r="D42" s="81" t="s">
        <v>59</v>
      </c>
      <c r="E42" s="69"/>
      <c r="G42" s="68"/>
      <c r="H42" s="68"/>
      <c r="L42" s="64"/>
      <c r="M42" s="187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7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7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46620.87</v>
      </c>
      <c r="F45" s="95" t="s">
        <v>167</v>
      </c>
      <c r="G45" s="67"/>
      <c r="H45" s="67"/>
      <c r="L45" s="64"/>
      <c r="M45" s="187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3531.88</v>
      </c>
      <c r="D46" s="95" t="s">
        <v>168</v>
      </c>
      <c r="E46" s="69"/>
      <c r="G46" s="68"/>
      <c r="H46" s="68"/>
      <c r="L46" s="64"/>
      <c r="M46" s="187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50123.4</v>
      </c>
      <c r="D47" s="95" t="s">
        <v>166</v>
      </c>
      <c r="E47" s="69"/>
      <c r="G47" s="68"/>
      <c r="H47" s="68"/>
      <c r="L47" s="64"/>
      <c r="M47" s="187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7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46620.87</v>
      </c>
      <c r="D49" s="81" t="s">
        <v>59</v>
      </c>
      <c r="E49" s="69"/>
      <c r="G49" s="68"/>
      <c r="H49" s="68"/>
      <c r="L49" s="64"/>
      <c r="M49" s="187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46620.87</v>
      </c>
      <c r="D50" s="81" t="s">
        <v>59</v>
      </c>
      <c r="E50" s="69"/>
      <c r="G50" s="68"/>
      <c r="H50" s="68"/>
      <c r="L50" s="64"/>
      <c r="M50" s="187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7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7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96045.47</v>
      </c>
      <c r="F53" s="95" t="s">
        <v>167</v>
      </c>
      <c r="G53" s="67"/>
      <c r="H53" s="67"/>
      <c r="L53" s="64"/>
      <c r="M53" s="187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5987.87</v>
      </c>
      <c r="D54" s="95" t="s">
        <v>168</v>
      </c>
      <c r="E54" s="70"/>
      <c r="F54" s="90"/>
      <c r="G54" s="65"/>
      <c r="H54" s="65"/>
      <c r="L54" s="64"/>
      <c r="M54" s="187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102729.26</v>
      </c>
      <c r="D55" s="95" t="s">
        <v>166</v>
      </c>
      <c r="E55" s="70"/>
      <c r="G55" s="65"/>
      <c r="H55" s="65"/>
      <c r="L55" s="64"/>
      <c r="M55" s="187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7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96045.47</v>
      </c>
      <c r="D57" s="81" t="s">
        <v>59</v>
      </c>
      <c r="E57" s="70"/>
      <c r="G57" s="65"/>
      <c r="H57" s="65"/>
      <c r="L57" s="64"/>
      <c r="M57" s="187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96045.47</v>
      </c>
      <c r="D58" s="81" t="s">
        <v>59</v>
      </c>
      <c r="E58" s="70"/>
      <c r="G58" s="65"/>
      <c r="H58" s="65"/>
      <c r="L58" s="64"/>
      <c r="M58" s="187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7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7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86463.360000000001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160.75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91045.62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86463.360000000001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86463.360000000001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 t="str">
        <f>IF(E69&gt;0,"Предоставляется",0)</f>
        <v>Предоставляется</v>
      </c>
      <c r="D69" s="97" t="s">
        <v>55</v>
      </c>
      <c r="E69" s="96">
        <v>31773.64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2407.09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34093.360000000001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31773.64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31773.64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2022-03-31T11:56:11Z</dcterms:modified>
</cp:coreProperties>
</file>