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8" i="3"/>
  <c r="C6" i="3"/>
  <c r="G1" i="2" l="1"/>
  <c r="H64" i="2" l="1"/>
  <c r="H65" i="2" s="1"/>
  <c r="H66" i="2" s="1"/>
  <c r="H60" i="2"/>
  <c r="H61" i="2" s="1"/>
  <c r="H62" i="2" s="1"/>
  <c r="H54" i="2"/>
  <c r="H55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7" i="1"/>
  <c r="A109" i="1"/>
  <c r="A105" i="1"/>
  <c r="A110" i="1"/>
  <c r="A111" i="1"/>
  <c r="A118" i="1"/>
  <c r="A121" i="1"/>
  <c r="F110" i="1"/>
  <c r="A114" i="1"/>
  <c r="A115" i="1"/>
  <c r="F118" i="1"/>
  <c r="A123" i="1"/>
  <c r="A125" i="1"/>
  <c r="F102" i="1"/>
  <c r="D110" i="1"/>
  <c r="A112" i="1"/>
  <c r="A119" i="1"/>
  <c r="D118" i="1"/>
  <c r="A120" i="1"/>
  <c r="A12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69" i="1" l="1"/>
  <c r="H164" i="1"/>
  <c r="H166" i="1"/>
  <c r="F184" i="1"/>
  <c r="F164" i="1"/>
  <c r="F187" i="1"/>
  <c r="H168" i="1"/>
  <c r="F179" i="1"/>
  <c r="H179" i="1"/>
  <c r="H170" i="1"/>
  <c r="H187" i="1"/>
  <c r="F170" i="1"/>
  <c r="H167" i="1"/>
  <c r="H171" i="1"/>
  <c r="F171" i="1"/>
  <c r="H178" i="1"/>
  <c r="F183" i="1"/>
  <c r="H172" i="1"/>
  <c r="F168" i="1"/>
  <c r="F176" i="1"/>
  <c r="F185" i="1"/>
  <c r="F172" i="1"/>
  <c r="H183" i="1"/>
  <c r="H180" i="1"/>
  <c r="F165" i="1"/>
  <c r="F180" i="1"/>
  <c r="H184" i="1"/>
  <c r="F178" i="1"/>
  <c r="F186" i="1"/>
  <c r="H186" i="1"/>
  <c r="H169" i="1"/>
  <c r="H165" i="1"/>
  <c r="H173" i="1"/>
  <c r="F175" i="1"/>
  <c r="H177" i="1"/>
  <c r="F182" i="1"/>
  <c r="F173" i="1"/>
  <c r="H185" i="1"/>
  <c r="H176" i="1"/>
  <c r="F166" i="1"/>
  <c r="H174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<sst xmlns="http://schemas.openxmlformats.org/spreadsheetml/2006/main" count="588" uniqueCount="226">
  <si>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</si>
  <si>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</si>
  <si>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</si>
  <si>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</si>
  <si>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</si>
  <si>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</si>
  <si>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</si>
  <si>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</si>
  <si>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</si>
  <si>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</si>
  <si>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</si>
  <si>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</si>
  <si>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</si>
  <si>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</si>
  <si>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</si>
  <si>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</si>
  <si>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</si>
  <si>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</si>
  <si>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</si>
  <si>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</si>
  <si>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</si>
  <si>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</si>
  <si>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</si>
  <si>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</si>
  <si>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</si>
  <si>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</si>
  <si>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</si>
  <si>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</si>
  <si>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</si>
  <si>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</si>
  <si>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</si>
  <si>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</si>
  <si>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</si>
  <si>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</si>
  <si>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</si>
  <si>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</si>
  <si>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</si>
  <si>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</si>
  <si>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</si>
  <si>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</si>
  <si>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</si>
  <si>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</si>
  <si>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</si>
  <si>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</si>
  <si>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</si>
  <si>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</si>
  <si>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</si>
  <si>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</si>
  <si>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</si>
  <si>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</si>
  <si>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</si>
  <si>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</si>
  <si>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</si>
  <si>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</si>
  <si>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</si>
  <si>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</si>
  <si>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</si>
  <si>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</si>
  <si>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</si>
  <si>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</si>
  <si>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</si>
  <si>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</si>
  <si>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</si>
  <si>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</si>
  <si>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</si>
  <si>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</si>
  <si>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</si>
  <si>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</si>
  <si>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</si>
  <si>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</si>
  <si>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</si>
  <si>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</si>
  <si>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</si>
  <si>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</si>
  <si>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</si>
  <si>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</si>
  <si>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</si>
  <si>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</si>
  <si>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</si>
  <si>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</si>
  <si>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</si>
  <si>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</si>
  <si>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</si>
  <si>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</si>
  <si>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</si>
  <si>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</si>
  <si>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</si>
  <si>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</si>
  <si>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</si>
  <si>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</si>
  <si>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</si>
  <si>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</si>
  <si>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</si>
  <si>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</si>
  <si>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</si>
  <si>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</si>
  <si>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</si>
  <si>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</si>
  <si>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</si>
  <si>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</si>
  <si>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</si>
  <si>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</si>
  <si>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</si>
  <si>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</si>
  <si>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</si>
  <si>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</si>
  <si>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</si>
  <si>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</si>
  <si>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</si>
  <si>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</si>
  <si>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</si>
  <si>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</si>
  <si>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</si>
  <si>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</si>
  <si>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</si>
  <si>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</si>
  <si>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</si>
  <si>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</si>
  <si>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</si>
  <si>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</si>
  <si>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</si>
  <si>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</si>
  <si>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</si>
  <si>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</si>
  <si>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</si>
  <si>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</si>
  <si>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</si>
  <si>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</si>
  <si>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</si>
  <si>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</si>
  <si>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</si>
  <si>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</si>
  <si>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</si>
  <si>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</si>
  <si>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</si>
  <si>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</si>
  <si>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</si>
  <si>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</si>
  <si>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</si>
  <si>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</si>
  <si>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</si>
  <si>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</si>
  <si>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</si>
  <si>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</si>
  <si>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</si>
  <si>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</si>
  <si>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</si>
  <si>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</si>
  <si>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</si>
  <si>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</si>
  <si>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</si>
  <si>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</si>
  <si>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</si>
  <si>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</si>
  <si>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</si>
  <si>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</si>
  <si>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</si>
  <si>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</si>
  <si>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</si>
  <si>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</si>
  <si>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</si>
  <si>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</si>
  <si>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</si>
  <si>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</si>
  <si>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</si>
  <si>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</si>
  <si>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</si>
  <si>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</si>
  <si>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</si>
  <si>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</si>
  <si>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</si>
  <si>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</si>
  <si>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</si>
  <si>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</si>
  <si>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</si>
  <si>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</si>
  <si>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</si>
  <si>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28</t>
  </si>
  <si>
    <t>площадь дома</t>
  </si>
  <si>
    <t>разово</t>
  </si>
  <si>
    <t xml:space="preserve">  -  благоустройство придомовой территории</t>
  </si>
  <si>
    <t>Отчет об исполнении договора управления многоквартирного дома 
Касьянова, 28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</si>
  <si>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</si>
  <si>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</si>
  <si>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</si>
  <si>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</si>
  <si>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</si>
  <si>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</si>
  <si>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</si>
  <si>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отмостки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</si>
  <si>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</si>
  <si>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</si>
  <si>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</si>
  <si>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</si>
  <si>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</si>
  <si>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Ремонт шлагбаума.</t>
  </si>
  <si>
    <t>АВР 1/22 от 08.02.2022, Решение, счет №080222/1 от 08.02.2022</t>
  </si>
  <si>
    <t>Ремонт системы видеонаблюдения.</t>
  </si>
  <si>
    <t>Замена светильников в подъезде (2 шт.).</t>
  </si>
  <si>
    <t>АВР 3/22 от 08.02.2022, Решение</t>
  </si>
  <si>
    <t>АВР 2/22 от 08.02.2022, счет №1 от 10.01.2022</t>
  </si>
  <si>
    <t>Механизированная уборка и вывоз снега с придомовой территории.</t>
  </si>
  <si>
    <t>АВР 4/22 от 15.03.2022, счет №10 от 15.03.2022</t>
  </si>
  <si>
    <t>АВР 5/22 от 30.04.2022, счет №2004221 от 20.04.2022</t>
  </si>
  <si>
    <t>Ремонт и настройка автоматики ИТП (замена ремкомплекта для клапана).</t>
  </si>
  <si>
    <t>АВР 6/22 от 28.06.2022</t>
  </si>
  <si>
    <t>Ремонт шлагбаума (апрель).</t>
  </si>
  <si>
    <t>Проведение генеральной уборки подъездов.</t>
  </si>
  <si>
    <t>АВР 7/22 от 30.06.2022</t>
  </si>
  <si>
    <t>АВР 8/22 от 01.07.2022</t>
  </si>
  <si>
    <t>ежегодно</t>
  </si>
  <si>
    <t>АВР 9/22 от 31.07.2022, Решение, счет №69 от 12.07.2022</t>
  </si>
  <si>
    <t>АВР 10/22 от 30.08.2022, Решение, счет №6862 от 21.07.2022</t>
  </si>
  <si>
    <t>Приобретение полусфер и краски для разметки парковочных мест.</t>
  </si>
  <si>
    <t>АВР 11/22 от 09.10.2022, Решение, смета</t>
  </si>
  <si>
    <t>Ремонт линии питания шлагбаума.</t>
  </si>
  <si>
    <t>Ремонт стойки шлагбаума и регулировка концевых положений.</t>
  </si>
  <si>
    <t>Замена прожектора (торец дома).</t>
  </si>
  <si>
    <t>АВР 13/22 от 17.11.2022, счет №73 от 14.11.2022</t>
  </si>
  <si>
    <t>АВР 12/22 от 18.11.2022, Решение</t>
  </si>
  <si>
    <t>Замена прожектора на торце дома №24.</t>
  </si>
  <si>
    <t>АВР 14/22 от 24.11.2022</t>
  </si>
  <si>
    <t>АВР 15/22 от 10.10.2022, Решение, счет №4815 от 09.09.2022, №458 от 13.09.2022</t>
  </si>
  <si>
    <t xml:space="preserve">  -  замена тамбурной двери</t>
  </si>
  <si>
    <t>Замена регистратора, коммутатора и роутера системы видеонаблюдения.</t>
  </si>
  <si>
    <t>Приобретение и замена обратного клапана в ИТП.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</si>
</sst>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95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18" fillId="0" borderId="0" xfId="5" applyNumberFormat="1" applyFill="1" applyBorder="1" applyAlignment="1">
      <alignment vertical="center"/>
    </xf>
    <xf numFmtId="0" fontId="0" fillId="0" borderId="0" xfId="0" applyFill="1"/>
    <xf numFmtId="0" fontId="18" fillId="0" borderId="0" xfId="5" applyNumberFormat="1" applyFill="1" applyBorder="1" applyAlignment="1">
      <alignment horizontal="center"/>
    </xf>
    <xf numFmtId="0" fontId="17" fillId="0" borderId="0" xfId="6" applyFill="1" applyBorder="1" applyAlignment="1">
      <alignment horizontal="center" vertical="center"/>
    </xf>
    <xf numFmtId="4" fontId="17" fillId="0" borderId="0" xfId="6" applyNumberFormat="1" applyFill="1" applyBorder="1" applyAlignment="1"/>
    <xf numFmtId="0" fontId="16" fillId="0" borderId="0" xfId="10" applyNumberFormat="1" applyFill="1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Border="1" applyAlignment="1">
      <alignment horizontal="center"/>
    </xf>
    <xf numFmtId="4" fontId="34" fillId="3" borderId="0" xfId="1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8" fillId="0" borderId="0" xfId="5" applyFill="1" applyBorder="1" applyAlignment="1">
      <alignment horizontal="center"/>
    </xf>
    <xf numFmtId="4" fontId="18" fillId="0" borderId="0" xfId="5" applyNumberFormat="1" applyFill="1" applyBorder="1" applyAlignment="1"/>
    <xf numFmtId="0" fontId="13" fillId="0" borderId="0" xfId="6" applyFont="1" applyFill="1" applyBorder="1" applyAlignment="1"/>
    <xf numFmtId="0" fontId="13" fillId="0" borderId="0" xfId="6" applyFont="1" applyFill="1" applyBorder="1" applyAlignment="1">
      <alignment horizontal="center"/>
    </xf>
    <xf numFmtId="0" fontId="12" fillId="0" borderId="0" xfId="10" applyFont="1" applyFill="1" applyBorder="1" applyAlignment="1"/>
    <xf numFmtId="0" fontId="12" fillId="0" borderId="0" xfId="10" applyFont="1" applyFill="1" applyBorder="1" applyAlignment="1">
      <alignment horizontal="center"/>
    </xf>
    <xf numFmtId="4" fontId="16" fillId="0" borderId="0" xfId="10" applyNumberFormat="1" applyFill="1" applyBorder="1" applyAlignment="1"/>
    <xf numFmtId="0" fontId="11" fillId="0" borderId="0" xfId="10" applyFont="1" applyFill="1" applyBorder="1" applyAlignment="1">
      <alignment horizontal="center"/>
    </xf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9" fillId="0" borderId="0" xfId="10" applyFont="1" applyFill="1" applyBorder="1" applyAlignment="1"/>
    <xf numFmtId="0" fontId="8" fillId="0" borderId="0" xfId="10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7" fillId="0" borderId="0" xfId="6" applyFill="1" applyBorder="1" applyAlignment="1"/>
    <xf numFmtId="0" fontId="17" fillId="0" borderId="0" xfId="6" applyFill="1" applyBorder="1" applyAlignment="1">
      <alignment horizontal="center"/>
    </xf>
    <xf numFmtId="4" fontId="17" fillId="0" borderId="0" xfId="6" applyNumberFormat="1" applyFill="1" applyBorder="1" applyAlignment="1">
      <alignment vertical="center"/>
    </xf>
    <xf numFmtId="0" fontId="7" fillId="0" borderId="0" xfId="6" applyFont="1" applyFill="1" applyBorder="1" applyAlignment="1">
      <alignment horizontal="center"/>
    </xf>
    <xf numFmtId="4" fontId="0" fillId="0" borderId="0" xfId="0" applyNumberFormat="1" applyFill="1" applyBorder="1"/>
    <xf numFmtId="4" fontId="0" fillId="0" borderId="0" xfId="0" applyNumberFormat="1" applyBorder="1"/>
    <xf numFmtId="0" fontId="5" fillId="0" borderId="0" xfId="10" applyFont="1" applyFill="1" applyBorder="1" applyAlignment="1"/>
    <xf numFmtId="0" fontId="3" fillId="0" borderId="0" xfId="2" applyFont="1" applyFill="1" applyBorder="1" applyAlignment="1"/>
    <xf numFmtId="0" fontId="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2" fillId="0" borderId="0" xfId="38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6" fillId="0" borderId="0" xfId="2" applyFont="1" applyFill="1" applyBorder="1" applyAlignment="1"/>
    <xf numFmtId="4" fontId="25" fillId="0" borderId="0" xfId="0" applyNumberFormat="1" applyFont="1"/>
    <xf numFmtId="0" fontId="1" fillId="0" borderId="0" xfId="10" applyFont="1" applyFill="1" applyBorder="1" applyAlignment="1"/>
    <xf numFmtId="0" fontId="1" fillId="0" borderId="0" xfId="2" applyFont="1" applyFill="1" applyBorder="1" applyAlignment="1"/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46">
    <cellStyle name="Обычный" xfId="0" builtinId="0"/>
    <cellStyle name="Обычный 2" xfId="1"/>
    <cellStyle name="Обычный 2 2" xfId="3"/>
    <cellStyle name="Обычный 2 3" xfId="7"/>
    <cellStyle name="Обычный 2 3 2" xfId="21"/>
    <cellStyle name="Обычный 2 3 3" xfId="35"/>
    <cellStyle name="Обычный 2 4" xfId="12"/>
    <cellStyle name="Обычный 2 4 2" xfId="26"/>
    <cellStyle name="Обычный 2 4 3" xfId="40"/>
    <cellStyle name="Обычный 2 5" xfId="17"/>
    <cellStyle name="Обычный 2 5 2" xfId="45"/>
    <cellStyle name="Обычный 2 6" xfId="31"/>
    <cellStyle name="Обычный 3" xfId="2"/>
    <cellStyle name="Обычный 3 2" xfId="8"/>
    <cellStyle name="Обычный 3 2 2" xfId="22"/>
    <cellStyle name="Обычный 3 2 3" xfId="36"/>
    <cellStyle name="Обычный 3 3" xfId="13"/>
    <cellStyle name="Обычный 3 3 2" xfId="27"/>
    <cellStyle name="Обычный 3 3 3" xfId="41"/>
    <cellStyle name="Обычный 3 4" xfId="18"/>
    <cellStyle name="Обычный 3 5" xfId="32"/>
    <cellStyle name="Обычный 4" xfId="4"/>
    <cellStyle name="Обычный 4 2" xfId="9"/>
    <cellStyle name="Обычный 4 2 2" xfId="23"/>
    <cellStyle name="Обычный 4 2 3" xfId="37"/>
    <cellStyle name="Обычный 4 3" xfId="14"/>
    <cellStyle name="Обычный 4 3 2" xfId="28"/>
    <cellStyle name="Обычный 4 3 3" xfId="42"/>
    <cellStyle name="Обычный 4 4" xfId="19"/>
    <cellStyle name="Обычный 4 5" xfId="33"/>
    <cellStyle name="Обычный 5" xfId="5"/>
    <cellStyle name="Обычный 5 2" xfId="10"/>
    <cellStyle name="Обычный 5 2 2" xfId="24"/>
    <cellStyle name="Обычный 5 2 3" xfId="38"/>
    <cellStyle name="Обычный 5 3" xfId="15"/>
    <cellStyle name="Обычный 5 3 2" xfId="29"/>
    <cellStyle name="Обычный 5 3 3" xfId="43"/>
    <cellStyle name="Обычный 5 4" xfId="20"/>
    <cellStyle name="Обычный 5 5" xfId="34"/>
    <cellStyle name="Обычный 6" xfId="6"/>
    <cellStyle name="Обычный 6 2" xfId="11"/>
    <cellStyle name="Обычный 6 2 2" xfId="30"/>
    <cellStyle name="Обычный 6 2 3" xfId="44"/>
    <cellStyle name="Обычный 6 3" xfId="16"/>
    <cellStyle name="Обычный 6 4" xfId="25"/>
    <cellStyle name="Обычный 6 5" xfId="3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5" sqref="K2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1" t="s">
        <v>177</v>
      </c>
      <c r="B2" s="181"/>
      <c r="C2" s="181"/>
      <c r="D2" s="181"/>
      <c r="E2" s="181"/>
      <c r="F2" s="181"/>
      <c r="G2" s="181"/>
      <c r="H2" s="181"/>
      <c r="I2" s="181"/>
      <c r="J2" s="18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18948.599999999977</v>
      </c>
      <c r="K8" s="109"/>
      <c r="L8" s="182"/>
      <c r="M8" s="109"/>
      <c r="N8" s="109"/>
      <c r="O8" s="70" t="s">
        <v>83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9"/>
      <c r="L9" s="182"/>
      <c r="M9" s="109"/>
      <c r="N9" s="109"/>
      <c r="O9" s="70" t="s">
        <v>84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0</v>
      </c>
      <c r="K10" s="109"/>
      <c r="L10" s="182"/>
      <c r="M10" s="109"/>
      <c r="N10" s="109"/>
      <c r="O10" s="70" t="s">
        <v>85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577292.22</v>
      </c>
      <c r="K11" s="109"/>
      <c r="L11" s="182"/>
      <c r="M11" s="109"/>
      <c r="N11" s="109"/>
      <c r="O11" s="70" t="s">
        <v>86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334894.92</v>
      </c>
      <c r="K12" s="109"/>
      <c r="L12" s="182"/>
      <c r="M12" s="109"/>
      <c r="N12" s="109"/>
      <c r="O12" s="70" t="s">
        <v>87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117183.47999999998</v>
      </c>
      <c r="K13" s="109"/>
      <c r="L13" s="182"/>
      <c r="M13" s="109"/>
      <c r="N13" s="109"/>
      <c r="O13" s="70" t="s">
        <v>88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125213.81999999999</v>
      </c>
      <c r="K14" s="109"/>
      <c r="L14" s="182"/>
      <c r="M14" s="109"/>
      <c r="N14" s="109"/>
      <c r="O14" s="70" t="s">
        <v>89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557441.73</v>
      </c>
      <c r="K15" s="109"/>
      <c r="L15" s="182"/>
      <c r="M15" s="109"/>
      <c r="N15" s="109"/>
      <c r="O15" s="70" t="s">
        <v>90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557441.73</v>
      </c>
      <c r="K16" s="109"/>
      <c r="L16" s="182"/>
      <c r="M16" s="109"/>
      <c r="N16" s="109"/>
      <c r="O16" s="70" t="s">
        <v>91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9"/>
      <c r="L17" s="182"/>
      <c r="M17" s="109"/>
      <c r="N17" s="109"/>
      <c r="O17" s="70" t="s">
        <v>92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9"/>
      <c r="L18" s="182"/>
      <c r="M18" s="109"/>
      <c r="N18" s="109"/>
      <c r="O18" s="70" t="s">
        <v>93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9"/>
      <c r="L19" s="182"/>
      <c r="M19" s="109"/>
      <c r="N19" s="109"/>
      <c r="O19" s="70" t="s">
        <v>94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9"/>
      <c r="L20" s="182"/>
      <c r="M20" s="109"/>
      <c r="N20" s="109"/>
      <c r="O20" s="70" t="s">
        <v>95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557441.73</v>
      </c>
      <c r="K21" s="109"/>
      <c r="L21" s="182"/>
      <c r="M21" s="109"/>
      <c r="N21" s="109"/>
      <c r="O21" s="70" t="s">
        <v>96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9"/>
      <c r="L22" s="182"/>
      <c r="M22" s="109"/>
      <c r="N22" s="109"/>
      <c r="O22" s="70" t="s">
        <v>97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9"/>
      <c r="L23" s="182"/>
      <c r="M23" s="109"/>
      <c r="N23" s="109"/>
      <c r="O23" s="70" t="s">
        <v>98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901.89000000001397</v>
      </c>
      <c r="K24" s="109"/>
      <c r="L24" s="182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57</v>
      </c>
      <c r="I27" s="174" t="s">
        <v>21</v>
      </c>
      <c r="J27" s="174"/>
      <c r="K27" s="109"/>
      <c r="L27" s="18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71">
        <f>VLOOKUP(A28,ПТО!$A$39:$D$53,2,FALSE)</f>
        <v>80885.16</v>
      </c>
      <c r="G28" s="171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9"/>
      <c r="L28" s="18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6">
        <f>ПТО!A40</f>
        <v>0</v>
      </c>
      <c r="B29" s="166"/>
      <c r="C29" s="166"/>
      <c r="D29" s="166"/>
      <c r="E29" s="166"/>
      <c r="F29" s="171" t="e">
        <f>VLOOKUP(A29,ПТО!$A$39:$D$53,2,FALSE)</f>
        <v>#N/A</v>
      </c>
      <c r="G29" s="171"/>
      <c r="H29" s="42" t="e">
        <f>VLOOKUP(A29,ПТО!$A$39:$D$53,3,FALSE)</f>
        <v>#N/A</v>
      </c>
      <c r="I29" s="167" t="e">
        <f>VLOOKUP(A29,ПТО!$A$39:$D$53,4,FALSE)</f>
        <v>#N/A</v>
      </c>
      <c r="J29" s="167"/>
      <c r="K29" s="109"/>
      <c r="L29" s="183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6"/>
      <c r="C30" s="166"/>
      <c r="D30" s="166"/>
      <c r="E30" s="166"/>
      <c r="F30" s="171">
        <f>VLOOKUP(A30,ПТО!$A$39:$D$53,2,FALSE)</f>
        <v>73153.56</v>
      </c>
      <c r="G30" s="171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9"/>
      <c r="L30" s="18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71">
        <f>VLOOKUP(A31,ПТО!$A$39:$D$53,2,FALSE)</f>
        <v>34197.839999999997</v>
      </c>
      <c r="G31" s="171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9"/>
      <c r="L31" s="18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71" t="e">
        <f>VLOOKUP(A32,ПТО!$A$39:$D$53,2,FALSE)</f>
        <v>#N/A</v>
      </c>
      <c r="G32" s="171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9"/>
      <c r="L32" s="18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71">
        <f>VLOOKUP(A33,ПТО!$A$39:$D$53,2,FALSE)</f>
        <v>24384.48</v>
      </c>
      <c r="G33" s="171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9"/>
      <c r="L33" s="18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71">
        <f>VLOOKUP(A34,ПТО!$A$39:$D$53,2,FALSE)</f>
        <v>64827.12</v>
      </c>
      <c r="G34" s="171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9"/>
      <c r="L34" s="18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6" t="str">
        <f>ПТО!A46</f>
        <v>Работы по содержанию лифта (лифтов)</v>
      </c>
      <c r="B35" s="166"/>
      <c r="C35" s="166"/>
      <c r="D35" s="166"/>
      <c r="E35" s="166"/>
      <c r="F35" s="171">
        <f>VLOOKUP(A35,ПТО!$A$39:$D$53,2,FALSE)</f>
        <v>57392.759999999995</v>
      </c>
      <c r="G35" s="171"/>
      <c r="H35" s="42" t="str">
        <f>VLOOKUP(A35,ПТО!$A$39:$D$53,3,FALSE)</f>
        <v>Ежемесячно</v>
      </c>
      <c r="I35" s="167">
        <f>VLOOKUP(A35,ПТО!$A$39:$D$53,4,FALSE)</f>
        <v>12</v>
      </c>
      <c r="J35" s="167"/>
      <c r="K35" s="109"/>
      <c r="L35" s="183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6">
        <f>ПТО!A47</f>
        <v>0</v>
      </c>
      <c r="B36" s="166"/>
      <c r="C36" s="166"/>
      <c r="D36" s="166"/>
      <c r="E36" s="166"/>
      <c r="F36" s="171" t="e">
        <f>VLOOKUP(A36,ПТО!$A$39:$D$53,2,FALSE)</f>
        <v>#N/A</v>
      </c>
      <c r="G36" s="171"/>
      <c r="H36" s="42" t="e">
        <f>VLOOKUP(A36,ПТО!$A$39:$D$53,3,FALSE)</f>
        <v>#N/A</v>
      </c>
      <c r="I36" s="167" t="e">
        <f>VLOOKUP(A36,ПТО!$A$39:$D$53,4,FALSE)</f>
        <v>#N/A</v>
      </c>
      <c r="J36" s="167"/>
      <c r="K36" s="109"/>
      <c r="L36" s="18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6">
        <f>ПТО!A48</f>
        <v>0</v>
      </c>
      <c r="B37" s="166"/>
      <c r="C37" s="166"/>
      <c r="D37" s="166"/>
      <c r="E37" s="166"/>
      <c r="F37" s="171" t="e">
        <f>VLOOKUP(A37,ПТО!$A$39:$D$53,2,FALSE)</f>
        <v>#N/A</v>
      </c>
      <c r="G37" s="171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9"/>
      <c r="L37" s="18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71" t="e">
        <f>VLOOKUP(A38,ПТО!$A$39:$D$53,2,FALSE)</f>
        <v>#N/A</v>
      </c>
      <c r="G38" s="171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9"/>
      <c r="L38" s="18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71" t="e">
        <f>VLOOKUP(A39,ПТО!$A$39:$D$53,2,FALSE)</f>
        <v>#N/A</v>
      </c>
      <c r="G39" s="171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9"/>
      <c r="L39" s="18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71" t="e">
        <f>VLOOKUP(A40,ПТО!$A$39:$D$53,2,FALSE)</f>
        <v>#N/A</v>
      </c>
      <c r="G40" s="171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9"/>
      <c r="L40" s="18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71" t="e">
        <f>VLOOKUP(A41,ПТО!$A$39:$D$53,2,FALSE)</f>
        <v>#N/A</v>
      </c>
      <c r="G41" s="171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9"/>
      <c r="L41" s="18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71" t="e">
        <f>VLOOKUP(A42,ПТО!$A$39:$D$53,2,FALSE)</f>
        <v>#N/A</v>
      </c>
      <c r="G42" s="171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9"/>
      <c r="L42" s="18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6" t="str">
        <f>ПТО!A2</f>
        <v>Техническое освидетельствование лифта.</v>
      </c>
      <c r="B43" s="166"/>
      <c r="C43" s="166"/>
      <c r="D43" s="166"/>
      <c r="E43" s="166"/>
      <c r="F43" s="171">
        <f>VLOOKUP(A43,ПТО!$A$2:$D$31,4,FALSE)</f>
        <v>8100</v>
      </c>
      <c r="G43" s="171"/>
      <c r="H43" s="19" t="str">
        <f>VLOOKUP(A43,ПТО!$A$2:$D$31,2,FALSE)</f>
        <v>ежегодно</v>
      </c>
      <c r="I43" s="167">
        <f>VLOOKUP(A43,ПТО!$A$2:$D$31,3,FALSE)</f>
        <v>1</v>
      </c>
      <c r="J43" s="167"/>
      <c r="K43" s="109"/>
      <c r="L43" s="183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6" t="str">
        <f>ПТО!A3</f>
        <v>Ремонт шлагбаума.</v>
      </c>
      <c r="B44" s="166"/>
      <c r="C44" s="166"/>
      <c r="D44" s="166"/>
      <c r="E44" s="166"/>
      <c r="F44" s="171">
        <f>VLOOKUP(A44,ПТО!$A$2:$D$31,4,FALSE)</f>
        <v>780</v>
      </c>
      <c r="G44" s="171"/>
      <c r="H44" s="25" t="str">
        <f>VLOOKUP(A44,ПТО!$A$2:$D$31,2,FALSE)</f>
        <v>разово</v>
      </c>
      <c r="I44" s="167">
        <f>VLOOKUP(A44,ПТО!$A$2:$D$31,3,FALSE)</f>
        <v>1</v>
      </c>
      <c r="J44" s="167"/>
      <c r="K44" s="109"/>
      <c r="L44" s="183"/>
      <c r="M44" s="115"/>
      <c r="N44" s="109"/>
      <c r="O44" s="23" t="str">
        <f t="shared" si="1"/>
        <v>Ремонт шлагбаума.</v>
      </c>
      <c r="R44" s="22" t="s">
        <v>72</v>
      </c>
    </row>
    <row r="45" spans="1:18" ht="51" customHeight="1" outlineLevel="1">
      <c r="A45" s="166" t="str">
        <f>ПТО!A4</f>
        <v>Ремонт системы видеонаблюдения.</v>
      </c>
      <c r="B45" s="166"/>
      <c r="C45" s="166"/>
      <c r="D45" s="166"/>
      <c r="E45" s="166"/>
      <c r="F45" s="171">
        <f>VLOOKUP(A45,ПТО!$A$2:$D$31,4,FALSE)</f>
        <v>544</v>
      </c>
      <c r="G45" s="171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9"/>
      <c r="L45" s="183"/>
      <c r="M45" s="115"/>
      <c r="N45" s="109"/>
      <c r="O45" s="23" t="str">
        <f t="shared" si="1"/>
        <v>Ремонт системы видеонаблюдения.</v>
      </c>
      <c r="R45" s="22" t="s">
        <v>72</v>
      </c>
    </row>
    <row r="46" spans="1:18" ht="51" customHeight="1" outlineLevel="1">
      <c r="A46" s="166" t="str">
        <f>ПТО!A5</f>
        <v>Замена светильников в подъезде (2 шт.).</v>
      </c>
      <c r="B46" s="166"/>
      <c r="C46" s="166"/>
      <c r="D46" s="166"/>
      <c r="E46" s="166"/>
      <c r="F46" s="171">
        <f>VLOOKUP(A46,ПТО!$A$2:$D$31,4,FALSE)</f>
        <v>1800</v>
      </c>
      <c r="G46" s="171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9"/>
      <c r="L46" s="183"/>
      <c r="M46" s="115"/>
      <c r="N46" s="109"/>
      <c r="O46" s="23" t="str">
        <f t="shared" si="1"/>
        <v>Замена светильников в подъезде (2 шт.).</v>
      </c>
      <c r="R46" s="22" t="s">
        <v>72</v>
      </c>
    </row>
    <row r="47" spans="1:18" ht="51" customHeight="1" outlineLevel="1">
      <c r="A47" s="166" t="str">
        <f>ПТО!A6</f>
        <v>Механизированная уборка и вывоз снега с придомовой территории.</v>
      </c>
      <c r="B47" s="166"/>
      <c r="C47" s="166"/>
      <c r="D47" s="166"/>
      <c r="E47" s="166"/>
      <c r="F47" s="171">
        <f>VLOOKUP(A47,ПТО!$A$2:$D$31,4,FALSE)</f>
        <v>7916</v>
      </c>
      <c r="G47" s="171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9"/>
      <c r="L47" s="183"/>
      <c r="M47" s="115"/>
      <c r="N47" s="109"/>
      <c r="O47" s="23" t="str">
        <f t="shared" si="1"/>
        <v>Механизированная уборка и вывоз снега с придомовой территории.</v>
      </c>
      <c r="R47" s="22" t="s">
        <v>72</v>
      </c>
    </row>
    <row r="48" spans="1:18" ht="51" customHeight="1" outlineLevel="1">
      <c r="A48" s="166" t="str">
        <f>ПТО!A7</f>
        <v>Ремонт шлагбаума (апрель).</v>
      </c>
      <c r="B48" s="166"/>
      <c r="C48" s="166"/>
      <c r="D48" s="166"/>
      <c r="E48" s="166"/>
      <c r="F48" s="171">
        <f>VLOOKUP(A48,ПТО!$A$2:$D$31,4,FALSE)</f>
        <v>1063</v>
      </c>
      <c r="G48" s="171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9"/>
      <c r="L48" s="183"/>
      <c r="M48" s="115"/>
      <c r="N48" s="109"/>
      <c r="O48" s="23" t="str">
        <f t="shared" si="1"/>
        <v>Ремонт шлагбаума (апрель).</v>
      </c>
      <c r="R48" s="22" t="s">
        <v>72</v>
      </c>
    </row>
    <row r="49" spans="1:18" ht="51" customHeight="1" outlineLevel="1">
      <c r="A49" s="166" t="str">
        <f>ПТО!A8</f>
        <v>Ремонт и настройка автоматики ИТП (замена ремкомплекта для клапана).</v>
      </c>
      <c r="B49" s="166"/>
      <c r="C49" s="166"/>
      <c r="D49" s="166"/>
      <c r="E49" s="166"/>
      <c r="F49" s="171">
        <f>VLOOKUP(A49,ПТО!$A$2:$D$31,4,FALSE)</f>
        <v>4980</v>
      </c>
      <c r="G49" s="171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9"/>
      <c r="L49" s="183"/>
      <c r="M49" s="115"/>
      <c r="N49" s="109"/>
      <c r="O49" s="23" t="str">
        <f t="shared" si="1"/>
        <v>Ремонт и настройка автоматики ИТП (замена ремкомплекта для клапана).</v>
      </c>
      <c r="R49" s="22" t="s">
        <v>72</v>
      </c>
    </row>
    <row r="50" spans="1:18" ht="51" customHeight="1" outlineLevel="1">
      <c r="A50" s="166" t="str">
        <f>ПТО!A9</f>
        <v>Проведение генеральной уборки подъездов.</v>
      </c>
      <c r="B50" s="166"/>
      <c r="C50" s="166"/>
      <c r="D50" s="166"/>
      <c r="E50" s="166"/>
      <c r="F50" s="171">
        <f>VLOOKUP(A50,ПТО!$A$2:$D$31,4,FALSE)</f>
        <v>1500</v>
      </c>
      <c r="G50" s="171"/>
      <c r="H50" s="25" t="str">
        <f>VLOOKUP(A50,ПТО!$A$2:$D$31,2,FALSE)</f>
        <v>разово</v>
      </c>
      <c r="I50" s="167">
        <f>VLOOKUP(A50,ПТО!$A$2:$D$31,3,FALSE)</f>
        <v>1</v>
      </c>
      <c r="J50" s="167"/>
      <c r="K50" s="109"/>
      <c r="L50" s="183"/>
      <c r="M50" s="115"/>
      <c r="N50" s="109"/>
      <c r="O50" s="23" t="str">
        <f t="shared" si="1"/>
        <v>Проведение генеральной уборки подъездов.</v>
      </c>
      <c r="R50" s="22" t="s">
        <v>72</v>
      </c>
    </row>
    <row r="51" spans="1:18" ht="51" customHeight="1" outlineLevel="1">
      <c r="A51" s="166" t="str">
        <f>ПТО!A10</f>
        <v>Замена регистратора, коммутатора и роутера системы видеонаблюдения.</v>
      </c>
      <c r="B51" s="166"/>
      <c r="C51" s="166"/>
      <c r="D51" s="166"/>
      <c r="E51" s="166"/>
      <c r="F51" s="171">
        <f>VLOOKUP(A51,ПТО!$A$2:$D$31,4,FALSE)</f>
        <v>4081.44</v>
      </c>
      <c r="G51" s="171"/>
      <c r="H51" s="25" t="str">
        <f>VLOOKUP(A51,ПТО!$A$2:$D$31,2,FALSE)</f>
        <v>разово</v>
      </c>
      <c r="I51" s="167">
        <f>VLOOKUP(A51,ПТО!$A$2:$D$31,3,FALSE)</f>
        <v>1</v>
      </c>
      <c r="J51" s="167"/>
      <c r="K51" s="109"/>
      <c r="L51" s="183"/>
      <c r="M51" s="115"/>
      <c r="N51" s="109"/>
      <c r="O51" s="23" t="str">
        <f t="shared" si="1"/>
        <v>Замена регистратора, коммутатора и роутера системы видеонаблюдения.</v>
      </c>
      <c r="R51" s="22" t="s">
        <v>72</v>
      </c>
    </row>
    <row r="52" spans="1:18" ht="51" customHeight="1" outlineLevel="1">
      <c r="A52" s="166" t="str">
        <f>ПТО!A11</f>
        <v>Приобретение и замена обратного клапана в ИТП.</v>
      </c>
      <c r="B52" s="166"/>
      <c r="C52" s="166"/>
      <c r="D52" s="166"/>
      <c r="E52" s="166"/>
      <c r="F52" s="171">
        <f>VLOOKUP(A52,ПТО!$A$2:$D$31,4,FALSE)</f>
        <v>1969.79</v>
      </c>
      <c r="G52" s="171"/>
      <c r="H52" s="25" t="str">
        <f>VLOOKUP(A52,ПТО!$A$2:$D$31,2,FALSE)</f>
        <v>разово</v>
      </c>
      <c r="I52" s="167">
        <f>VLOOKUP(A52,ПТО!$A$2:$D$31,3,FALSE)</f>
        <v>1</v>
      </c>
      <c r="J52" s="167"/>
      <c r="K52" s="109"/>
      <c r="L52" s="183"/>
      <c r="M52" s="115"/>
      <c r="N52" s="109"/>
      <c r="O52" s="23" t="str">
        <f t="shared" si="1"/>
        <v>Приобретение и замена обратного клапана в ИТП.</v>
      </c>
      <c r="R52" s="22" t="s">
        <v>72</v>
      </c>
    </row>
    <row r="53" spans="1:18" ht="51" customHeight="1" outlineLevel="1">
      <c r="A53" s="166" t="str">
        <f>ПТО!A12</f>
        <v>Ремонт линии питания шлагбаума.</v>
      </c>
      <c r="B53" s="166"/>
      <c r="C53" s="166"/>
      <c r="D53" s="166"/>
      <c r="E53" s="166"/>
      <c r="F53" s="171">
        <f>VLOOKUP(A53,ПТО!$A$2:$D$31,4,FALSE)</f>
        <v>2751</v>
      </c>
      <c r="G53" s="171"/>
      <c r="H53" s="25" t="str">
        <f>VLOOKUP(A53,ПТО!$A$2:$D$31,2,FALSE)</f>
        <v>разово</v>
      </c>
      <c r="I53" s="167">
        <f>VLOOKUP(A53,ПТО!$A$2:$D$31,3,FALSE)</f>
        <v>1</v>
      </c>
      <c r="J53" s="167"/>
      <c r="K53" s="109"/>
      <c r="L53" s="183"/>
      <c r="M53" s="115"/>
      <c r="N53" s="109"/>
      <c r="O53" s="23" t="str">
        <f t="shared" si="1"/>
        <v>Ремонт линии питания шлагбаума.</v>
      </c>
      <c r="R53" s="22" t="s">
        <v>72</v>
      </c>
    </row>
    <row r="54" spans="1:18" ht="51" customHeight="1" outlineLevel="1">
      <c r="A54" s="166" t="str">
        <f>ПТО!A13</f>
        <v>Замена прожектора (торец дома).</v>
      </c>
      <c r="B54" s="166"/>
      <c r="C54" s="166"/>
      <c r="D54" s="166"/>
      <c r="E54" s="166"/>
      <c r="F54" s="171">
        <f>VLOOKUP(A54,ПТО!$A$2:$D$31,4,FALSE)</f>
        <v>2000</v>
      </c>
      <c r="G54" s="171"/>
      <c r="H54" s="25" t="str">
        <f>VLOOKUP(A54,ПТО!$A$2:$D$31,2,FALSE)</f>
        <v>разово</v>
      </c>
      <c r="I54" s="167">
        <f>VLOOKUP(A54,ПТО!$A$2:$D$31,3,FALSE)</f>
        <v>1</v>
      </c>
      <c r="J54" s="167"/>
      <c r="K54" s="109"/>
      <c r="L54" s="183"/>
      <c r="M54" s="115"/>
      <c r="N54" s="109"/>
      <c r="O54" s="23" t="str">
        <f t="shared" si="1"/>
        <v>Замена прожектора (торец дома).</v>
      </c>
      <c r="R54" s="22" t="s">
        <v>72</v>
      </c>
    </row>
    <row r="55" spans="1:18" ht="51" customHeight="1" outlineLevel="1">
      <c r="A55" s="166" t="str">
        <f>ПТО!A14</f>
        <v>Ремонт стойки шлагбаума и регулировка концевых положений.</v>
      </c>
      <c r="B55" s="166"/>
      <c r="C55" s="166"/>
      <c r="D55" s="166"/>
      <c r="E55" s="166"/>
      <c r="F55" s="171">
        <f>VLOOKUP(A55,ПТО!$A$2:$D$31,4,FALSE)</f>
        <v>858</v>
      </c>
      <c r="G55" s="171"/>
      <c r="H55" s="25" t="str">
        <f>VLOOKUP(A55,ПТО!$A$2:$D$31,2,FALSE)</f>
        <v>разово</v>
      </c>
      <c r="I55" s="167">
        <f>VLOOKUP(A55,ПТО!$A$2:$D$31,3,FALSE)</f>
        <v>1</v>
      </c>
      <c r="J55" s="167"/>
      <c r="K55" s="109"/>
      <c r="L55" s="183"/>
      <c r="M55" s="115"/>
      <c r="N55" s="109"/>
      <c r="O55" s="23" t="str">
        <f t="shared" si="1"/>
        <v>Ремонт стойки шлагбаума и регулировка концевых положений.</v>
      </c>
      <c r="R55" s="22" t="s">
        <v>72</v>
      </c>
    </row>
    <row r="56" spans="1:18" ht="51" customHeight="1" outlineLevel="1">
      <c r="A56" s="166" t="str">
        <f>ПТО!A15</f>
        <v>Замена прожектора на торце дома №24.</v>
      </c>
      <c r="B56" s="166"/>
      <c r="C56" s="166"/>
      <c r="D56" s="166"/>
      <c r="E56" s="166"/>
      <c r="F56" s="171">
        <f>VLOOKUP(A56,ПТО!$A$2:$D$31,4,FALSE)</f>
        <v>890</v>
      </c>
      <c r="G56" s="171"/>
      <c r="H56" s="25" t="str">
        <f>VLOOKUP(A56,ПТО!$A$2:$D$31,2,FALSE)</f>
        <v>разово</v>
      </c>
      <c r="I56" s="167">
        <f>VLOOKUP(A56,ПТО!$A$2:$D$31,3,FALSE)</f>
        <v>1</v>
      </c>
      <c r="J56" s="167"/>
      <c r="K56" s="109"/>
      <c r="L56" s="183"/>
      <c r="M56" s="115"/>
      <c r="N56" s="109"/>
      <c r="O56" s="23" t="str">
        <f t="shared" si="1"/>
        <v>Замена прожектора на торце дома №24.</v>
      </c>
      <c r="R56" s="22" t="s">
        <v>72</v>
      </c>
    </row>
    <row r="57" spans="1:18" ht="51" customHeight="1" outlineLevel="1">
      <c r="A57" s="166" t="str">
        <f>ПТО!A16</f>
        <v>Приобретение полусфер и краски для разметки парковочных мест.</v>
      </c>
      <c r="B57" s="166"/>
      <c r="C57" s="166"/>
      <c r="D57" s="166"/>
      <c r="E57" s="166"/>
      <c r="F57" s="171">
        <f>VLOOKUP(A57,ПТО!$A$2:$D$31,4,FALSE)</f>
        <v>3122.5</v>
      </c>
      <c r="G57" s="171"/>
      <c r="H57" s="25" t="str">
        <f>VLOOKUP(A57,ПТО!$A$2:$D$31,2,FALSE)</f>
        <v>разово</v>
      </c>
      <c r="I57" s="167">
        <f>VLOOKUP(A57,ПТО!$A$2:$D$31,3,FALSE)</f>
        <v>1</v>
      </c>
      <c r="J57" s="167"/>
      <c r="K57" s="109"/>
      <c r="L57" s="183"/>
      <c r="M57" s="115"/>
      <c r="N57" s="109"/>
      <c r="O57" s="23" t="str">
        <f t="shared" si="1"/>
        <v>Приобретение полусфер и краски для разметки парковочных мест.</v>
      </c>
      <c r="R57" s="22" t="s">
        <v>72</v>
      </c>
    </row>
    <row r="58" spans="1:18" ht="51" hidden="1" customHeight="1" outlineLevel="1">
      <c r="A58" s="166">
        <f>ПТО!A17</f>
        <v>0</v>
      </c>
      <c r="B58" s="166"/>
      <c r="C58" s="166"/>
      <c r="D58" s="166"/>
      <c r="E58" s="166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9"/>
      <c r="L58" s="18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9"/>
      <c r="L59" s="18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9"/>
      <c r="L60" s="18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9"/>
      <c r="L61" s="18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9"/>
      <c r="L62" s="18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9"/>
      <c r="L63" s="18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9"/>
      <c r="L64" s="18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9"/>
      <c r="L65" s="18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9"/>
      <c r="L66" s="18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9"/>
      <c r="L67" s="18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9"/>
      <c r="L68" s="18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9"/>
      <c r="L69" s="18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9"/>
      <c r="L70" s="18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5"/>
      <c r="L71" s="18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9"/>
      <c r="L72" s="18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4" t="s">
        <v>27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9"/>
      <c r="L75" s="186"/>
      <c r="M75" s="109"/>
      <c r="N75" s="109"/>
      <c r="O75" s="70" t="s">
        <v>100</v>
      </c>
    </row>
    <row r="76" spans="1:16384" ht="18.75" customHeight="1" outlineLevel="1">
      <c r="A76" s="184" t="s">
        <v>28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9"/>
      <c r="L76" s="186"/>
      <c r="M76" s="109"/>
      <c r="N76" s="109"/>
      <c r="O76" s="70" t="s">
        <v>101</v>
      </c>
    </row>
    <row r="77" spans="1:16384" ht="21.75" customHeight="1" outlineLevel="1">
      <c r="A77" s="184" t="s">
        <v>29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9"/>
      <c r="L77" s="186"/>
      <c r="M77" s="109"/>
      <c r="N77" s="109"/>
      <c r="O77" s="70" t="s">
        <v>102</v>
      </c>
    </row>
    <row r="78" spans="1:16384" ht="18.75" customHeight="1" outlineLevel="1">
      <c r="A78" s="184" t="s">
        <v>30</v>
      </c>
      <c r="B78" s="184"/>
      <c r="C78" s="184"/>
      <c r="D78" s="184"/>
      <c r="E78" s="184"/>
      <c r="F78" s="184"/>
      <c r="G78" s="184"/>
      <c r="H78" s="184"/>
      <c r="I78" s="184"/>
      <c r="J78" s="97">
        <f>VLOOKUP(O78,АО,3,FALSE)</f>
        <v>0</v>
      </c>
      <c r="K78" s="109"/>
      <c r="L78" s="186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7">
        <f t="shared" ref="J81:J90" si="2">VLOOKUP(O81,АО,3,FALSE)</f>
        <v>0</v>
      </c>
      <c r="K81" s="109"/>
      <c r="L81" s="172"/>
      <c r="M81" s="109"/>
      <c r="N81" s="109"/>
      <c r="O81" s="70" t="s">
        <v>104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7">
        <f t="shared" si="2"/>
        <v>0</v>
      </c>
      <c r="K82" s="109"/>
      <c r="L82" s="172"/>
      <c r="M82" s="109"/>
      <c r="N82" s="109"/>
      <c r="O82" s="70" t="s">
        <v>105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7">
        <f t="shared" si="2"/>
        <v>34045.699999999997</v>
      </c>
      <c r="K83" s="109"/>
      <c r="L83" s="172"/>
      <c r="M83" s="109"/>
      <c r="N83" s="109"/>
      <c r="O83" s="70" t="s">
        <v>106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7">
        <f t="shared" si="2"/>
        <v>0</v>
      </c>
      <c r="K84" s="109"/>
      <c r="L84" s="172"/>
      <c r="M84" s="109"/>
      <c r="N84" s="109"/>
      <c r="O84" s="70" t="s">
        <v>107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7">
        <f t="shared" si="2"/>
        <v>0</v>
      </c>
      <c r="K85" s="109"/>
      <c r="L85" s="172"/>
      <c r="M85" s="109"/>
      <c r="N85" s="109"/>
      <c r="O85" s="70" t="s">
        <v>108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7">
        <f t="shared" si="2"/>
        <v>36452.729999999996</v>
      </c>
      <c r="K86" s="109"/>
      <c r="L86" s="172"/>
      <c r="M86" s="109"/>
      <c r="N86" s="109"/>
      <c r="O86" s="70" t="s">
        <v>109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9"/>
      <c r="L87" s="172"/>
      <c r="M87" s="109"/>
      <c r="N87" s="109"/>
      <c r="O87" s="70" t="s">
        <v>110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9"/>
      <c r="L88" s="172"/>
      <c r="M88" s="109"/>
      <c r="N88" s="109"/>
      <c r="O88" s="70" t="s">
        <v>111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9"/>
      <c r="L89" s="172"/>
      <c r="M89" s="109"/>
      <c r="N89" s="109"/>
      <c r="O89" s="70" t="s">
        <v>112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7">
        <f t="shared" si="2"/>
        <v>0</v>
      </c>
      <c r="K90" s="109"/>
      <c r="L90" s="172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7" t="s">
        <v>48</v>
      </c>
      <c r="B93" s="187"/>
      <c r="C93" s="187"/>
      <c r="D93" s="188" t="s">
        <v>49</v>
      </c>
      <c r="E93" s="188"/>
      <c r="F93" s="10" t="s">
        <v>50</v>
      </c>
      <c r="G93" s="187" t="s">
        <v>51</v>
      </c>
      <c r="H93" s="187"/>
      <c r="I93" s="187"/>
      <c r="J93" s="187"/>
      <c r="K93" s="109"/>
      <c r="L93" s="109"/>
      <c r="M93" s="109"/>
      <c r="N93" s="109"/>
    </row>
    <row r="94" spans="1:15" hidden="1" outlineLevel="1">
      <c r="A94" s="168">
        <f>IF(VLOOKUP("эл",АО,3,FALSE)&gt;0,"Электроснабжение",0)</f>
        <v>0</v>
      </c>
      <c r="B94" s="168"/>
      <c r="C94" s="168"/>
      <c r="D94" s="169">
        <f>IF(VLOOKUP("эл",АО,3,FALSE)&gt;0,VLOOKUP("эл",АО,3,FALSE),0)</f>
        <v>0</v>
      </c>
      <c r="E94" s="169"/>
      <c r="F94" s="13">
        <f>IF(VLOOKUP("эл",АО,3,FALSE)&gt;0,VLOOKUP("эл",АО,4,FALSE),0)</f>
        <v>0</v>
      </c>
      <c r="G94" s="170">
        <f>VLOOKUP("эл",АО,5,FALSE)</f>
        <v>0</v>
      </c>
      <c r="H94" s="169"/>
      <c r="I94" s="169"/>
      <c r="J94" s="169"/>
      <c r="K94" s="1" t="str">
        <f>VLOOKUP("эл",АО,2,FALSE)</f>
        <v>Электроснабжение</v>
      </c>
      <c r="L94" s="173"/>
    </row>
    <row r="95" spans="1:15" hidden="1" outlineLevel="2">
      <c r="A95" s="185">
        <f>IF(VLOOKUP("эл",АО,3,FALSE)&gt;0,VLOOKUP("эл1",АО,2,FALSE),0)</f>
        <v>0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0</v>
      </c>
      <c r="L95" s="173"/>
      <c r="O95" s="1" t="s">
        <v>114</v>
      </c>
    </row>
    <row r="96" spans="1:15" hidden="1" outlineLevel="2">
      <c r="A96" s="185">
        <f>IF(VLOOKUP("эл",АО,3,FALSE)&gt;0,VLOOKUP("эл2",АО,2,FALSE),0)</f>
        <v>0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0</v>
      </c>
      <c r="L96" s="173"/>
      <c r="O96" s="1" t="s">
        <v>115</v>
      </c>
    </row>
    <row r="97" spans="1:15" hidden="1" outlineLevel="2">
      <c r="A97" s="185">
        <f>IF(VLOOKUP("эл",АО,3,FALSE)&gt;0,VLOOKUP("эл3",АО,2,FALSE),0)</f>
        <v>0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73"/>
      <c r="O97" s="1" t="s">
        <v>116</v>
      </c>
    </row>
    <row r="98" spans="1:15" ht="37.5" hidden="1" customHeight="1" outlineLevel="2">
      <c r="A98" s="185">
        <f>IF(VLOOKUP("эл",АО,3,FALSE)&gt;0,VLOOKUP("эл4",АО,2,FALSE),0)</f>
        <v>0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0</v>
      </c>
      <c r="L98" s="173"/>
      <c r="O98" s="1" t="s">
        <v>117</v>
      </c>
    </row>
    <row r="99" spans="1:15" hidden="1" outlineLevel="2">
      <c r="A99" s="185">
        <f>IF(VLOOKUP("эл",АО,3,FALSE)&gt;0,VLOOKUP("эл5",АО,2,FALSE),0)</f>
        <v>0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0</v>
      </c>
      <c r="L99" s="173"/>
      <c r="O99" s="1" t="s">
        <v>118</v>
      </c>
    </row>
    <row r="100" spans="1:15" ht="39" hidden="1" customHeight="1" outlineLevel="2">
      <c r="A100" s="185">
        <f>IF(VLOOKUP("эл",АО,3,FALSE)&gt;0,VLOOKUP("эл6",АО,2,FALSE),0)</f>
        <v>0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73"/>
      <c r="O100" s="1" t="s">
        <v>119</v>
      </c>
    </row>
    <row r="101" spans="1:15" ht="34.5" hidden="1" customHeight="1" outlineLevel="2">
      <c r="A101" s="185">
        <f>IF(VLOOKUP("эл",АО,3,FALSE)&gt;0,VLOOKUP("эл7",АО,2,FALSE),0)</f>
        <v>0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73"/>
      <c r="O101" s="1" t="s">
        <v>120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70">
        <f>VLOOKUP("хвс",АО,5,FALSE)</f>
        <v>50673.320000000022</v>
      </c>
      <c r="H102" s="169"/>
      <c r="I102" s="169"/>
      <c r="J102" s="169"/>
      <c r="L102" s="173"/>
    </row>
    <row r="103" spans="1:15" outlineLevel="2">
      <c r="A103" s="185" t="str">
        <f t="shared" ref="A103:A109" si="4">IF(VLOOKUP("хвс",АО,3,FALSE)&gt;0,VLOOKUP(O103,АО,2,FALSE),0)</f>
        <v>Общий объем потребления, нат. показ.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3378.5547433409015</v>
      </c>
      <c r="L103" s="173"/>
      <c r="O103" s="1" t="s">
        <v>123</v>
      </c>
    </row>
    <row r="104" spans="1:15" ht="18.75" customHeight="1" outlineLevel="2">
      <c r="A104" s="185" t="str">
        <f t="shared" si="4"/>
        <v>Оплачено потребителями, руб.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49987.010000000009</v>
      </c>
      <c r="L104" s="173"/>
      <c r="O104" s="1" t="s">
        <v>124</v>
      </c>
    </row>
    <row r="105" spans="1:15" ht="18.75" customHeight="1" outlineLevel="2">
      <c r="A105" s="185" t="str">
        <f t="shared" si="4"/>
        <v>Задолженность потребителей, руб.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686.31000000001222</v>
      </c>
      <c r="L105" s="173"/>
      <c r="O105" s="1" t="s">
        <v>125</v>
      </c>
    </row>
    <row r="106" spans="1:15" ht="36.75" customHeight="1" outlineLevel="2">
      <c r="A106" s="185" t="str">
        <f t="shared" si="4"/>
        <v>Начислено поставщиком (поставщиками) коммунального ресурса, руб.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50673.320000000022</v>
      </c>
      <c r="L106" s="173"/>
      <c r="O106" s="1" t="s">
        <v>126</v>
      </c>
    </row>
    <row r="107" spans="1:15" ht="18.75" customHeight="1" outlineLevel="2">
      <c r="A107" s="185" t="str">
        <f t="shared" si="4"/>
        <v>Оплачено поставщику (поставщикам) коммунального ресурса, руб.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50673.320000000022</v>
      </c>
      <c r="L107" s="173"/>
      <c r="O107" s="1" t="s">
        <v>127</v>
      </c>
    </row>
    <row r="108" spans="1:15" ht="37.5" customHeight="1" outlineLevel="2">
      <c r="A108" s="185" t="str">
        <f t="shared" si="4"/>
        <v>Задолженность перед поставщиком (поставщиками) коммунального ресурса, руб.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73"/>
      <c r="O108" s="1" t="s">
        <v>128</v>
      </c>
    </row>
    <row r="109" spans="1:15" ht="39.75" customHeight="1" outlineLevel="2">
      <c r="A109" s="185" t="str">
        <f t="shared" si="4"/>
        <v>Размер пени и штрафов, уплаченных поставщику (поставщикам) коммунального ресурса, руб.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73"/>
      <c r="O109" s="1" t="s">
        <v>129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70">
        <f>VLOOKUP("воо",АО,5,FALSE)</f>
        <v>97504.93</v>
      </c>
      <c r="H110" s="169"/>
      <c r="I110" s="169"/>
      <c r="J110" s="169"/>
      <c r="L110" s="173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5858.0537630916615</v>
      </c>
      <c r="L111" s="173"/>
      <c r="O111" s="1" t="s">
        <v>131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95784.21</v>
      </c>
      <c r="L112" s="173"/>
      <c r="O112" s="1" t="s">
        <v>132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1720.7199999999866</v>
      </c>
      <c r="L113" s="173"/>
      <c r="O113" s="1" t="s">
        <v>133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97504.93</v>
      </c>
      <c r="L114" s="173"/>
      <c r="O114" s="1" t="s">
        <v>134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97504.93</v>
      </c>
      <c r="L115" s="173"/>
      <c r="O115" s="1" t="s">
        <v>135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73"/>
      <c r="O116" s="1" t="s">
        <v>136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73"/>
      <c r="O117" s="1" t="s">
        <v>137</v>
      </c>
    </row>
    <row r="118" spans="1:15" ht="32.25" hidden="1" customHeight="1" outlineLevel="1">
      <c r="A118" s="168">
        <f>IF(VLOOKUP("тко",АО,3,FALSE)&gt;0,"Обращение с ТКО",0)</f>
        <v>0</v>
      </c>
      <c r="B118" s="168"/>
      <c r="C118" s="168"/>
      <c r="D118" s="169">
        <f>IF(VLOOKUP("тко",АО,3,FALSE)&gt;0,VLOOKUP("тко",АО,3,FALSE),0)</f>
        <v>0</v>
      </c>
      <c r="E118" s="169"/>
      <c r="F118" s="13">
        <f>IF(VLOOKUP("тко",АО,3,FALSE)&gt;0,VLOOKUP("тко",АО,4,FALSE),0)</f>
        <v>0</v>
      </c>
      <c r="G118" s="170">
        <f>VLOOKUP("тко",АО,5,FALSE)</f>
        <v>0</v>
      </c>
      <c r="H118" s="169"/>
      <c r="I118" s="169"/>
      <c r="J118" s="169"/>
      <c r="L118" s="47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70">
        <f>VLOOKUP("гвс",АО,5,FALSE)</f>
        <v>0</v>
      </c>
      <c r="H126" s="169"/>
      <c r="I126" s="169"/>
      <c r="J126" s="169"/>
      <c r="L126" s="47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4" t="s">
        <v>45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171</v>
      </c>
    </row>
    <row r="145" spans="1:15" ht="18.75" customHeight="1" outlineLevel="1">
      <c r="A145" s="164" t="s">
        <v>46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64" t="s">
        <v>174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0</v>
      </c>
      <c r="O146" t="s">
        <v>173</v>
      </c>
    </row>
    <row r="149" spans="1:15" ht="52.5" customHeight="1">
      <c r="A149" s="189" t="s">
        <v>181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91" t="s">
        <v>194</v>
      </c>
      <c r="B154" s="191"/>
      <c r="C154" s="191"/>
      <c r="D154" s="191"/>
      <c r="E154" s="27">
        <f>ПТО!G1</f>
        <v>-246115.93</v>
      </c>
    </row>
    <row r="155" spans="1:15" ht="34.5" customHeight="1">
      <c r="A155" s="190" t="s">
        <v>193</v>
      </c>
      <c r="B155" s="190"/>
      <c r="C155" s="190"/>
      <c r="D155" s="190"/>
      <c r="E155" s="28">
        <f>J13</f>
        <v>117183.47999999998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57</v>
      </c>
      <c r="I157" s="174" t="s">
        <v>21</v>
      </c>
      <c r="J157" s="174"/>
    </row>
    <row r="158" spans="1:15" ht="29.25" customHeight="1">
      <c r="A158" s="166" t="str">
        <f t="shared" ref="A158:A163" si="14">IF(N158&gt;0,N158,0)</f>
        <v>Техническое освидетельствование лифта.</v>
      </c>
      <c r="B158" s="166"/>
      <c r="C158" s="166"/>
      <c r="D158" s="166"/>
      <c r="E158" s="166"/>
      <c r="F158" s="171">
        <f t="shared" ref="F158:F163" si="15">IF(ISERROR(VLOOKUP(A158,$A$28:$J$72,6,FALSE)),0,VLOOKUP(A158,$A$28:$J$72,6,FALSE))</f>
        <v>8100</v>
      </c>
      <c r="G158" s="171"/>
      <c r="H158" s="24" t="str">
        <f t="shared" ref="H158:H187" si="16">VLOOKUP(A158,$A$28:$J$72,8,FALSE)</f>
        <v>ежегодно</v>
      </c>
      <c r="I158" s="167">
        <f t="shared" ref="I158:I161" si="17">VLOOKUP(A158,$A$28:$J$72,9,FALSE)</f>
        <v>1</v>
      </c>
      <c r="J158" s="16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6" t="str">
        <f t="shared" si="14"/>
        <v>Ремонт шлагбаума.</v>
      </c>
      <c r="B159" s="166"/>
      <c r="C159" s="166"/>
      <c r="D159" s="166"/>
      <c r="E159" s="166"/>
      <c r="F159" s="171">
        <f t="shared" si="15"/>
        <v>780</v>
      </c>
      <c r="G159" s="171"/>
      <c r="H159" s="24" t="str">
        <f t="shared" si="16"/>
        <v>разово</v>
      </c>
      <c r="I159" s="167">
        <f t="shared" si="17"/>
        <v>1</v>
      </c>
      <c r="J159" s="167"/>
      <c r="M159" s="22" t="s">
        <v>72</v>
      </c>
      <c r="N159" s="1" t="str">
        <v>Ремонт шлагбаума.</v>
      </c>
    </row>
    <row r="160" spans="1:15" ht="28.5" customHeight="1">
      <c r="A160" s="166" t="str">
        <f t="shared" si="14"/>
        <v>Ремонт системы видеонаблюдения.</v>
      </c>
      <c r="B160" s="166"/>
      <c r="C160" s="166"/>
      <c r="D160" s="166"/>
      <c r="E160" s="166"/>
      <c r="F160" s="171">
        <f t="shared" si="15"/>
        <v>544</v>
      </c>
      <c r="G160" s="171"/>
      <c r="H160" s="24" t="str">
        <f t="shared" si="16"/>
        <v>разово</v>
      </c>
      <c r="I160" s="167">
        <f t="shared" si="17"/>
        <v>1</v>
      </c>
      <c r="J160" s="167"/>
      <c r="M160" s="22" t="s">
        <v>72</v>
      </c>
      <c r="N160" s="1" t="str">
        <v>Ремонт системы видеонаблюдения.</v>
      </c>
    </row>
    <row r="161" spans="1:14" ht="28.5" customHeight="1">
      <c r="A161" s="166" t="str">
        <f>IF(N161&gt;0,N161,0)</f>
        <v>Замена светильников в подъезде (2 шт.).</v>
      </c>
      <c r="B161" s="166"/>
      <c r="C161" s="166"/>
      <c r="D161" s="166"/>
      <c r="E161" s="166"/>
      <c r="F161" s="171">
        <f t="shared" si="15"/>
        <v>1800</v>
      </c>
      <c r="G161" s="171"/>
      <c r="H161" s="24" t="str">
        <f t="shared" si="16"/>
        <v>разово</v>
      </c>
      <c r="I161" s="167">
        <f t="shared" si="17"/>
        <v>1</v>
      </c>
      <c r="J161" s="167"/>
      <c r="M161" s="22" t="s">
        <v>72</v>
      </c>
      <c r="N161" s="1" t="str">
        <v>Замена светильников в подъезде (2 шт.).</v>
      </c>
    </row>
    <row r="162" spans="1:14" ht="28.5" customHeight="1">
      <c r="A162" s="166" t="str">
        <f t="shared" si="14"/>
        <v>Механизированная уборка и вывоз снега с придомовой территории.</v>
      </c>
      <c r="B162" s="166"/>
      <c r="C162" s="166"/>
      <c r="D162" s="166"/>
      <c r="E162" s="166"/>
      <c r="F162" s="171">
        <f t="shared" si="15"/>
        <v>7916</v>
      </c>
      <c r="G162" s="171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72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66" t="str">
        <f t="shared" si="14"/>
        <v>Ремонт шлагбаума (апрель).</v>
      </c>
      <c r="B163" s="166"/>
      <c r="C163" s="166"/>
      <c r="D163" s="166"/>
      <c r="E163" s="166"/>
      <c r="F163" s="171">
        <f t="shared" si="15"/>
        <v>1063</v>
      </c>
      <c r="G163" s="171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72</v>
      </c>
      <c r="N163" s="1" t="str">
        <v>Ремонт шлагбаума (апрель).</v>
      </c>
    </row>
    <row r="164" spans="1:14" ht="28.5" customHeight="1">
      <c r="A164" s="166" t="str">
        <f t="shared" ref="A164:A187" si="18">IF(N164&gt;0,N164,0)</f>
        <v>Ремонт и настройка автоматики ИТП (замена ремкомплекта для клапана).</v>
      </c>
      <c r="B164" s="166"/>
      <c r="C164" s="166"/>
      <c r="D164" s="166"/>
      <c r="E164" s="166"/>
      <c r="F164" s="171">
        <f t="shared" ref="F164:F187" si="19">IF(ISERROR(VLOOKUP(A164,$A$28:$J$72,6,FALSE)),0,VLOOKUP(A164,$A$28:$J$72,6,FALSE))</f>
        <v>4980</v>
      </c>
      <c r="G164" s="171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72</v>
      </c>
      <c r="N164" s="1" t="str">
        <v>Ремонт и настройка автоматики ИТП (замена ремкомплекта для клапана).</v>
      </c>
    </row>
    <row r="165" spans="1:14" ht="28.5" customHeight="1">
      <c r="A165" s="166" t="str">
        <f t="shared" si="18"/>
        <v>Проведение генеральной уборки подъездов.</v>
      </c>
      <c r="B165" s="166"/>
      <c r="C165" s="166"/>
      <c r="D165" s="166"/>
      <c r="E165" s="166"/>
      <c r="F165" s="171">
        <f t="shared" si="19"/>
        <v>1500</v>
      </c>
      <c r="G165" s="171"/>
      <c r="H165" s="29" t="str">
        <f t="shared" si="16"/>
        <v>разово</v>
      </c>
      <c r="I165" s="167">
        <f t="shared" si="20"/>
        <v>1</v>
      </c>
      <c r="J165" s="167"/>
      <c r="M165" s="22" t="s">
        <v>72</v>
      </c>
      <c r="N165" s="1" t="str">
        <v>Проведение генеральной уборки подъездов.</v>
      </c>
    </row>
    <row r="166" spans="1:14" ht="28.5" customHeight="1">
      <c r="A166" s="166" t="str">
        <f t="shared" si="18"/>
        <v>Замена регистратора, коммутатора и роутера системы видеонаблюдения.</v>
      </c>
      <c r="B166" s="166"/>
      <c r="C166" s="166"/>
      <c r="D166" s="166"/>
      <c r="E166" s="166"/>
      <c r="F166" s="171">
        <f t="shared" si="19"/>
        <v>4081.44</v>
      </c>
      <c r="G166" s="171"/>
      <c r="H166" s="29" t="str">
        <f t="shared" si="16"/>
        <v>разово</v>
      </c>
      <c r="I166" s="167">
        <f t="shared" si="20"/>
        <v>1</v>
      </c>
      <c r="J166" s="167"/>
      <c r="M166" s="22" t="s">
        <v>72</v>
      </c>
      <c r="N166" s="1" t="str">
        <v>Замена регистратора, коммутатора и роутера системы видеонаблюдения.</v>
      </c>
    </row>
    <row r="167" spans="1:14" ht="28.5" customHeight="1">
      <c r="A167" s="166" t="str">
        <f t="shared" si="18"/>
        <v>Приобретение и замена обратного клапана в ИТП.</v>
      </c>
      <c r="B167" s="166"/>
      <c r="C167" s="166"/>
      <c r="D167" s="166"/>
      <c r="E167" s="166"/>
      <c r="F167" s="171">
        <f t="shared" si="19"/>
        <v>1969.79</v>
      </c>
      <c r="G167" s="171"/>
      <c r="H167" s="29" t="str">
        <f t="shared" si="16"/>
        <v>разово</v>
      </c>
      <c r="I167" s="167">
        <f t="shared" si="20"/>
        <v>1</v>
      </c>
      <c r="J167" s="167"/>
      <c r="M167" s="22" t="s">
        <v>72</v>
      </c>
      <c r="N167" s="1" t="str">
        <v>Приобретение и замена обратного клапана в ИТП.</v>
      </c>
    </row>
    <row r="168" spans="1:14" ht="28.5" customHeight="1">
      <c r="A168" s="166" t="str">
        <f t="shared" si="18"/>
        <v>Ремонт линии питания шлагбаума.</v>
      </c>
      <c r="B168" s="166"/>
      <c r="C168" s="166"/>
      <c r="D168" s="166"/>
      <c r="E168" s="166"/>
      <c r="F168" s="171">
        <f t="shared" si="19"/>
        <v>2751</v>
      </c>
      <c r="G168" s="171"/>
      <c r="H168" s="29" t="str">
        <f t="shared" si="16"/>
        <v>разово</v>
      </c>
      <c r="I168" s="167">
        <f t="shared" si="20"/>
        <v>1</v>
      </c>
      <c r="J168" s="167"/>
      <c r="M168" s="22" t="s">
        <v>72</v>
      </c>
      <c r="N168" s="1" t="str">
        <v>Ремонт линии питания шлагбаума.</v>
      </c>
    </row>
    <row r="169" spans="1:14" ht="28.5" customHeight="1">
      <c r="A169" s="166" t="str">
        <f t="shared" si="18"/>
        <v>Замена прожектора (торец дома).</v>
      </c>
      <c r="B169" s="166"/>
      <c r="C169" s="166"/>
      <c r="D169" s="166"/>
      <c r="E169" s="166"/>
      <c r="F169" s="171">
        <f t="shared" si="19"/>
        <v>2000</v>
      </c>
      <c r="G169" s="171"/>
      <c r="H169" s="29" t="str">
        <f t="shared" si="16"/>
        <v>разово</v>
      </c>
      <c r="I169" s="167">
        <f t="shared" si="20"/>
        <v>1</v>
      </c>
      <c r="J169" s="167"/>
      <c r="M169" s="22" t="s">
        <v>72</v>
      </c>
      <c r="N169" s="1" t="str">
        <v>Замена прожектора (торец дома).</v>
      </c>
    </row>
    <row r="170" spans="1:14" ht="28.5" customHeight="1">
      <c r="A170" s="166" t="str">
        <f t="shared" si="18"/>
        <v>Ремонт стойки шлагбаума и регулировка концевых положений.</v>
      </c>
      <c r="B170" s="166"/>
      <c r="C170" s="166"/>
      <c r="D170" s="166"/>
      <c r="E170" s="166"/>
      <c r="F170" s="171">
        <f t="shared" si="19"/>
        <v>858</v>
      </c>
      <c r="G170" s="171"/>
      <c r="H170" s="29" t="str">
        <f t="shared" si="16"/>
        <v>разово</v>
      </c>
      <c r="I170" s="167">
        <f t="shared" si="20"/>
        <v>1</v>
      </c>
      <c r="J170" s="167"/>
      <c r="M170" s="22" t="s">
        <v>72</v>
      </c>
      <c r="N170" s="1" t="str">
        <v>Ремонт стойки шлагбаума и регулировка концевых положений.</v>
      </c>
    </row>
    <row r="171" spans="1:14" ht="28.5" customHeight="1">
      <c r="A171" s="166" t="str">
        <f t="shared" si="18"/>
        <v>Замена прожектора на торце дома №24.</v>
      </c>
      <c r="B171" s="166"/>
      <c r="C171" s="166"/>
      <c r="D171" s="166"/>
      <c r="E171" s="166"/>
      <c r="F171" s="171">
        <f t="shared" si="19"/>
        <v>890</v>
      </c>
      <c r="G171" s="171"/>
      <c r="H171" s="29" t="str">
        <f t="shared" si="16"/>
        <v>разово</v>
      </c>
      <c r="I171" s="167">
        <f t="shared" si="20"/>
        <v>1</v>
      </c>
      <c r="J171" s="167"/>
      <c r="M171" s="22" t="s">
        <v>72</v>
      </c>
      <c r="N171" s="1" t="str">
        <v>Замена прожектора на торце дома №24.</v>
      </c>
    </row>
    <row r="172" spans="1:14" ht="28.5" customHeight="1">
      <c r="A172" s="166" t="str">
        <f t="shared" si="18"/>
        <v>Приобретение полусфер и краски для разметки парковочных мест.</v>
      </c>
      <c r="B172" s="166"/>
      <c r="C172" s="166"/>
      <c r="D172" s="166"/>
      <c r="E172" s="166"/>
      <c r="F172" s="171">
        <f t="shared" si="19"/>
        <v>3122.5</v>
      </c>
      <c r="G172" s="171"/>
      <c r="H172" s="29" t="str">
        <f t="shared" si="16"/>
        <v>разово</v>
      </c>
      <c r="I172" s="167">
        <f t="shared" si="20"/>
        <v>1</v>
      </c>
      <c r="J172" s="167"/>
      <c r="M172" s="22" t="s">
        <v>72</v>
      </c>
      <c r="N172" s="1" t="str">
        <v>Приобретение полусфер и краски для разметки парковочных мест.</v>
      </c>
    </row>
    <row r="173" spans="1:14" ht="28.5" hidden="1" customHeight="1">
      <c r="A173" s="166">
        <f t="shared" si="18"/>
        <v>0</v>
      </c>
      <c r="B173" s="166"/>
      <c r="C173" s="166"/>
      <c r="D173" s="166"/>
      <c r="E173" s="166"/>
      <c r="F173" s="171">
        <f t="shared" si="19"/>
        <v>0</v>
      </c>
      <c r="G173" s="171"/>
      <c r="H173" s="29" t="e">
        <f t="shared" si="16"/>
        <v>#N/A</v>
      </c>
      <c r="I173" s="167" t="e">
        <f t="shared" si="20"/>
        <v>#N/A</v>
      </c>
      <c r="J173" s="167"/>
      <c r="M173" s="22" t="s">
        <v>72</v>
      </c>
      <c r="N173" s="1">
        <v>0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71">
        <f t="shared" si="19"/>
        <v>0</v>
      </c>
      <c r="G174" s="171"/>
      <c r="H174" s="29" t="e">
        <f t="shared" si="16"/>
        <v>#N/A</v>
      </c>
      <c r="I174" s="167" t="e">
        <f t="shared" si="20"/>
        <v>#N/A</v>
      </c>
      <c r="J174" s="167"/>
      <c r="M174" s="22" t="s">
        <v>72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71">
        <f t="shared" si="19"/>
        <v>0</v>
      </c>
      <c r="G175" s="171"/>
      <c r="H175" s="29" t="e">
        <f t="shared" si="16"/>
        <v>#N/A</v>
      </c>
      <c r="I175" s="167" t="e">
        <f t="shared" si="20"/>
        <v>#N/A</v>
      </c>
      <c r="J175" s="167"/>
      <c r="M175" s="22" t="s">
        <v>72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71">
        <f t="shared" si="19"/>
        <v>0</v>
      </c>
      <c r="G176" s="171"/>
      <c r="H176" s="29" t="e">
        <f t="shared" si="16"/>
        <v>#N/A</v>
      </c>
      <c r="I176" s="167" t="e">
        <f t="shared" si="20"/>
        <v>#N/A</v>
      </c>
      <c r="J176" s="167"/>
      <c r="M176" s="22" t="s">
        <v>72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71">
        <f t="shared" si="19"/>
        <v>0</v>
      </c>
      <c r="G177" s="171"/>
      <c r="H177" s="29" t="e">
        <f t="shared" si="16"/>
        <v>#N/A</v>
      </c>
      <c r="I177" s="167" t="e">
        <f t="shared" si="20"/>
        <v>#N/A</v>
      </c>
      <c r="J177" s="167"/>
      <c r="M177" s="22" t="s">
        <v>72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71">
        <f t="shared" si="19"/>
        <v>0</v>
      </c>
      <c r="G178" s="171"/>
      <c r="H178" s="29" t="e">
        <f t="shared" si="16"/>
        <v>#N/A</v>
      </c>
      <c r="I178" s="167" t="e">
        <f t="shared" si="20"/>
        <v>#N/A</v>
      </c>
      <c r="J178" s="167"/>
      <c r="M178" s="22" t="s">
        <v>72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71">
        <f t="shared" si="19"/>
        <v>0</v>
      </c>
      <c r="G179" s="171"/>
      <c r="H179" s="29" t="e">
        <f t="shared" si="16"/>
        <v>#N/A</v>
      </c>
      <c r="I179" s="167" t="e">
        <f t="shared" si="20"/>
        <v>#N/A</v>
      </c>
      <c r="J179" s="167"/>
      <c r="M179" s="22" t="s">
        <v>72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71">
        <f t="shared" si="19"/>
        <v>0</v>
      </c>
      <c r="G180" s="171"/>
      <c r="H180" s="29" t="e">
        <f t="shared" si="16"/>
        <v>#N/A</v>
      </c>
      <c r="I180" s="167" t="e">
        <f t="shared" si="20"/>
        <v>#N/A</v>
      </c>
      <c r="J180" s="167"/>
      <c r="M180" s="22" t="s">
        <v>72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71">
        <f t="shared" si="19"/>
        <v>0</v>
      </c>
      <c r="G181" s="171"/>
      <c r="H181" s="29" t="e">
        <f t="shared" si="16"/>
        <v>#N/A</v>
      </c>
      <c r="I181" s="167" t="e">
        <f t="shared" si="20"/>
        <v>#N/A</v>
      </c>
      <c r="J181" s="167"/>
      <c r="M181" s="22" t="s">
        <v>72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71">
        <f t="shared" si="19"/>
        <v>0</v>
      </c>
      <c r="G182" s="171"/>
      <c r="H182" s="29" t="e">
        <f t="shared" si="16"/>
        <v>#N/A</v>
      </c>
      <c r="I182" s="167" t="e">
        <f t="shared" si="20"/>
        <v>#N/A</v>
      </c>
      <c r="J182" s="167"/>
      <c r="M182" s="22" t="s">
        <v>72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71">
        <f t="shared" si="19"/>
        <v>0</v>
      </c>
      <c r="G183" s="171"/>
      <c r="H183" s="29" t="e">
        <f t="shared" si="16"/>
        <v>#N/A</v>
      </c>
      <c r="I183" s="167" t="e">
        <f t="shared" si="20"/>
        <v>#N/A</v>
      </c>
      <c r="J183" s="167"/>
      <c r="M183" s="22" t="s">
        <v>72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71">
        <f t="shared" si="19"/>
        <v>0</v>
      </c>
      <c r="G184" s="171"/>
      <c r="H184" s="29" t="e">
        <f t="shared" si="16"/>
        <v>#N/A</v>
      </c>
      <c r="I184" s="167" t="e">
        <f t="shared" si="20"/>
        <v>#N/A</v>
      </c>
      <c r="J184" s="167"/>
      <c r="M184" s="22" t="s">
        <v>72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71">
        <f t="shared" si="19"/>
        <v>0</v>
      </c>
      <c r="G185" s="171"/>
      <c r="H185" s="29" t="e">
        <f t="shared" si="16"/>
        <v>#N/A</v>
      </c>
      <c r="I185" s="167" t="e">
        <f t="shared" si="20"/>
        <v>#N/A</v>
      </c>
      <c r="J185" s="167"/>
      <c r="M185" s="22" t="s">
        <v>72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71">
        <f t="shared" si="19"/>
        <v>0</v>
      </c>
      <c r="G186" s="171"/>
      <c r="H186" s="29" t="e">
        <f t="shared" si="16"/>
        <v>#N/A</v>
      </c>
      <c r="I186" s="167" t="e">
        <f t="shared" si="20"/>
        <v>#N/A</v>
      </c>
      <c r="J186" s="167"/>
      <c r="M186" s="22" t="s">
        <v>72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71">
        <f t="shared" si="19"/>
        <v>0</v>
      </c>
      <c r="G187" s="171"/>
      <c r="H187" s="29" t="e">
        <f t="shared" si="16"/>
        <v>#N/A</v>
      </c>
      <c r="I187" s="167" t="e">
        <f t="shared" si="20"/>
        <v>#N/A</v>
      </c>
      <c r="J187" s="167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91" t="s">
        <v>192</v>
      </c>
      <c r="B190" s="191"/>
      <c r="C190" s="191"/>
      <c r="D190" s="191"/>
      <c r="E190" s="27">
        <f>SUM(F158:G187)</f>
        <v>42355.729999999996</v>
      </c>
    </row>
    <row r="191" spans="1:14" ht="51.75" customHeight="1">
      <c r="A191" s="191" t="s">
        <v>191</v>
      </c>
      <c r="B191" s="191"/>
      <c r="C191" s="191"/>
      <c r="D191" s="191"/>
      <c r="E191" s="27">
        <f>E190+E154-E155</f>
        <v>-320943.68</v>
      </c>
    </row>
    <row r="192" spans="1:14">
      <c r="A192" s="104" t="s">
        <v>175</v>
      </c>
    </row>
    <row r="193" spans="1:10" ht="62.25" customHeight="1">
      <c r="A193" s="165" t="s">
        <v>190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49">
        <f>ПТО!G12</f>
        <v>1200</v>
      </c>
      <c r="I194" s="50" t="s">
        <v>75</v>
      </c>
    </row>
    <row r="195" spans="1:10" ht="18.75" customHeight="1">
      <c r="A195" s="163" t="str">
        <f>ПТО!F13</f>
        <v xml:space="preserve">  -  техническое освидетельствование лифта</v>
      </c>
      <c r="B195" s="163"/>
      <c r="C195" s="163"/>
      <c r="D195" s="163"/>
      <c r="E195" s="163"/>
      <c r="F195" s="163"/>
      <c r="G195" s="163"/>
      <c r="H195" s="49">
        <f>ПТО!G13</f>
        <v>8100</v>
      </c>
      <c r="I195" s="50" t="s">
        <v>75</v>
      </c>
    </row>
    <row r="196" spans="1:10" ht="18.75" customHeight="1">
      <c r="A196" s="163" t="str">
        <f>ПТО!F14</f>
        <v xml:space="preserve">  -  благоустройство придомовой территории</v>
      </c>
      <c r="B196" s="163"/>
      <c r="C196" s="163"/>
      <c r="D196" s="163"/>
      <c r="E196" s="163"/>
      <c r="F196" s="163"/>
      <c r="G196" s="163"/>
      <c r="H196" s="49">
        <f>ПТО!G14</f>
        <v>7000</v>
      </c>
      <c r="I196" s="50" t="s">
        <v>75</v>
      </c>
    </row>
    <row r="197" spans="1:10" ht="18.75" customHeight="1">
      <c r="A197" s="163" t="str">
        <f>ПТО!F15</f>
        <v xml:space="preserve">  -  ремонт отмостки</v>
      </c>
      <c r="B197" s="163"/>
      <c r="C197" s="163"/>
      <c r="D197" s="163"/>
      <c r="E197" s="163"/>
      <c r="F197" s="163"/>
      <c r="G197" s="163"/>
      <c r="H197" s="49">
        <f>ПТО!G15</f>
        <v>30000</v>
      </c>
      <c r="I197" s="50" t="s">
        <v>75</v>
      </c>
    </row>
    <row r="198" spans="1:10" ht="18.75" customHeight="1">
      <c r="A198" s="163" t="str">
        <f>ПТО!F16</f>
        <v xml:space="preserve">  -  замена тамбурной двери</v>
      </c>
      <c r="B198" s="163"/>
      <c r="C198" s="163"/>
      <c r="D198" s="163"/>
      <c r="E198" s="163"/>
      <c r="F198" s="163"/>
      <c r="G198" s="163"/>
      <c r="H198" s="49">
        <f>ПТО!G16</f>
        <v>70000</v>
      </c>
      <c r="I198" s="52" t="s">
        <v>75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49">
        <f>ПТО!G17</f>
        <v>0</v>
      </c>
      <c r="I199" s="50" t="s">
        <v>75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49">
        <f>ПТО!G18</f>
        <v>0</v>
      </c>
      <c r="I200" s="50" t="s">
        <v>75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49">
        <f>ПТО!G19</f>
        <v>0</v>
      </c>
      <c r="I201" s="50" t="s">
        <v>75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49">
        <f>ПТО!G20</f>
        <v>0</v>
      </c>
      <c r="I202" s="50" t="s">
        <v>75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49">
        <f>ПТО!G21</f>
        <v>0</v>
      </c>
      <c r="I203" s="50" t="s">
        <v>75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49">
        <f>ПТО!G22</f>
        <v>0</v>
      </c>
      <c r="I204" s="50" t="s">
        <v>75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49">
        <f>ПТО!G23</f>
        <v>0</v>
      </c>
      <c r="I205" s="50" t="s">
        <v>75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49">
        <f>ПТО!G24</f>
        <v>0</v>
      </c>
      <c r="I206" s="50" t="s">
        <v>75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49">
        <f>ПТО!G25</f>
        <v>0</v>
      </c>
      <c r="I207" s="50" t="s">
        <v>75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49">
        <f>ПТО!G26</f>
        <v>0</v>
      </c>
      <c r="I208" s="50" t="s">
        <v>75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49">
        <f>ПТО!G27</f>
        <v>0</v>
      </c>
      <c r="I209" s="50" t="s">
        <v>75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49">
        <f>ПТО!G28</f>
        <v>0</v>
      </c>
      <c r="I210" s="50" t="s">
        <v>75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49">
        <f>ПТО!G29</f>
        <v>0</v>
      </c>
      <c r="I211" s="50" t="s">
        <v>75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49">
        <f>ПТО!G30</f>
        <v>0</v>
      </c>
      <c r="I212" s="50" t="s">
        <v>75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116300</v>
      </c>
      <c r="I214" s="56" t="s">
        <v>78</v>
      </c>
    </row>
  </sheetData>
  <sheetProtection algorithmName="SHA-512" hashValue="OcThp50ftMk7GiXbMmNXMKwQrLCQYxoRez+wQyNR2jURHJLUfq7T9tJGIFqVO9l8GWJ5tMAcYEPCdiFMyh94QQ==" saltValue="XEdaytVX3AUsrtsr9tlAA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20" sqref="B2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194</v>
      </c>
      <c r="G1" s="101">
        <f>-246115.93</f>
        <v>-246115.93</v>
      </c>
    </row>
    <row r="2" spans="1:12" ht="18.75" customHeight="1">
      <c r="A2" s="144" t="s">
        <v>73</v>
      </c>
      <c r="B2" s="147" t="s">
        <v>210</v>
      </c>
      <c r="C2" s="145">
        <v>1</v>
      </c>
      <c r="D2" s="146">
        <v>8100</v>
      </c>
      <c r="E2" s="123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195</v>
      </c>
      <c r="B3" s="128" t="s">
        <v>179</v>
      </c>
      <c r="C3" s="129">
        <v>1</v>
      </c>
      <c r="D3" s="130">
        <v>780</v>
      </c>
      <c r="E3" s="123" t="s">
        <v>196</v>
      </c>
      <c r="F3" s="30"/>
      <c r="G3" s="30"/>
      <c r="L3" s="33" t="str">
        <f t="shared" si="0"/>
        <v>ТР</v>
      </c>
    </row>
    <row r="4" spans="1:12" ht="18.75" customHeight="1">
      <c r="A4" s="127" t="s">
        <v>197</v>
      </c>
      <c r="B4" s="128" t="s">
        <v>179</v>
      </c>
      <c r="C4" s="129">
        <v>1</v>
      </c>
      <c r="D4" s="130">
        <v>544</v>
      </c>
      <c r="E4" s="123" t="s">
        <v>200</v>
      </c>
      <c r="F4" s="30"/>
      <c r="G4" s="30"/>
      <c r="L4" s="33" t="str">
        <f t="shared" si="0"/>
        <v>ТР</v>
      </c>
    </row>
    <row r="5" spans="1:12" ht="18.75" customHeight="1">
      <c r="A5" s="131" t="s">
        <v>198</v>
      </c>
      <c r="B5" s="132" t="s">
        <v>179</v>
      </c>
      <c r="C5" s="120">
        <v>1</v>
      </c>
      <c r="D5" s="121">
        <v>1800</v>
      </c>
      <c r="E5" s="118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33" t="s">
        <v>201</v>
      </c>
      <c r="B6" s="134" t="s">
        <v>179</v>
      </c>
      <c r="C6" s="122">
        <v>1</v>
      </c>
      <c r="D6" s="135">
        <v>7916</v>
      </c>
      <c r="E6" s="123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39" t="s">
        <v>206</v>
      </c>
      <c r="B7" s="136" t="s">
        <v>179</v>
      </c>
      <c r="C7" s="122">
        <v>1</v>
      </c>
      <c r="D7" s="135">
        <v>1063</v>
      </c>
      <c r="E7" s="123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37" t="s">
        <v>204</v>
      </c>
      <c r="B8" s="138" t="s">
        <v>179</v>
      </c>
      <c r="C8" s="119">
        <v>1</v>
      </c>
      <c r="D8" s="117">
        <v>4980</v>
      </c>
      <c r="E8" s="123" t="s">
        <v>205</v>
      </c>
      <c r="F8" s="45"/>
      <c r="G8" s="45"/>
      <c r="K8" s="43"/>
      <c r="L8" s="33" t="str">
        <f t="shared" si="0"/>
        <v>ТР</v>
      </c>
    </row>
    <row r="9" spans="1:12">
      <c r="A9" s="140" t="s">
        <v>207</v>
      </c>
      <c r="B9" s="141" t="s">
        <v>179</v>
      </c>
      <c r="C9" s="142">
        <v>1</v>
      </c>
      <c r="D9" s="143">
        <v>1500</v>
      </c>
      <c r="E9" s="123" t="s">
        <v>208</v>
      </c>
      <c r="F9" s="44"/>
      <c r="G9" s="44"/>
      <c r="K9" s="43"/>
      <c r="L9" s="33" t="str">
        <f t="shared" si="0"/>
        <v>ТР</v>
      </c>
    </row>
    <row r="10" spans="1:12">
      <c r="A10" s="161" t="s">
        <v>224</v>
      </c>
      <c r="B10" s="141" t="s">
        <v>179</v>
      </c>
      <c r="C10" s="142">
        <v>1</v>
      </c>
      <c r="D10" s="143">
        <v>4081.44</v>
      </c>
      <c r="E10" s="123" t="s">
        <v>211</v>
      </c>
      <c r="L10" s="33" t="str">
        <f t="shared" si="0"/>
        <v>ТР</v>
      </c>
    </row>
    <row r="11" spans="1:12" ht="94.5">
      <c r="A11" s="162" t="s">
        <v>225</v>
      </c>
      <c r="B11" s="141" t="s">
        <v>179</v>
      </c>
      <c r="C11" s="141">
        <v>1</v>
      </c>
      <c r="D11" s="148">
        <v>1969.79</v>
      </c>
      <c r="E11" s="148" t="s">
        <v>212</v>
      </c>
      <c r="F11" s="111" t="s">
        <v>190</v>
      </c>
      <c r="G11" s="111"/>
      <c r="L11" s="33" t="str">
        <f t="shared" si="0"/>
        <v>ТР</v>
      </c>
    </row>
    <row r="12" spans="1:12" ht="31.5">
      <c r="A12" s="150" t="s">
        <v>215</v>
      </c>
      <c r="B12" s="141" t="s">
        <v>179</v>
      </c>
      <c r="C12" s="142">
        <v>1</v>
      </c>
      <c r="D12" s="143">
        <v>2751</v>
      </c>
      <c r="E12" s="123" t="s">
        <v>214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51" t="s">
        <v>217</v>
      </c>
      <c r="B13" s="141" t="s">
        <v>179</v>
      </c>
      <c r="C13" s="141">
        <v>1</v>
      </c>
      <c r="D13" s="148">
        <v>2000</v>
      </c>
      <c r="E13" s="148" t="s">
        <v>219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52" t="s">
        <v>216</v>
      </c>
      <c r="B14" s="141" t="s">
        <v>179</v>
      </c>
      <c r="C14" s="142">
        <v>1</v>
      </c>
      <c r="D14" s="148">
        <v>858</v>
      </c>
      <c r="E14" s="148" t="s">
        <v>218</v>
      </c>
      <c r="F14" s="112" t="s">
        <v>180</v>
      </c>
      <c r="G14" s="113">
        <v>7000</v>
      </c>
      <c r="L14" s="33" t="str">
        <f t="shared" si="0"/>
        <v>ТР</v>
      </c>
    </row>
    <row r="15" spans="1:12" ht="15.75">
      <c r="A15" s="155" t="s">
        <v>220</v>
      </c>
      <c r="B15" s="153" t="s">
        <v>179</v>
      </c>
      <c r="C15" s="156">
        <v>1</v>
      </c>
      <c r="D15" s="157">
        <v>890</v>
      </c>
      <c r="E15" s="154" t="s">
        <v>221</v>
      </c>
      <c r="F15" s="7" t="s">
        <v>189</v>
      </c>
      <c r="G15" s="160">
        <v>30000</v>
      </c>
      <c r="L15" s="33" t="str">
        <f t="shared" si="0"/>
        <v>ТР</v>
      </c>
    </row>
    <row r="16" spans="1:12" ht="15.75">
      <c r="A16" s="159" t="s">
        <v>213</v>
      </c>
      <c r="B16" s="153" t="s">
        <v>179</v>
      </c>
      <c r="C16" s="153">
        <v>1</v>
      </c>
      <c r="D16" s="148">
        <v>3122.5</v>
      </c>
      <c r="E16" s="148" t="s">
        <v>222</v>
      </c>
      <c r="F16" s="7" t="s">
        <v>223</v>
      </c>
      <c r="G16" s="160">
        <v>70000</v>
      </c>
      <c r="L16" s="33" t="str">
        <f t="shared" si="0"/>
        <v>ТР</v>
      </c>
    </row>
    <row r="17" spans="1:12">
      <c r="A17" s="30"/>
      <c r="D17" s="149"/>
      <c r="F17" s="103"/>
      <c r="L17" s="33">
        <f t="shared" si="0"/>
        <v>0</v>
      </c>
    </row>
    <row r="18" spans="1:12">
      <c r="A18" s="30"/>
      <c r="D18" s="149"/>
      <c r="F18" s="103"/>
      <c r="L18" s="33">
        <f t="shared" si="0"/>
        <v>0</v>
      </c>
    </row>
    <row r="19" spans="1:12">
      <c r="A19" s="30"/>
      <c r="D19" s="149"/>
      <c r="F19" s="103"/>
      <c r="L19" s="33">
        <f t="shared" si="0"/>
        <v>0</v>
      </c>
    </row>
    <row r="20" spans="1:12">
      <c r="A20" s="30"/>
      <c r="D20" s="149"/>
      <c r="F20" s="103"/>
      <c r="L20" s="33">
        <f t="shared" si="0"/>
        <v>0</v>
      </c>
    </row>
    <row r="21" spans="1:12">
      <c r="D21" s="149"/>
      <c r="F21" s="103"/>
      <c r="L21" s="33">
        <f t="shared" si="0"/>
        <v>0</v>
      </c>
    </row>
    <row r="22" spans="1:12">
      <c r="D22" s="149"/>
      <c r="F22" s="103"/>
      <c r="L22" s="33">
        <f t="shared" si="0"/>
        <v>0</v>
      </c>
    </row>
    <row r="23" spans="1:12">
      <c r="D23" s="149"/>
      <c r="F23" s="103"/>
      <c r="L23" s="33">
        <f t="shared" ref="L23:L31" si="1">IF(A23&gt;0,"ТР",0)</f>
        <v>0</v>
      </c>
    </row>
    <row r="24" spans="1:12">
      <c r="D24" s="149"/>
      <c r="F24" s="103"/>
      <c r="L24" s="33">
        <f t="shared" si="1"/>
        <v>0</v>
      </c>
    </row>
    <row r="25" spans="1:12">
      <c r="D25" s="149"/>
      <c r="F25" s="103"/>
      <c r="L25" s="33">
        <f t="shared" si="1"/>
        <v>0</v>
      </c>
    </row>
    <row r="26" spans="1:12">
      <c r="D26" s="149"/>
      <c r="F26" s="103"/>
      <c r="L26" s="33">
        <f t="shared" si="1"/>
        <v>0</v>
      </c>
    </row>
    <row r="27" spans="1:12">
      <c r="D27" s="149"/>
      <c r="F27" s="103"/>
      <c r="L27" s="33">
        <f t="shared" si="1"/>
        <v>0</v>
      </c>
    </row>
    <row r="28" spans="1:12">
      <c r="D28" s="149"/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80885.16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80885.16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73153.56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73153.56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34197.839999999997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34197.839999999997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24384.48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24384.48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64827.12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64827.12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57392.759999999995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57392.759999999995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24"/>
      <c r="C48" s="125"/>
      <c r="D48" s="48"/>
      <c r="E48" s="124">
        <v>359.1</v>
      </c>
      <c r="F48" s="124">
        <v>359.1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6" t="s">
        <v>182</v>
      </c>
      <c r="F53" s="126" t="s">
        <v>183</v>
      </c>
      <c r="G53" s="126" t="s">
        <v>184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6">
        <v>35.896999999999998</v>
      </c>
      <c r="F54" s="124">
        <v>2811.6</v>
      </c>
      <c r="G54" s="126">
        <v>3.48</v>
      </c>
      <c r="H54" s="126">
        <f>G54*E48/F54</f>
        <v>0.44446862996158776</v>
      </c>
    </row>
    <row r="55" spans="5:16">
      <c r="E55" s="126"/>
      <c r="F55" s="126" t="s">
        <v>185</v>
      </c>
      <c r="G55" s="126" t="s">
        <v>186</v>
      </c>
      <c r="H55" s="126">
        <f>H54*43.7</f>
        <v>19.423279129321386</v>
      </c>
    </row>
    <row r="56" spans="5:16">
      <c r="E56" s="126"/>
      <c r="F56" s="126">
        <v>1.17</v>
      </c>
      <c r="G56" s="126">
        <v>1.23</v>
      </c>
      <c r="H56" s="126"/>
    </row>
    <row r="57" spans="5:16">
      <c r="E57" s="126"/>
      <c r="F57" s="126"/>
      <c r="G57" s="126"/>
      <c r="H57" s="126"/>
    </row>
    <row r="58" spans="5:16">
      <c r="E58" s="126"/>
      <c r="F58" s="126"/>
      <c r="G58" s="126"/>
      <c r="H58" s="126"/>
    </row>
    <row r="59" spans="5:16">
      <c r="E59" s="126" t="s">
        <v>187</v>
      </c>
      <c r="F59" s="126"/>
      <c r="G59" s="126"/>
      <c r="H59" s="126"/>
    </row>
    <row r="60" spans="5:16">
      <c r="E60" s="126">
        <v>0.59599999999999997</v>
      </c>
      <c r="F60" s="124">
        <v>2811.6</v>
      </c>
      <c r="G60" s="126">
        <v>7.4999999999999997E-2</v>
      </c>
      <c r="H60" s="126">
        <f>G60*F48</f>
        <v>26.932500000000001</v>
      </c>
    </row>
    <row r="61" spans="5:16">
      <c r="E61" s="126"/>
      <c r="F61" s="126" t="s">
        <v>185</v>
      </c>
      <c r="G61" s="126" t="s">
        <v>186</v>
      </c>
      <c r="H61" s="126">
        <f>H60/F60</f>
        <v>9.5790653008962882E-3</v>
      </c>
    </row>
    <row r="62" spans="5:16">
      <c r="E62" s="126"/>
      <c r="F62" s="126">
        <v>12.94</v>
      </c>
      <c r="G62" s="126">
        <v>13.45</v>
      </c>
      <c r="H62" s="126">
        <f>H61*43.7</f>
        <v>0.41860515364916784</v>
      </c>
    </row>
    <row r="63" spans="5:16">
      <c r="E63" s="126" t="s">
        <v>188</v>
      </c>
      <c r="F63" s="126"/>
      <c r="G63" s="126"/>
      <c r="H63" s="126"/>
    </row>
    <row r="64" spans="5:16">
      <c r="E64" s="126">
        <v>0.59599999999999997</v>
      </c>
      <c r="F64" s="124">
        <v>2811.6</v>
      </c>
      <c r="G64" s="126">
        <v>7.4999999999999997E-2</v>
      </c>
      <c r="H64" s="126">
        <f>G64*F48</f>
        <v>26.932500000000001</v>
      </c>
    </row>
    <row r="65" spans="4:13" ht="18.75" customHeight="1">
      <c r="E65" s="126"/>
      <c r="F65" s="126" t="s">
        <v>185</v>
      </c>
      <c r="G65" s="126" t="s">
        <v>186</v>
      </c>
      <c r="H65" s="126">
        <f>H64/F64</f>
        <v>9.5790653008962882E-3</v>
      </c>
      <c r="I65" s="99"/>
      <c r="J65" s="99"/>
      <c r="K65" s="99"/>
      <c r="L65" s="99"/>
      <c r="M65" s="99"/>
    </row>
    <row r="66" spans="4:13" ht="18.75" customHeight="1">
      <c r="E66" s="126"/>
      <c r="F66" s="126">
        <v>15.73</v>
      </c>
      <c r="G66" s="126">
        <v>16.350000000000001</v>
      </c>
      <c r="H66" s="126">
        <f>H65*43.7</f>
        <v>0.41860515364916784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SxvkoLifyBDdJaVGxs1pRuSyOM0KgiByaKUPA40lgwBoD3h7fHpjiikriDyub9JjWfBty8mTDeL83wk5pxQ+Jg==" saltValue="S+yTjxXgNQAM5if5HIDi1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6" sqref="C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2478.5</v>
      </c>
    </row>
    <row r="2" spans="1:10" ht="15.75" customHeight="1">
      <c r="A2" s="70" t="s">
        <v>83</v>
      </c>
      <c r="B2" s="72" t="s">
        <v>2</v>
      </c>
      <c r="C2" s="83">
        <v>18948.599999999977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577292.22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11.26*12*F1</f>
        <v>334894.92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F1*3.94*12</f>
        <v>117183.47999999998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f>4.21*12*F1</f>
        <v>125213.81999999999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557441.73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557441.73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557441.73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901.89000000001397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4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4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4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4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3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3"/>
      <c r="N26" s="63"/>
    </row>
    <row r="27" spans="1:15" ht="18.75" customHeight="1">
      <c r="A27" s="70" t="s">
        <v>106</v>
      </c>
      <c r="B27" s="75" t="s">
        <v>4</v>
      </c>
      <c r="C27" s="86">
        <v>34045.699999999997</v>
      </c>
      <c r="D27" s="81" t="s">
        <v>60</v>
      </c>
      <c r="E27" s="64"/>
      <c r="F27" s="64"/>
      <c r="G27" s="64"/>
      <c r="H27" s="64"/>
      <c r="I27" s="64"/>
      <c r="J27" s="64"/>
      <c r="M27" s="193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3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3"/>
      <c r="N29" s="63"/>
    </row>
    <row r="30" spans="1:15" ht="18.75" customHeight="1">
      <c r="A30" s="70" t="s">
        <v>109</v>
      </c>
      <c r="B30" s="75" t="s">
        <v>18</v>
      </c>
      <c r="C30" s="86">
        <f>C27+2407.03</f>
        <v>36452.729999999996</v>
      </c>
      <c r="D30" s="81" t="s">
        <v>66</v>
      </c>
      <c r="E30" s="64"/>
      <c r="F30" s="64"/>
      <c r="G30" s="64"/>
      <c r="H30" s="64"/>
      <c r="I30" s="64"/>
      <c r="J30" s="64"/>
      <c r="M30" s="193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3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3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3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3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92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92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92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2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2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2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2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2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50673.320000000022</v>
      </c>
      <c r="F45" s="94" t="s">
        <v>168</v>
      </c>
      <c r="G45" s="66"/>
      <c r="H45" s="66"/>
      <c r="L45" s="63"/>
      <c r="M45" s="192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3378.5547433409015</v>
      </c>
      <c r="D46" s="94" t="s">
        <v>169</v>
      </c>
      <c r="E46" s="68"/>
      <c r="G46" s="67"/>
      <c r="H46" s="67"/>
      <c r="L46" s="63"/>
      <c r="M46" s="192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49987.010000000009</v>
      </c>
      <c r="D47" s="94" t="s">
        <v>167</v>
      </c>
      <c r="E47" s="68"/>
      <c r="G47" s="67"/>
      <c r="H47" s="67"/>
      <c r="L47" s="63"/>
      <c r="M47" s="192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686.31000000001222</v>
      </c>
      <c r="D48" s="80" t="s">
        <v>59</v>
      </c>
      <c r="E48" s="158"/>
      <c r="G48" s="67"/>
      <c r="H48" s="67"/>
      <c r="L48" s="63"/>
      <c r="M48" s="192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50673.320000000022</v>
      </c>
      <c r="D49" s="80" t="s">
        <v>59</v>
      </c>
      <c r="E49" s="158"/>
      <c r="G49" s="67"/>
      <c r="H49" s="67"/>
      <c r="L49" s="63"/>
      <c r="M49" s="192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50673.320000000022</v>
      </c>
      <c r="D50" s="80" t="s">
        <v>59</v>
      </c>
      <c r="E50" s="158"/>
      <c r="G50" s="67"/>
      <c r="H50" s="67"/>
      <c r="L50" s="63"/>
      <c r="M50" s="192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2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2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97504.93</v>
      </c>
      <c r="F53" s="94" t="s">
        <v>168</v>
      </c>
      <c r="G53" s="66"/>
      <c r="H53" s="66"/>
      <c r="L53" s="63"/>
      <c r="M53" s="192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5858.0537630916615</v>
      </c>
      <c r="D54" s="94" t="s">
        <v>169</v>
      </c>
      <c r="E54" s="69"/>
      <c r="F54" s="89"/>
      <c r="G54" s="64"/>
      <c r="H54" s="64"/>
      <c r="L54" s="63"/>
      <c r="M54" s="192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95784.21</v>
      </c>
      <c r="D55" s="94" t="s">
        <v>167</v>
      </c>
      <c r="E55" s="69"/>
      <c r="G55" s="64"/>
      <c r="H55" s="64"/>
      <c r="L55" s="63"/>
      <c r="M55" s="192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1720.7199999999866</v>
      </c>
      <c r="D56" s="80" t="s">
        <v>59</v>
      </c>
      <c r="E56" s="69"/>
      <c r="G56" s="64"/>
      <c r="H56" s="64"/>
      <c r="L56" s="63"/>
      <c r="M56" s="192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97504.93</v>
      </c>
      <c r="D57" s="80" t="s">
        <v>59</v>
      </c>
      <c r="E57" s="69"/>
      <c r="G57" s="64"/>
      <c r="H57" s="64"/>
      <c r="L57" s="63"/>
      <c r="M57" s="192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97504.93</v>
      </c>
      <c r="D58" s="80" t="s">
        <v>59</v>
      </c>
      <c r="E58" s="69"/>
      <c r="G58" s="64"/>
      <c r="H58" s="64"/>
      <c r="L58" s="63"/>
      <c r="M58" s="192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2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2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2023-03-30T08:39:13Z</dcterms:modified>
</cp:coreProperties>
</file>