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8" i="3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5" i="1"/>
  <c r="G94" i="1"/>
  <c r="K94" i="1"/>
  <c r="A94" i="1" l="1"/>
  <c r="A96" i="1"/>
  <c r="D94" i="1"/>
  <c r="A99" i="1"/>
  <c r="A100" i="1"/>
  <c r="A115" i="1"/>
  <c r="F118" i="1"/>
  <c r="F102" i="1"/>
  <c r="A110" i="1"/>
  <c r="A109" i="1"/>
  <c r="A111" i="1"/>
  <c r="A122" i="1"/>
  <c r="A105" i="1"/>
  <c r="A114" i="1"/>
  <c r="A123" i="1"/>
  <c r="D110" i="1"/>
  <c r="A112" i="1"/>
  <c r="A116" i="1"/>
  <c r="A119" i="1"/>
  <c r="A125" i="1"/>
  <c r="F110" i="1"/>
  <c r="A113" i="1"/>
  <c r="A118" i="1"/>
  <c r="A121" i="1"/>
  <c r="A141" i="1"/>
  <c r="F134" i="1"/>
  <c r="A137" i="1"/>
  <c r="A138" i="1"/>
  <c r="A134" i="1"/>
  <c r="A135" i="1"/>
  <c r="A139" i="1"/>
  <c r="A106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7" i="1" l="1"/>
  <c r="F179" i="1"/>
  <c r="F175" i="1"/>
  <c r="H171" i="1"/>
  <c r="H177" i="1"/>
  <c r="H165" i="1"/>
  <c r="H170" i="1"/>
  <c r="H167" i="1"/>
  <c r="H179" i="1"/>
  <c r="F171" i="1"/>
  <c r="H186" i="1"/>
  <c r="F177" i="1"/>
  <c r="F170" i="1"/>
  <c r="F165" i="1"/>
  <c r="F186" i="1"/>
  <c r="F172" i="1"/>
  <c r="H176" i="1"/>
  <c r="H172" i="1"/>
  <c r="H178" i="1"/>
  <c r="F168" i="1"/>
  <c r="H168" i="1"/>
  <c r="F173" i="1"/>
  <c r="H164" i="1"/>
  <c r="F176" i="1"/>
  <c r="H173" i="1"/>
  <c r="F178" i="1"/>
  <c r="H184" i="1"/>
  <c r="F181" i="1"/>
  <c r="F180" i="1"/>
  <c r="F187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<sst xmlns="http://schemas.openxmlformats.org/spreadsheetml/2006/main" count="556" uniqueCount="206">
  <si>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</si>
  <si>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</si>
  <si>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</si>
  <si>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</si>
  <si>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</si>
  <si>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</si>
  <si>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</si>
  <si>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</si>
  <si>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</si>
  <si>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</si>
  <si>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</si>
  <si>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</si>
  <si>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</si>
  <si>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</si>
  <si>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</si>
  <si>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</si>
  <si>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</si>
  <si>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</si>
  <si>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</si>
  <si>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</si>
  <si>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</si>
  <si>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</si>
  <si>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</si>
  <si>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</si>
  <si>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</si>
  <si>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</si>
  <si>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</si>
  <si>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</si>
  <si>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</si>
  <si>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</si>
  <si>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</si>
  <si>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</si>
  <si>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</si>
  <si>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</si>
  <si>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</si>
  <si>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</si>
  <si>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</si>
  <si>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</si>
  <si>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</si>
  <si>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</si>
  <si>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</si>
  <si>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</si>
  <si>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</si>
  <si>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</si>
  <si>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</si>
  <si>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</si>
  <si>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</si>
  <si>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</si>
  <si>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</si>
  <si>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</si>
  <si>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</si>
  <si>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</si>
  <si>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</si>
  <si>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</si>
  <si>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</si>
  <si>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</si>
  <si>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</si>
  <si>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</si>
  <si>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</si>
  <si>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</si>
  <si>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</si>
  <si>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</si>
  <si>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</si>
  <si>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</si>
  <si>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</si>
  <si>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</si>
  <si>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</si>
  <si>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</si>
  <si>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</si>
  <si>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</si>
  <si>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</si>
  <si>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</si>
  <si>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</si>
  <si>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</si>
  <si>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</si>
  <si>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</si>
  <si>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</si>
  <si>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</si>
  <si>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</si>
  <si>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</si>
  <si>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</si>
  <si>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</si>
  <si>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</si>
  <si>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</si>
  <si>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</si>
  <si>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</si>
  <si>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</si>
  <si>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</si>
  <si>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</si>
  <si>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</si>
  <si>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</si>
  <si>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</si>
  <si>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</si>
  <si>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</si>
  <si>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</si>
  <si>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</si>
  <si>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</si>
  <si>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</si>
  <si>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</si>
  <si>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</si>
  <si>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</si>
  <si>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</si>
  <si>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</si>
  <si>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</si>
  <si>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</si>
  <si>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</si>
  <si>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</si>
  <si>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</si>
  <si>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</si>
  <si>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</si>
  <si>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</si>
  <si>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</si>
  <si>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</si>
  <si>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</si>
  <si>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</si>
  <si>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</si>
  <si>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</si>
  <si>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</si>
  <si>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</si>
  <si>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</si>
  <si>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</si>
  <si>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</si>
  <si>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</si>
  <si>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</si>
  <si>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</si>
  <si>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</si>
  <si>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</si>
  <si>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</si>
  <si>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</si>
  <si>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</si>
  <si>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</si>
  <si>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</si>
  <si>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</si>
  <si>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</si>
  <si>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</si>
  <si>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</si>
  <si>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</si>
  <si>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</si>
  <si>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</si>
  <si>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</si>
  <si>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</si>
  <si>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</si>
  <si>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</si>
  <si>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</si>
  <si>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</si>
  <si>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</si>
  <si>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</si>
  <si>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</si>
  <si>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</si>
  <si>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</si>
  <si>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</si>
  <si>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</si>
  <si>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</si>
  <si>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</si>
  <si>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</si>
  <si>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</si>
  <si>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</si>
  <si>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</si>
  <si>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</si>
  <si>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</si>
  <si>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</si>
  <si>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</si>
  <si>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</si>
  <si>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</si>
  <si>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</si>
  <si>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</si>
  <si>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</si>
  <si>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</si>
  <si>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</si>
  <si>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</si>
  <si>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</si>
  <si>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</si>
  <si>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</si>
  <si>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</si>
  <si>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</si>
  <si>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</si>
  <si>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</si>
  <si>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</t>
  </si>
  <si>
    <t>Отчет об исполнении договора управления многоквартирного дома 
Мамина-Сибиряка, 31 в части текущего ремонта</t>
  </si>
  <si>
    <t>Техническое обслуживание охранной сигнализации ИТП.</t>
  </si>
  <si>
    <t>ежемесячно</t>
  </si>
  <si>
    <t>ежегодно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</si>
  <si>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</si>
  <si>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</si>
  <si>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</si>
  <si>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</si>
  <si>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</si>
  <si>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</si>
  <si>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</si>
  <si>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</si>
  <si>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Приобретение и замена напольного покрытия в тамбуре.</t>
  </si>
  <si>
    <t>разово</t>
  </si>
  <si>
    <t>АВР 1/22 от 07.02.2022, Решение</t>
  </si>
  <si>
    <t>Замена доводчика на тамбурную дверь.</t>
  </si>
  <si>
    <t>АВР 2/22 от 07.02.2021, Решение</t>
  </si>
  <si>
    <t>Изготовление и монтаж вентиляционного зонта.</t>
  </si>
  <si>
    <t>счет №19 от 04.10.2022</t>
  </si>
  <si>
    <t>Ремонт подъезда (1-й этаж).</t>
  </si>
  <si>
    <t>Изготовление и монтаж поручня на лестнице.</t>
  </si>
  <si>
    <t>АВР 3/22 от 03.11.2022, Решение</t>
  </si>
  <si>
    <t>Механизированная уборка и вывоз снега с придомовой территории.</t>
  </si>
  <si>
    <t>АВР 4/22 от 09.03.2022, Решение</t>
  </si>
  <si>
    <t>АВР 5/22 от 31.12.2022</t>
  </si>
  <si>
    <t>АВР 6/22 от 28.02.2022</t>
  </si>
  <si>
    <t>АВР 7/22 от 21.10.2022, Решение, счет №8 от 14.09.2022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</si>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</sst>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</cellStyleXfs>
  <cellXfs count="196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38" fillId="0" borderId="0" xfId="0" applyNumberFormat="1" applyFo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12" fillId="0" borderId="0" xfId="9" applyFont="1" applyFill="1" applyBorder="1" applyAlignment="1">
      <alignment horizontal="center"/>
    </xf>
    <xf numFmtId="1" fontId="12" fillId="0" borderId="0" xfId="9" applyNumberFormat="1" applyFill="1" applyBorder="1" applyAlignment="1">
      <alignment horizontal="center"/>
    </xf>
    <xf numFmtId="4" fontId="12" fillId="0" borderId="0" xfId="9" applyNumberFormat="1" applyFill="1" applyBorder="1" applyAlignment="1"/>
    <xf numFmtId="0" fontId="0" fillId="0" borderId="0" xfId="0" applyFill="1" applyBorder="1"/>
    <xf numFmtId="0" fontId="11" fillId="0" borderId="0" xfId="9" applyFont="1" applyFill="1" applyBorder="1" applyAlignment="1"/>
    <xf numFmtId="0" fontId="10" fillId="0" borderId="0" xfId="9" applyFont="1" applyFill="1" applyBorder="1" applyAlignment="1"/>
    <xf numFmtId="0" fontId="9" fillId="0" borderId="0" xfId="2" applyFont="1" applyFill="1" applyBorder="1" applyAlignment="1"/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49" fontId="21" fillId="3" borderId="0" xfId="0" applyNumberFormat="1" applyFont="1" applyFill="1" applyBorder="1" applyAlignment="1">
      <alignment wrapText="1"/>
    </xf>
    <xf numFmtId="4" fontId="20" fillId="3" borderId="0" xfId="0" applyNumberFormat="1" applyFont="1" applyFill="1"/>
    <xf numFmtId="0" fontId="12" fillId="0" borderId="0" xfId="9" applyFont="1" applyFill="1" applyBorder="1" applyAlignment="1"/>
    <xf numFmtId="0" fontId="0" fillId="6" borderId="0" xfId="0" applyFill="1" applyBorder="1"/>
    <xf numFmtId="0" fontId="15" fillId="0" borderId="0" xfId="4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19" applyNumberFormat="1" applyFont="1" applyFill="1" applyBorder="1" applyAlignment="1">
      <alignment horizontal="left" vertical="center" wrapText="1"/>
    </xf>
    <xf numFmtId="0" fontId="7" fillId="0" borderId="0" xfId="23" applyNumberFormat="1" applyFill="1" applyBorder="1" applyAlignment="1">
      <alignment horizontal="center"/>
    </xf>
    <xf numFmtId="4" fontId="7" fillId="0" borderId="0" xfId="23" applyNumberFormat="1" applyFill="1" applyBorder="1" applyAlignment="1">
      <alignment vertical="center"/>
    </xf>
    <xf numFmtId="0" fontId="7" fillId="0" borderId="0" xfId="23" applyFont="1" applyFill="1" applyBorder="1" applyAlignment="1"/>
    <xf numFmtId="0" fontId="7" fillId="0" borderId="0" xfId="23" applyFont="1" applyFill="1" applyBorder="1" applyAlignment="1">
      <alignment horizontal="center"/>
    </xf>
    <xf numFmtId="0" fontId="7" fillId="0" borderId="0" xfId="23" applyFont="1" applyFill="1" applyBorder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6" borderId="0" xfId="2" applyFont="1" applyFill="1" applyBorder="1" applyAlignment="1"/>
    <xf numFmtId="0" fontId="5" fillId="6" borderId="0" xfId="4" applyFont="1" applyFill="1" applyBorder="1" applyAlignment="1">
      <alignment horizontal="center"/>
    </xf>
    <xf numFmtId="0" fontId="15" fillId="6" borderId="0" xfId="4" applyFill="1" applyBorder="1" applyAlignment="1">
      <alignment horizontal="center"/>
    </xf>
    <xf numFmtId="4" fontId="28" fillId="6" borderId="0" xfId="4" applyNumberFormat="1" applyFont="1" applyFill="1" applyBorder="1" applyAlignment="1"/>
    <xf numFmtId="0" fontId="3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0" fontId="2" fillId="0" borderId="0" xfId="23" applyFont="1" applyFill="1" applyBorder="1" applyAlignment="1"/>
    <xf numFmtId="0" fontId="2" fillId="0" borderId="0" xfId="23" applyFont="1" applyFill="1" applyBorder="1"/>
    <xf numFmtId="0" fontId="13" fillId="0" borderId="0" xfId="5" applyFont="1" applyFill="1" applyBorder="1" applyAlignment="1"/>
    <xf numFmtId="0" fontId="14" fillId="0" borderId="0" xfId="5" applyFill="1" applyBorder="1" applyAlignment="1">
      <alignment horizontal="center"/>
    </xf>
    <xf numFmtId="1" fontId="14" fillId="0" borderId="0" xfId="5" applyNumberFormat="1" applyFill="1" applyBorder="1" applyAlignment="1">
      <alignment horizontal="center"/>
    </xf>
    <xf numFmtId="4" fontId="14" fillId="0" borderId="0" xfId="5" applyNumberFormat="1" applyFill="1" applyBorder="1" applyAlignment="1"/>
    <xf numFmtId="0" fontId="14" fillId="0" borderId="0" xfId="5" applyFill="1" applyBorder="1" applyAlignment="1"/>
    <xf numFmtId="4" fontId="28" fillId="0" borderId="0" xfId="5" applyNumberFormat="1" applyFont="1" applyFill="1" applyBorder="1" applyAlignment="1"/>
    <xf numFmtId="0" fontId="4" fillId="0" borderId="0" xfId="26" applyFont="1" applyFill="1" applyBorder="1" applyAlignment="1">
      <alignment wrapText="1"/>
    </xf>
    <xf numFmtId="0" fontId="4" fillId="0" borderId="0" xfId="26" applyFont="1" applyFill="1" applyBorder="1" applyAlignment="1">
      <alignment horizontal="center"/>
    </xf>
    <xf numFmtId="4" fontId="4" fillId="0" borderId="0" xfId="26" applyNumberFormat="1" applyFill="1" applyBorder="1" applyAlignment="1"/>
    <xf numFmtId="0" fontId="1" fillId="0" borderId="0" xfId="26" applyFont="1" applyFill="1" applyBorder="1"/>
    <xf numFmtId="4" fontId="20" fillId="0" borderId="0" xfId="0" applyNumberFormat="1" applyFont="1" applyBorder="1"/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27">
    <cellStyle name="Обычный" xfId="0" builtinId="0"/>
    <cellStyle name="Обычный 2" xfId="1"/>
    <cellStyle name="Обычный 2 2" xfId="3"/>
    <cellStyle name="Обычный 2 3" xfId="6"/>
    <cellStyle name="Обычный 2 3 2" xfId="14"/>
    <cellStyle name="Обычный 2 4" xfId="10"/>
    <cellStyle name="Обычный 2 5" xfId="19"/>
    <cellStyle name="Обычный 2 5 2" xfId="25"/>
    <cellStyle name="Обычный 2 6" xfId="20"/>
    <cellStyle name="Обычный 3" xfId="2"/>
    <cellStyle name="Обычный 3 2" xfId="7"/>
    <cellStyle name="Обычный 3 2 2" xfId="15"/>
    <cellStyle name="Обычный 3 3" xfId="11"/>
    <cellStyle name="Обычный 3 4" xfId="21"/>
    <cellStyle name="Обычный 4" xfId="4"/>
    <cellStyle name="Обычный 4 2" xfId="8"/>
    <cellStyle name="Обычный 4 2 2" xfId="16"/>
    <cellStyle name="Обычный 4 3" xfId="12"/>
    <cellStyle name="Обычный 4 4" xfId="22"/>
    <cellStyle name="Обычный 5" xfId="5"/>
    <cellStyle name="Обычный 5 2" xfId="9"/>
    <cellStyle name="Обычный 5 2 2" xfId="18"/>
    <cellStyle name="Обычный 5 2 3" xfId="24"/>
    <cellStyle name="Обычный 5 3" xfId="17"/>
    <cellStyle name="Обычный 5 4" xfId="13"/>
    <cellStyle name="Обычный 5 5" xfId="23"/>
    <cellStyle name="Обычный 6 3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2" t="s">
        <v>177</v>
      </c>
      <c r="B2" s="182"/>
      <c r="C2" s="182"/>
      <c r="D2" s="182"/>
      <c r="E2" s="182"/>
      <c r="F2" s="182"/>
      <c r="G2" s="182"/>
      <c r="H2" s="182"/>
      <c r="I2" s="182"/>
      <c r="J2" s="18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6" t="s">
        <v>2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9"/>
      <c r="L8" s="183"/>
      <c r="M8" s="109"/>
      <c r="N8" s="109"/>
      <c r="O8" s="70" t="s">
        <v>83</v>
      </c>
      <c r="R8" s="16"/>
    </row>
    <row r="9" spans="1:18" ht="18.75" customHeight="1" outlineLevel="1">
      <c r="A9" s="176" t="s">
        <v>3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9"/>
      <c r="L9" s="183"/>
      <c r="M9" s="109"/>
      <c r="N9" s="109"/>
      <c r="O9" s="70" t="s">
        <v>84</v>
      </c>
    </row>
    <row r="10" spans="1:18" ht="18.75" customHeight="1" outlineLevel="1">
      <c r="A10" s="176" t="s">
        <v>4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62583.5</v>
      </c>
      <c r="K10" s="109"/>
      <c r="L10" s="183"/>
      <c r="M10" s="109"/>
      <c r="N10" s="109"/>
      <c r="O10" s="70" t="s">
        <v>85</v>
      </c>
    </row>
    <row r="11" spans="1:18" outlineLevel="1">
      <c r="A11" s="176" t="s">
        <v>5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883063.5</v>
      </c>
      <c r="K11" s="109"/>
      <c r="L11" s="183"/>
      <c r="M11" s="109"/>
      <c r="N11" s="109"/>
      <c r="O11" s="70" t="s">
        <v>86</v>
      </c>
    </row>
    <row r="12" spans="1:18" ht="18.75" customHeight="1" outlineLevel="1">
      <c r="A12" s="176" t="s">
        <v>6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523363.50000000006</v>
      </c>
      <c r="K12" s="109"/>
      <c r="L12" s="183"/>
      <c r="M12" s="109"/>
      <c r="N12" s="109"/>
      <c r="O12" s="70" t="s">
        <v>87</v>
      </c>
    </row>
    <row r="13" spans="1:18" ht="18.75" customHeight="1" outlineLevel="1">
      <c r="A13" s="176" t="s">
        <v>7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179850</v>
      </c>
      <c r="K13" s="109"/>
      <c r="L13" s="183"/>
      <c r="M13" s="109"/>
      <c r="N13" s="109"/>
      <c r="O13" s="70" t="s">
        <v>88</v>
      </c>
    </row>
    <row r="14" spans="1:18" ht="18.75" customHeight="1" outlineLevel="1">
      <c r="A14" s="176" t="s">
        <v>8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179850</v>
      </c>
      <c r="K14" s="109"/>
      <c r="L14" s="183"/>
      <c r="M14" s="109"/>
      <c r="N14" s="109"/>
      <c r="O14" s="70" t="s">
        <v>89</v>
      </c>
    </row>
    <row r="15" spans="1:18" ht="18.75" customHeight="1" outlineLevel="1">
      <c r="A15" s="176" t="s">
        <v>9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952229.25999999989</v>
      </c>
      <c r="K15" s="109"/>
      <c r="L15" s="183"/>
      <c r="M15" s="109"/>
      <c r="N15" s="109"/>
      <c r="O15" s="70" t="s">
        <v>90</v>
      </c>
    </row>
    <row r="16" spans="1:18" ht="18.75" customHeight="1" outlineLevel="1">
      <c r="A16" s="176" t="s">
        <v>10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952229.25999999989</v>
      </c>
      <c r="K16" s="109"/>
      <c r="L16" s="183"/>
      <c r="M16" s="109"/>
      <c r="N16" s="109"/>
      <c r="O16" s="70" t="s">
        <v>91</v>
      </c>
    </row>
    <row r="17" spans="1:23" ht="18.75" customHeight="1" outlineLevel="1">
      <c r="A17" s="176" t="s">
        <v>11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9"/>
      <c r="L17" s="183"/>
      <c r="M17" s="109"/>
      <c r="N17" s="109"/>
      <c r="O17" s="70" t="s">
        <v>92</v>
      </c>
    </row>
    <row r="18" spans="1:23" ht="18.75" customHeight="1" outlineLevel="1">
      <c r="A18" s="176" t="s">
        <v>12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9"/>
      <c r="L18" s="183"/>
      <c r="M18" s="109"/>
      <c r="N18" s="109"/>
      <c r="O18" s="70" t="s">
        <v>93</v>
      </c>
    </row>
    <row r="19" spans="1:23" ht="18.75" customHeight="1" outlineLevel="1">
      <c r="A19" s="176" t="s">
        <v>13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9"/>
      <c r="L19" s="183"/>
      <c r="M19" s="109"/>
      <c r="N19" s="109"/>
      <c r="O19" s="70" t="s">
        <v>94</v>
      </c>
    </row>
    <row r="20" spans="1:23" ht="18.75" customHeight="1" outlineLevel="1">
      <c r="A20" s="176" t="s">
        <v>14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9"/>
      <c r="L20" s="183"/>
      <c r="M20" s="109"/>
      <c r="N20" s="109"/>
      <c r="O20" s="70" t="s">
        <v>95</v>
      </c>
    </row>
    <row r="21" spans="1:23" ht="18.75" customHeight="1" outlineLevel="1">
      <c r="A21" s="176" t="s">
        <v>15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952229.25999999989</v>
      </c>
      <c r="K21" s="109"/>
      <c r="L21" s="183"/>
      <c r="M21" s="109"/>
      <c r="N21" s="109"/>
      <c r="O21" s="70" t="s">
        <v>96</v>
      </c>
    </row>
    <row r="22" spans="1:23" ht="18.75" customHeight="1" outlineLevel="1">
      <c r="A22" s="176" t="s">
        <v>16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6582.2599999998929</v>
      </c>
      <c r="K22" s="109"/>
      <c r="L22" s="183"/>
      <c r="M22" s="109"/>
      <c r="N22" s="109"/>
      <c r="O22" s="70" t="s">
        <v>97</v>
      </c>
    </row>
    <row r="23" spans="1:23" ht="18.75" customHeight="1" outlineLevel="1">
      <c r="A23" s="176" t="s">
        <v>17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9"/>
      <c r="L23" s="183"/>
      <c r="M23" s="109"/>
      <c r="N23" s="109"/>
      <c r="O23" s="70" t="s">
        <v>98</v>
      </c>
    </row>
    <row r="24" spans="1:23" ht="18.75" customHeight="1" outlineLevel="1">
      <c r="A24" s="176" t="s">
        <v>18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0</v>
      </c>
      <c r="K24" s="109"/>
      <c r="L24" s="183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09"/>
      <c r="L27" s="18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72">
        <f>VLOOKUP(A28,ПТО!$A$39:$D$53,2,FALSE)</f>
        <v>229128.96000000002</v>
      </c>
      <c r="G28" s="172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09"/>
      <c r="L28" s="18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7">
        <f>ПТО!A40</f>
        <v>0</v>
      </c>
      <c r="B29" s="167"/>
      <c r="C29" s="167"/>
      <c r="D29" s="167"/>
      <c r="E29" s="167"/>
      <c r="F29" s="172" t="e">
        <f>VLOOKUP(A29,ПТО!$A$39:$D$53,2,FALSE)</f>
        <v>#N/A</v>
      </c>
      <c r="G29" s="172"/>
      <c r="H29" s="42" t="e">
        <f>VLOOKUP(A29,ПТО!$A$39:$D$53,3,FALSE)</f>
        <v>#N/A</v>
      </c>
      <c r="I29" s="168" t="e">
        <f>VLOOKUP(A29,ПТО!$A$39:$D$53,4,FALSE)</f>
        <v>#N/A</v>
      </c>
      <c r="J29" s="168"/>
      <c r="K29" s="109"/>
      <c r="L29" s="184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72">
        <f>VLOOKUP(A30,ПТО!$A$39:$D$53,2,FALSE)</f>
        <v>75537</v>
      </c>
      <c r="G30" s="172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09"/>
      <c r="L30" s="18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72">
        <f>VLOOKUP(A31,ПТО!$A$39:$D$53,2,FALSE)</f>
        <v>43164</v>
      </c>
      <c r="G31" s="172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09"/>
      <c r="L31" s="18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09"/>
      <c r="L32" s="184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72">
        <f>VLOOKUP(A33,ПТО!$A$39:$D$53,2,FALSE)</f>
        <v>14388</v>
      </c>
      <c r="G33" s="172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09"/>
      <c r="L33" s="18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72">
        <f>VLOOKUP(A34,ПТО!$A$39:$D$53,2,FALSE)</f>
        <v>93522</v>
      </c>
      <c r="G34" s="172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09"/>
      <c r="L34" s="18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7" t="str">
        <f>ПТО!A46</f>
        <v>Работы по содержанию лифта (лифтов)</v>
      </c>
      <c r="B35" s="167"/>
      <c r="C35" s="167"/>
      <c r="D35" s="167"/>
      <c r="E35" s="167"/>
      <c r="F35" s="172">
        <f>VLOOKUP(A35,ПТО!$A$39:$D$53,2,FALSE)</f>
        <v>67623.600000000006</v>
      </c>
      <c r="G35" s="172"/>
      <c r="H35" s="42" t="str">
        <f>VLOOKUP(A35,ПТО!$A$39:$D$53,3,FALSE)</f>
        <v>Ежемесячно</v>
      </c>
      <c r="I35" s="168">
        <f>VLOOKUP(A35,ПТО!$A$39:$D$53,4,FALSE)</f>
        <v>12</v>
      </c>
      <c r="J35" s="168"/>
      <c r="K35" s="109"/>
      <c r="L35" s="184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7">
        <f>ПТО!A47</f>
        <v>0</v>
      </c>
      <c r="B36" s="167"/>
      <c r="C36" s="167"/>
      <c r="D36" s="167"/>
      <c r="E36" s="167"/>
      <c r="F36" s="172" t="e">
        <f>VLOOKUP(A36,ПТО!$A$39:$D$53,2,FALSE)</f>
        <v>#N/A</v>
      </c>
      <c r="G36" s="172"/>
      <c r="H36" s="42" t="e">
        <f>VLOOKUP(A36,ПТО!$A$39:$D$53,3,FALSE)</f>
        <v>#N/A</v>
      </c>
      <c r="I36" s="168" t="e">
        <f>VLOOKUP(A36,ПТО!$A$39:$D$53,4,FALSE)</f>
        <v>#N/A</v>
      </c>
      <c r="J36" s="168"/>
      <c r="K36" s="109"/>
      <c r="L36" s="184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09"/>
      <c r="L37" s="184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09"/>
      <c r="L38" s="184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09"/>
      <c r="L39" s="184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09"/>
      <c r="L40" s="184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09"/>
      <c r="L41" s="184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09"/>
      <c r="L42" s="184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7" t="str">
        <f>ПТО!A2</f>
        <v>Техническое обслуживание охранной сигнализации ИТП.</v>
      </c>
      <c r="B43" s="167"/>
      <c r="C43" s="167"/>
      <c r="D43" s="167"/>
      <c r="E43" s="167"/>
      <c r="F43" s="172">
        <f>VLOOKUP(A43,ПТО!$A$2:$D$31,4,FALSE)</f>
        <v>6000</v>
      </c>
      <c r="G43" s="172"/>
      <c r="H43" s="19" t="str">
        <f>VLOOKUP(A43,ПТО!$A$2:$D$31,2,FALSE)</f>
        <v>ежемесячно</v>
      </c>
      <c r="I43" s="168">
        <f>VLOOKUP(A43,ПТО!$A$2:$D$31,3,FALSE)</f>
        <v>12</v>
      </c>
      <c r="J43" s="168"/>
      <c r="K43" s="109"/>
      <c r="L43" s="184"/>
      <c r="M43" s="115"/>
      <c r="N43" s="109"/>
      <c r="O43" s="23" t="str">
        <f t="shared" si="1"/>
        <v>Техническое обслуживание охранной сигнализации ИТП.</v>
      </c>
      <c r="R43" s="22" t="s">
        <v>72</v>
      </c>
    </row>
    <row r="44" spans="1:18" ht="51" customHeight="1" outlineLevel="1">
      <c r="A44" s="167" t="str">
        <f>ПТО!A3</f>
        <v>Техническое освидетельствование лифта.</v>
      </c>
      <c r="B44" s="167"/>
      <c r="C44" s="167"/>
      <c r="D44" s="167"/>
      <c r="E44" s="167"/>
      <c r="F44" s="172">
        <f>VLOOKUP(A44,ПТО!$A$2:$D$31,4,FALSE)</f>
        <v>8100</v>
      </c>
      <c r="G44" s="172"/>
      <c r="H44" s="25" t="str">
        <f>VLOOKUP(A44,ПТО!$A$2:$D$31,2,FALSE)</f>
        <v>ежегодно</v>
      </c>
      <c r="I44" s="168">
        <f>VLOOKUP(A44,ПТО!$A$2:$D$31,3,FALSE)</f>
        <v>1</v>
      </c>
      <c r="J44" s="168"/>
      <c r="K44" s="109"/>
      <c r="L44" s="184"/>
      <c r="M44" s="115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67" t="str">
        <f>ПТО!A4</f>
        <v>Механизированная уборка и вывоз снега с придомовой территории.</v>
      </c>
      <c r="B45" s="167"/>
      <c r="C45" s="167"/>
      <c r="D45" s="167"/>
      <c r="E45" s="167"/>
      <c r="F45" s="172">
        <f>VLOOKUP(A45,ПТО!$A$2:$D$31,4,FALSE)</f>
        <v>19834</v>
      </c>
      <c r="G45" s="172"/>
      <c r="H45" s="25" t="str">
        <f>VLOOKUP(A45,ПТО!$A$2:$D$31,2,FALSE)</f>
        <v>разово</v>
      </c>
      <c r="I45" s="168">
        <f>VLOOKUP(A45,ПТО!$A$2:$D$31,3,FALSE)</f>
        <v>1</v>
      </c>
      <c r="J45" s="168"/>
      <c r="K45" s="109"/>
      <c r="L45" s="184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7" t="str">
        <f>ПТО!A5</f>
        <v>Приобретение и замена напольного покрытия в тамбуре.</v>
      </c>
      <c r="B46" s="167"/>
      <c r="C46" s="167"/>
      <c r="D46" s="167"/>
      <c r="E46" s="167"/>
      <c r="F46" s="172">
        <f>VLOOKUP(A46,ПТО!$A$2:$D$31,4,FALSE)</f>
        <v>1400</v>
      </c>
      <c r="G46" s="172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09"/>
      <c r="L46" s="184"/>
      <c r="M46" s="115"/>
      <c r="N46" s="109"/>
      <c r="O46" s="23" t="str">
        <f t="shared" si="1"/>
        <v>Приобретение и замена напольного покрытия в тамбуре.</v>
      </c>
      <c r="R46" s="22" t="s">
        <v>72</v>
      </c>
    </row>
    <row r="47" spans="1:18" ht="51" customHeight="1" outlineLevel="1">
      <c r="A47" s="167" t="str">
        <f>ПТО!A6</f>
        <v>Замена доводчика на тамбурную дверь.</v>
      </c>
      <c r="B47" s="167"/>
      <c r="C47" s="167"/>
      <c r="D47" s="167"/>
      <c r="E47" s="167"/>
      <c r="F47" s="172">
        <f>VLOOKUP(A47,ПТО!$A$2:$D$31,4,FALSE)</f>
        <v>1500</v>
      </c>
      <c r="G47" s="172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09"/>
      <c r="L47" s="184"/>
      <c r="M47" s="115"/>
      <c r="N47" s="109"/>
      <c r="O47" s="23" t="str">
        <f t="shared" si="1"/>
        <v>Замена доводчика на тамбурную дверь.</v>
      </c>
      <c r="R47" s="22" t="s">
        <v>72</v>
      </c>
    </row>
    <row r="48" spans="1:18" ht="51" customHeight="1" outlineLevel="1">
      <c r="A48" s="167" t="str">
        <f>ПТО!A7</f>
        <v>Изготовление и монтаж поручня на лестнице.</v>
      </c>
      <c r="B48" s="167"/>
      <c r="C48" s="167"/>
      <c r="D48" s="167"/>
      <c r="E48" s="167"/>
      <c r="F48" s="172">
        <f>VLOOKUP(A48,ПТО!$A$2:$D$31,4,FALSE)</f>
        <v>8248</v>
      </c>
      <c r="G48" s="172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09"/>
      <c r="L48" s="184"/>
      <c r="M48" s="115"/>
      <c r="N48" s="109"/>
      <c r="O48" s="23" t="str">
        <f t="shared" si="1"/>
        <v>Изготовление и монтаж поручня на лестнице.</v>
      </c>
      <c r="R48" s="22" t="s">
        <v>72</v>
      </c>
    </row>
    <row r="49" spans="1:18" ht="51" customHeight="1" outlineLevel="1">
      <c r="A49" s="167" t="str">
        <f>ПТО!A8</f>
        <v>Изготовление и монтаж вентиляционного зонта.</v>
      </c>
      <c r="B49" s="167"/>
      <c r="C49" s="167"/>
      <c r="D49" s="167"/>
      <c r="E49" s="167"/>
      <c r="F49" s="172">
        <f>VLOOKUP(A49,ПТО!$A$2:$D$31,4,FALSE)</f>
        <v>70220</v>
      </c>
      <c r="G49" s="172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09"/>
      <c r="L49" s="184"/>
      <c r="M49" s="115"/>
      <c r="N49" s="109"/>
      <c r="O49" s="23" t="str">
        <f t="shared" si="1"/>
        <v>Изготовление и монтаж вентиляционного зонта.</v>
      </c>
      <c r="R49" s="22" t="s">
        <v>72</v>
      </c>
    </row>
    <row r="50" spans="1:18" ht="51" customHeight="1" outlineLevel="1">
      <c r="A50" s="167" t="str">
        <f>ПТО!A9</f>
        <v>Ремонт подъезда (1-й этаж).</v>
      </c>
      <c r="B50" s="167"/>
      <c r="C50" s="167"/>
      <c r="D50" s="167"/>
      <c r="E50" s="167"/>
      <c r="F50" s="172">
        <f>VLOOKUP(A50,ПТО!$A$2:$D$31,4,FALSE)</f>
        <v>208119.2</v>
      </c>
      <c r="G50" s="172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09"/>
      <c r="L50" s="184"/>
      <c r="M50" s="115"/>
      <c r="N50" s="109"/>
      <c r="O50" s="23" t="str">
        <f t="shared" si="1"/>
        <v>Ремонт подъезда (1-й этаж).</v>
      </c>
      <c r="R50" s="22" t="s">
        <v>72</v>
      </c>
    </row>
    <row r="51" spans="1:18" ht="51" hidden="1" customHeight="1" outlineLevel="1">
      <c r="A51" s="167">
        <f>ПТО!A10</f>
        <v>0</v>
      </c>
      <c r="B51" s="167"/>
      <c r="C51" s="167"/>
      <c r="D51" s="167"/>
      <c r="E51" s="167"/>
      <c r="F51" s="172" t="e">
        <f>VLOOKUP(A51,ПТО!$A$2:$D$31,4,FALSE)</f>
        <v>#N/A</v>
      </c>
      <c r="G51" s="172"/>
      <c r="H51" s="25" t="e">
        <f>VLOOKUP(A51,ПТО!$A$2:$D$31,2,FALSE)</f>
        <v>#N/A</v>
      </c>
      <c r="I51" s="168" t="e">
        <f>VLOOKUP(A51,ПТО!$A$2:$D$31,3,FALSE)</f>
        <v>#N/A</v>
      </c>
      <c r="J51" s="168"/>
      <c r="K51" s="109"/>
      <c r="L51" s="184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7">
        <f>ПТО!A11</f>
        <v>0</v>
      </c>
      <c r="B52" s="167"/>
      <c r="C52" s="167"/>
      <c r="D52" s="167"/>
      <c r="E52" s="167"/>
      <c r="F52" s="172" t="e">
        <f>VLOOKUP(A52,ПТО!$A$2:$D$31,4,FALSE)</f>
        <v>#N/A</v>
      </c>
      <c r="G52" s="172"/>
      <c r="H52" s="25" t="e">
        <f>VLOOKUP(A52,ПТО!$A$2:$D$31,2,FALSE)</f>
        <v>#N/A</v>
      </c>
      <c r="I52" s="168" t="e">
        <f>VLOOKUP(A52,ПТО!$A$2:$D$31,3,FALSE)</f>
        <v>#N/A</v>
      </c>
      <c r="J52" s="168"/>
      <c r="K52" s="109"/>
      <c r="L52" s="184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7">
        <f>ПТО!A12</f>
        <v>0</v>
      </c>
      <c r="B53" s="167"/>
      <c r="C53" s="167"/>
      <c r="D53" s="167"/>
      <c r="E53" s="167"/>
      <c r="F53" s="172" t="e">
        <f>VLOOKUP(A53,ПТО!$A$2:$D$31,4,FALSE)</f>
        <v>#N/A</v>
      </c>
      <c r="G53" s="172"/>
      <c r="H53" s="25" t="e">
        <f>VLOOKUP(A53,ПТО!$A$2:$D$31,2,FALSE)</f>
        <v>#N/A</v>
      </c>
      <c r="I53" s="168" t="e">
        <f>VLOOKUP(A53,ПТО!$A$2:$D$31,3,FALSE)</f>
        <v>#N/A</v>
      </c>
      <c r="J53" s="168"/>
      <c r="K53" s="109"/>
      <c r="L53" s="184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7">
        <f>ПТО!A13</f>
        <v>0</v>
      </c>
      <c r="B54" s="167"/>
      <c r="C54" s="167"/>
      <c r="D54" s="167"/>
      <c r="E54" s="167"/>
      <c r="F54" s="172" t="e">
        <f>VLOOKUP(A54,ПТО!$A$2:$D$31,4,FALSE)</f>
        <v>#N/A</v>
      </c>
      <c r="G54" s="172"/>
      <c r="H54" s="25" t="e">
        <f>VLOOKUP(A54,ПТО!$A$2:$D$31,2,FALSE)</f>
        <v>#N/A</v>
      </c>
      <c r="I54" s="168" t="e">
        <f>VLOOKUP(A54,ПТО!$A$2:$D$31,3,FALSE)</f>
        <v>#N/A</v>
      </c>
      <c r="J54" s="168"/>
      <c r="K54" s="109"/>
      <c r="L54" s="184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7">
        <f>ПТО!A14</f>
        <v>0</v>
      </c>
      <c r="B55" s="167"/>
      <c r="C55" s="167"/>
      <c r="D55" s="167"/>
      <c r="E55" s="167"/>
      <c r="F55" s="172" t="e">
        <f>VLOOKUP(A55,ПТО!$A$2:$D$31,4,FALSE)</f>
        <v>#N/A</v>
      </c>
      <c r="G55" s="172"/>
      <c r="H55" s="25" t="e">
        <f>VLOOKUP(A55,ПТО!$A$2:$D$31,2,FALSE)</f>
        <v>#N/A</v>
      </c>
      <c r="I55" s="168" t="e">
        <f>VLOOKUP(A55,ПТО!$A$2:$D$31,3,FALSE)</f>
        <v>#N/A</v>
      </c>
      <c r="J55" s="168"/>
      <c r="K55" s="109"/>
      <c r="L55" s="184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7">
        <f>ПТО!A15</f>
        <v>0</v>
      </c>
      <c r="B56" s="167"/>
      <c r="C56" s="167"/>
      <c r="D56" s="167"/>
      <c r="E56" s="167"/>
      <c r="F56" s="172" t="e">
        <f>VLOOKUP(A56,ПТО!$A$2:$D$31,4,FALSE)</f>
        <v>#N/A</v>
      </c>
      <c r="G56" s="172"/>
      <c r="H56" s="25" t="e">
        <f>VLOOKUP(A56,ПТО!$A$2:$D$31,2,FALSE)</f>
        <v>#N/A</v>
      </c>
      <c r="I56" s="168" t="e">
        <f>VLOOKUP(A56,ПТО!$A$2:$D$31,3,FALSE)</f>
        <v>#N/A</v>
      </c>
      <c r="J56" s="168"/>
      <c r="K56" s="109"/>
      <c r="L56" s="184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7">
        <f>ПТО!A16</f>
        <v>0</v>
      </c>
      <c r="B57" s="167"/>
      <c r="C57" s="167"/>
      <c r="D57" s="167"/>
      <c r="E57" s="167"/>
      <c r="F57" s="172" t="e">
        <f>VLOOKUP(A57,ПТО!$A$2:$D$31,4,FALSE)</f>
        <v>#N/A</v>
      </c>
      <c r="G57" s="172"/>
      <c r="H57" s="25" t="e">
        <f>VLOOKUP(A57,ПТО!$A$2:$D$31,2,FALSE)</f>
        <v>#N/A</v>
      </c>
      <c r="I57" s="168" t="e">
        <f>VLOOKUP(A57,ПТО!$A$2:$D$31,3,FALSE)</f>
        <v>#N/A</v>
      </c>
      <c r="J57" s="168"/>
      <c r="K57" s="109"/>
      <c r="L57" s="184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7">
        <f>ПТО!A17</f>
        <v>0</v>
      </c>
      <c r="B58" s="167"/>
      <c r="C58" s="167"/>
      <c r="D58" s="167"/>
      <c r="E58" s="167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68" t="e">
        <f>VLOOKUP(A58,ПТО!$A$2:$D$31,3,FALSE)</f>
        <v>#N/A</v>
      </c>
      <c r="J58" s="168"/>
      <c r="K58" s="109"/>
      <c r="L58" s="184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7">
        <f>ПТО!A18</f>
        <v>0</v>
      </c>
      <c r="B59" s="167"/>
      <c r="C59" s="167"/>
      <c r="D59" s="167"/>
      <c r="E59" s="167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68" t="e">
        <f>VLOOKUP(A59,ПТО!$A$2:$D$31,3,FALSE)</f>
        <v>#N/A</v>
      </c>
      <c r="J59" s="168"/>
      <c r="K59" s="109"/>
      <c r="L59" s="184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7">
        <f>ПТО!A19</f>
        <v>0</v>
      </c>
      <c r="B60" s="167"/>
      <c r="C60" s="167"/>
      <c r="D60" s="167"/>
      <c r="E60" s="167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68" t="e">
        <f>VLOOKUP(A60,ПТО!$A$2:$D$31,3,FALSE)</f>
        <v>#N/A</v>
      </c>
      <c r="J60" s="168"/>
      <c r="K60" s="109"/>
      <c r="L60" s="184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09"/>
      <c r="L61" s="184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09"/>
      <c r="L62" s="184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09"/>
      <c r="L63" s="184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09"/>
      <c r="L64" s="184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09"/>
      <c r="L65" s="184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09"/>
      <c r="L66" s="184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09"/>
      <c r="L67" s="184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09"/>
      <c r="L68" s="184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09"/>
      <c r="L69" s="184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09"/>
      <c r="L70" s="184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5"/>
      <c r="L71" s="184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09"/>
      <c r="L72" s="184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5" t="s">
        <v>27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09"/>
      <c r="L75" s="187"/>
      <c r="M75" s="109"/>
      <c r="N75" s="109"/>
      <c r="O75" s="70" t="s">
        <v>100</v>
      </c>
    </row>
    <row r="76" spans="1:16384" ht="18.75" customHeight="1" outlineLevel="1">
      <c r="A76" s="185" t="s">
        <v>28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09"/>
      <c r="L76" s="187"/>
      <c r="M76" s="109"/>
      <c r="N76" s="109"/>
      <c r="O76" s="70" t="s">
        <v>101</v>
      </c>
    </row>
    <row r="77" spans="1:16384" ht="21.75" customHeight="1" outlineLevel="1">
      <c r="A77" s="185" t="s">
        <v>29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09"/>
      <c r="L77" s="187"/>
      <c r="M77" s="109"/>
      <c r="N77" s="109"/>
      <c r="O77" s="70" t="s">
        <v>102</v>
      </c>
    </row>
    <row r="78" spans="1:16384" ht="18.75" customHeight="1" outlineLevel="1">
      <c r="A78" s="185" t="s">
        <v>30</v>
      </c>
      <c r="B78" s="185"/>
      <c r="C78" s="185"/>
      <c r="D78" s="185"/>
      <c r="E78" s="185"/>
      <c r="F78" s="185"/>
      <c r="G78" s="185"/>
      <c r="H78" s="185"/>
      <c r="I78" s="185"/>
      <c r="J78" s="97">
        <f>VLOOKUP(O78,АО,3,FALSE)</f>
        <v>0</v>
      </c>
      <c r="K78" s="109"/>
      <c r="L78" s="187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5" t="s">
        <v>2</v>
      </c>
      <c r="B81" s="165"/>
      <c r="C81" s="165"/>
      <c r="D81" s="165"/>
      <c r="E81" s="165"/>
      <c r="F81" s="165"/>
      <c r="G81" s="165"/>
      <c r="H81" s="165"/>
      <c r="I81" s="165"/>
      <c r="J81" s="97">
        <f t="shared" ref="J81:J90" si="2">VLOOKUP(O81,АО,3,FALSE)</f>
        <v>0</v>
      </c>
      <c r="K81" s="109"/>
      <c r="L81" s="173"/>
      <c r="M81" s="109"/>
      <c r="N81" s="109"/>
      <c r="O81" s="70" t="s">
        <v>104</v>
      </c>
    </row>
    <row r="82" spans="1:15" outlineLevel="1">
      <c r="A82" s="165" t="s">
        <v>3</v>
      </c>
      <c r="B82" s="165"/>
      <c r="C82" s="165"/>
      <c r="D82" s="165"/>
      <c r="E82" s="165"/>
      <c r="F82" s="165"/>
      <c r="G82" s="165"/>
      <c r="H82" s="165"/>
      <c r="I82" s="165"/>
      <c r="J82" s="97">
        <f t="shared" si="2"/>
        <v>0</v>
      </c>
      <c r="K82" s="109"/>
      <c r="L82" s="173"/>
      <c r="M82" s="109"/>
      <c r="N82" s="109"/>
      <c r="O82" s="70" t="s">
        <v>105</v>
      </c>
    </row>
    <row r="83" spans="1:15" outlineLevel="1">
      <c r="A83" s="179" t="s">
        <v>4</v>
      </c>
      <c r="B83" s="180"/>
      <c r="C83" s="180"/>
      <c r="D83" s="180"/>
      <c r="E83" s="180"/>
      <c r="F83" s="180"/>
      <c r="G83" s="180"/>
      <c r="H83" s="180"/>
      <c r="I83" s="181"/>
      <c r="J83" s="97">
        <f t="shared" si="2"/>
        <v>267203.49</v>
      </c>
      <c r="K83" s="109"/>
      <c r="L83" s="173"/>
      <c r="M83" s="109"/>
      <c r="N83" s="109"/>
      <c r="O83" s="70" t="s">
        <v>106</v>
      </c>
    </row>
    <row r="84" spans="1:15" outlineLevel="1">
      <c r="A84" s="179" t="s">
        <v>16</v>
      </c>
      <c r="B84" s="180"/>
      <c r="C84" s="180"/>
      <c r="D84" s="180"/>
      <c r="E84" s="180"/>
      <c r="F84" s="180"/>
      <c r="G84" s="180"/>
      <c r="H84" s="180"/>
      <c r="I84" s="181"/>
      <c r="J84" s="97">
        <f t="shared" si="2"/>
        <v>0</v>
      </c>
      <c r="K84" s="109"/>
      <c r="L84" s="173"/>
      <c r="M84" s="109"/>
      <c r="N84" s="109"/>
      <c r="O84" s="70" t="s">
        <v>107</v>
      </c>
    </row>
    <row r="85" spans="1:15" outlineLevel="1">
      <c r="A85" s="179" t="s">
        <v>17</v>
      </c>
      <c r="B85" s="180"/>
      <c r="C85" s="180"/>
      <c r="D85" s="180"/>
      <c r="E85" s="180"/>
      <c r="F85" s="180"/>
      <c r="G85" s="180"/>
      <c r="H85" s="180"/>
      <c r="I85" s="181"/>
      <c r="J85" s="97">
        <f t="shared" si="2"/>
        <v>0</v>
      </c>
      <c r="K85" s="109"/>
      <c r="L85" s="173"/>
      <c r="M85" s="109"/>
      <c r="N85" s="109"/>
      <c r="O85" s="70" t="s">
        <v>108</v>
      </c>
    </row>
    <row r="86" spans="1:15" outlineLevel="1">
      <c r="A86" s="179" t="s">
        <v>18</v>
      </c>
      <c r="B86" s="180"/>
      <c r="C86" s="180"/>
      <c r="D86" s="180"/>
      <c r="E86" s="180"/>
      <c r="F86" s="180"/>
      <c r="G86" s="180"/>
      <c r="H86" s="180"/>
      <c r="I86" s="181"/>
      <c r="J86" s="97">
        <f t="shared" si="2"/>
        <v>269486.53999999998</v>
      </c>
      <c r="K86" s="109"/>
      <c r="L86" s="173"/>
      <c r="M86" s="109"/>
      <c r="N86" s="109"/>
      <c r="O86" s="70" t="s">
        <v>109</v>
      </c>
    </row>
    <row r="87" spans="1:15" ht="18.75" customHeight="1" outlineLevel="1">
      <c r="A87" s="179" t="s">
        <v>27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9"/>
      <c r="L87" s="173"/>
      <c r="M87" s="109"/>
      <c r="N87" s="109"/>
      <c r="O87" s="70" t="s">
        <v>110</v>
      </c>
    </row>
    <row r="88" spans="1:15" ht="18.75" customHeight="1" outlineLevel="1">
      <c r="A88" s="179" t="s">
        <v>28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9"/>
      <c r="L88" s="173"/>
      <c r="M88" s="109"/>
      <c r="N88" s="109"/>
      <c r="O88" s="70" t="s">
        <v>111</v>
      </c>
    </row>
    <row r="89" spans="1:15" ht="18.75" customHeight="1" outlineLevel="1">
      <c r="A89" s="179" t="s">
        <v>29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9"/>
      <c r="L89" s="173"/>
      <c r="M89" s="109"/>
      <c r="N89" s="109"/>
      <c r="O89" s="70" t="s">
        <v>112</v>
      </c>
    </row>
    <row r="90" spans="1:15" ht="18.75" customHeight="1" outlineLevel="1">
      <c r="A90" s="179" t="s">
        <v>30</v>
      </c>
      <c r="B90" s="180"/>
      <c r="C90" s="180"/>
      <c r="D90" s="180"/>
      <c r="E90" s="180"/>
      <c r="F90" s="180"/>
      <c r="G90" s="180"/>
      <c r="H90" s="180"/>
      <c r="I90" s="181"/>
      <c r="J90" s="97">
        <f t="shared" si="2"/>
        <v>0</v>
      </c>
      <c r="K90" s="109"/>
      <c r="L90" s="173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8" t="s">
        <v>48</v>
      </c>
      <c r="B93" s="188"/>
      <c r="C93" s="188"/>
      <c r="D93" s="189" t="s">
        <v>49</v>
      </c>
      <c r="E93" s="189"/>
      <c r="F93" s="10" t="s">
        <v>50</v>
      </c>
      <c r="G93" s="188" t="s">
        <v>51</v>
      </c>
      <c r="H93" s="188"/>
      <c r="I93" s="188"/>
      <c r="J93" s="188"/>
      <c r="K93" s="109"/>
      <c r="L93" s="109"/>
      <c r="M93" s="109"/>
      <c r="N93" s="109"/>
    </row>
    <row r="94" spans="1:15" hidden="1" outlineLevel="1">
      <c r="A94" s="169">
        <f>IF(VLOOKUP("эл",АО,3,FALSE)&gt;0,"Электроснабжение",0)</f>
        <v>0</v>
      </c>
      <c r="B94" s="169"/>
      <c r="C94" s="169"/>
      <c r="D94" s="170">
        <f>IF(VLOOKUP("эл",АО,3,FALSE)&gt;0,VLOOKUP("эл",АО,3,FALSE),0)</f>
        <v>0</v>
      </c>
      <c r="E94" s="170"/>
      <c r="F94" s="13">
        <f>IF(VLOOKUP("эл",АО,3,FALSE)&gt;0,VLOOKUP("эл",АО,4,FALSE),0)</f>
        <v>0</v>
      </c>
      <c r="G94" s="171">
        <f>VLOOKUP("эл",АО,5,FALSE)</f>
        <v>0</v>
      </c>
      <c r="H94" s="170"/>
      <c r="I94" s="170"/>
      <c r="J94" s="170"/>
      <c r="K94" s="1" t="str">
        <f>VLOOKUP("эл",АО,2,FALSE)</f>
        <v>Электроснабжение</v>
      </c>
      <c r="L94" s="174"/>
    </row>
    <row r="95" spans="1:15" hidden="1" outlineLevel="2">
      <c r="A95" s="186">
        <f>IF(VLOOKUP("эл",АО,3,FALSE)&gt;0,VLOOKUP("эл1",АО,2,FALSE),0)</f>
        <v>0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0</v>
      </c>
      <c r="L95" s="174"/>
      <c r="O95" s="1" t="s">
        <v>114</v>
      </c>
    </row>
    <row r="96" spans="1:15" hidden="1" outlineLevel="2">
      <c r="A96" s="186">
        <f>IF(VLOOKUP("эл",АО,3,FALSE)&gt;0,VLOOKUP("эл2",АО,2,FALSE),0)</f>
        <v>0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0</v>
      </c>
      <c r="L96" s="174"/>
      <c r="O96" s="1" t="s">
        <v>115</v>
      </c>
    </row>
    <row r="97" spans="1:15" hidden="1" outlineLevel="2">
      <c r="A97" s="186">
        <f>IF(VLOOKUP("эл",АО,3,FALSE)&gt;0,VLOOKUP("эл3",АО,2,FALSE),0)</f>
        <v>0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0</v>
      </c>
      <c r="L97" s="174"/>
      <c r="O97" s="1" t="s">
        <v>116</v>
      </c>
    </row>
    <row r="98" spans="1:15" ht="37.5" hidden="1" customHeight="1" outlineLevel="2">
      <c r="A98" s="186">
        <f>IF(VLOOKUP("эл",АО,3,FALSE)&gt;0,VLOOKUP("эл4",АО,2,FALSE),0)</f>
        <v>0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0</v>
      </c>
      <c r="L98" s="174"/>
      <c r="O98" s="1" t="s">
        <v>117</v>
      </c>
    </row>
    <row r="99" spans="1:15" hidden="1" outlineLevel="2">
      <c r="A99" s="186">
        <f>IF(VLOOKUP("эл",АО,3,FALSE)&gt;0,VLOOKUP("эл5",АО,2,FALSE),0)</f>
        <v>0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0</v>
      </c>
      <c r="L99" s="174"/>
      <c r="O99" s="1" t="s">
        <v>118</v>
      </c>
    </row>
    <row r="100" spans="1:15" ht="39" hidden="1" customHeight="1" outlineLevel="2">
      <c r="A100" s="186">
        <f>IF(VLOOKUP("эл",АО,3,FALSE)&gt;0,VLOOKUP("эл6",АО,2,FALSE),0)</f>
        <v>0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74"/>
      <c r="O100" s="1" t="s">
        <v>119</v>
      </c>
    </row>
    <row r="101" spans="1:15" ht="34.5" hidden="1" customHeight="1" outlineLevel="2">
      <c r="A101" s="186">
        <f>IF(VLOOKUP("эл",АО,3,FALSE)&gt;0,VLOOKUP("эл7",АО,2,FALSE),0)</f>
        <v>0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74"/>
      <c r="O101" s="1" t="s">
        <v>120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71">
        <f>VLOOKUP("хвс",АО,5,FALSE)</f>
        <v>69545.14</v>
      </c>
      <c r="H102" s="170"/>
      <c r="I102" s="170"/>
      <c r="J102" s="170"/>
      <c r="L102" s="174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4636.8002456382765</v>
      </c>
      <c r="L103" s="174"/>
      <c r="O103" s="1" t="s">
        <v>123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70791.570000000036</v>
      </c>
      <c r="L104" s="174"/>
      <c r="O104" s="1" t="s">
        <v>124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74"/>
      <c r="O105" s="1" t="s">
        <v>125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69545.14</v>
      </c>
      <c r="L106" s="174"/>
      <c r="O106" s="1" t="s">
        <v>126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69545.14</v>
      </c>
      <c r="L107" s="174"/>
      <c r="O107" s="1" t="s">
        <v>127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74"/>
      <c r="O108" s="1" t="s">
        <v>128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74"/>
      <c r="O109" s="1" t="s">
        <v>129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71">
        <f>VLOOKUP("воо",АО,5,FALSE)</f>
        <v>137096.37</v>
      </c>
      <c r="H110" s="170"/>
      <c r="I110" s="170"/>
      <c r="J110" s="170"/>
      <c r="L110" s="174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8236.6902492490044</v>
      </c>
      <c r="L111" s="174"/>
      <c r="O111" s="1" t="s">
        <v>131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139662.7000000001</v>
      </c>
      <c r="L112" s="174"/>
      <c r="O112" s="1" t="s">
        <v>132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0</v>
      </c>
      <c r="L113" s="174"/>
      <c r="O113" s="1" t="s">
        <v>133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137096.37</v>
      </c>
      <c r="L114" s="174"/>
      <c r="O114" s="1" t="s">
        <v>134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137096.37</v>
      </c>
      <c r="L115" s="174"/>
      <c r="O115" s="1" t="s">
        <v>135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74"/>
      <c r="O116" s="1" t="s">
        <v>136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74"/>
      <c r="O117" s="1" t="s">
        <v>137</v>
      </c>
    </row>
    <row r="118" spans="1:15" ht="32.25" customHeight="1" outlineLevel="1">
      <c r="A118" s="169" t="str">
        <f>IF(VLOOKUP("тко",АО,3,FALSE)&gt;0,"Обращение с ТКО",0)</f>
        <v>Обращение с ТКО</v>
      </c>
      <c r="B118" s="169"/>
      <c r="C118" s="169"/>
      <c r="D118" s="170" t="str">
        <f>IF(VLOOKUP("тко",АО,3,FALSE)&gt;0,VLOOKUP("тко",АО,3,FALSE),0)</f>
        <v>Предоставляется</v>
      </c>
      <c r="E118" s="170"/>
      <c r="F118" s="13" t="str">
        <f>IF(VLOOKUP("тко",АО,3,FALSE)&gt;0,VLOOKUP("тко",АО,4,FALSE),0)</f>
        <v>куб.м.</v>
      </c>
      <c r="G118" s="171">
        <f>VLOOKUP("тко",АО,5,FALSE)</f>
        <v>133120.74000000002</v>
      </c>
      <c r="H118" s="170"/>
      <c r="I118" s="170"/>
      <c r="J118" s="170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261.92242148984019</v>
      </c>
      <c r="L119" s="47"/>
      <c r="O119" s="1" t="s">
        <v>139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135925.11000000002</v>
      </c>
      <c r="L120" s="47"/>
      <c r="O120" s="1" t="s">
        <v>140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133120.74000000002</v>
      </c>
      <c r="L122" s="47"/>
      <c r="O122" s="1" t="s">
        <v>142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133120.74000000002</v>
      </c>
      <c r="L123" s="47"/>
      <c r="O123" s="1" t="s">
        <v>143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9" t="str">
        <f>IF(VLOOKUP("гвс",АО,3,FALSE)&gt;0,"Горячее водоснабжение",0)</f>
        <v>Горячее водоснабжение</v>
      </c>
      <c r="B126" s="169"/>
      <c r="C126" s="169"/>
      <c r="D126" s="170" t="str">
        <f>IF(VLOOKUP("гвс",АО,3,FALSE)&gt;0,VLOOKUP("гвс",АО,3,FALSE),0)</f>
        <v>Предоставляется</v>
      </c>
      <c r="E126" s="170"/>
      <c r="F126" s="13" t="str">
        <f>IF(VLOOKUP("гвс",АО,3,FALSE)&gt;0,VLOOKUP("гвс",АО,4,FALSE),0)</f>
        <v>куб.м.</v>
      </c>
      <c r="G126" s="171">
        <f>VLOOKUP("гвс",АО,5,FALSE)</f>
        <v>321771.63999999996</v>
      </c>
      <c r="H126" s="170"/>
      <c r="I126" s="170"/>
      <c r="J126" s="170"/>
      <c r="L126" s="47"/>
    </row>
    <row r="127" spans="1:15" ht="32.25" customHeight="1" outlineLevel="2">
      <c r="A127" s="165" t="str">
        <f t="shared" ref="A127:A133" si="10">IF(VLOOKUP("гвс",АО,3,FALSE)&gt;0,VLOOKUP(O127,АО,2,FALSE),0)</f>
        <v>Общий объем потребления, нат. показ.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3254.19470199851</v>
      </c>
      <c r="L127" s="47"/>
      <c r="O127" s="1" t="s">
        <v>147</v>
      </c>
    </row>
    <row r="128" spans="1:15" ht="32.25" customHeight="1" outlineLevel="2">
      <c r="A128" s="165" t="str">
        <f t="shared" si="10"/>
        <v>Оплачено потребителями, руб.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327883.08000000007</v>
      </c>
      <c r="L128" s="47"/>
      <c r="O128" s="1" t="s">
        <v>148</v>
      </c>
    </row>
    <row r="129" spans="1:15" ht="32.25" customHeight="1" outlineLevel="2">
      <c r="A129" s="165" t="str">
        <f t="shared" si="10"/>
        <v>Задолженность потребителей, руб.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65" t="str">
        <f t="shared" si="10"/>
        <v>Начислено поставщиком (поставщиками) коммунального ресурса, руб.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321771.63999999996</v>
      </c>
      <c r="L130" s="47"/>
      <c r="O130" s="1" t="s">
        <v>150</v>
      </c>
    </row>
    <row r="131" spans="1:15" ht="32.25" customHeight="1" outlineLevel="2">
      <c r="A131" s="165" t="str">
        <f t="shared" si="10"/>
        <v>Оплачено поставщику (поставщикам) коммунального ресурса, руб.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321771.63999999996</v>
      </c>
      <c r="L131" s="47"/>
      <c r="O131" s="1" t="s">
        <v>151</v>
      </c>
    </row>
    <row r="132" spans="1:15" ht="32.25" customHeight="1" outlineLevel="2">
      <c r="A132" s="165" t="str">
        <f t="shared" si="10"/>
        <v>Задолженность перед поставщиком (поставщиками) коммунального ресурса, руб.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5" t="str">
        <f t="shared" si="10"/>
        <v>Размер пени и штрафов, уплаченных поставщику (поставщикам) коммунального ресурса, руб.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153</v>
      </c>
    </row>
    <row r="134" spans="1:15" ht="32.25" customHeight="1" outlineLevel="1">
      <c r="A134" s="169" t="str">
        <f>IF(VLOOKUP("отопление",АО,3,FALSE)&gt;0,"Отопление",0)</f>
        <v>Отопление</v>
      </c>
      <c r="B134" s="169"/>
      <c r="C134" s="169"/>
      <c r="D134" s="170" t="str">
        <f>IF(VLOOKUP("отопление",АО,3,FALSE)&gt;0,VLOOKUP("отопление",АО,3,FALSE),0)</f>
        <v>Предоставляется</v>
      </c>
      <c r="E134" s="170"/>
      <c r="F134" s="13" t="str">
        <f>IF(VLOOKUP("отопление",АО,3,FALSE)&gt;0,VLOOKUP("отопление",АО,4,FALSE),0)</f>
        <v>Гкал</v>
      </c>
      <c r="G134" s="171">
        <f>VLOOKUP("отопление",АО,5,FALSE)</f>
        <v>613191.7300000001</v>
      </c>
      <c r="H134" s="170"/>
      <c r="I134" s="170"/>
      <c r="J134" s="170"/>
      <c r="L134" s="47"/>
    </row>
    <row r="135" spans="1:15" ht="32.25" customHeight="1" outlineLevel="2">
      <c r="A135" s="165" t="str">
        <f t="shared" ref="A135:A141" si="12">IF(VLOOKUP("отопление",АО,3,FALSE)&gt;0,VLOOKUP(O135,АО,2,FALSE),0)</f>
        <v>Общий объем потребления, нат. показ.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395.95706581809964</v>
      </c>
      <c r="L135" s="47"/>
      <c r="O135" s="1" t="s">
        <v>155</v>
      </c>
    </row>
    <row r="136" spans="1:15" ht="32.25" customHeight="1" outlineLevel="2">
      <c r="A136" s="165" t="str">
        <f t="shared" si="12"/>
        <v>Оплачено потребителями, руб.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598180.1100000001</v>
      </c>
      <c r="L136" s="47"/>
      <c r="O136" s="1" t="s">
        <v>156</v>
      </c>
    </row>
    <row r="137" spans="1:15" ht="32.25" customHeight="1" outlineLevel="2">
      <c r="A137" s="165" t="str">
        <f t="shared" si="12"/>
        <v>Задолженность потребителей, руб.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15011.619999999995</v>
      </c>
      <c r="L137" s="47"/>
      <c r="O137" s="1" t="s">
        <v>157</v>
      </c>
    </row>
    <row r="138" spans="1:15" ht="32.25" customHeight="1" outlineLevel="2">
      <c r="A138" s="165" t="str">
        <f t="shared" si="12"/>
        <v>Начислено поставщиком (поставщиками) коммунального ресурса, руб.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613191.7300000001</v>
      </c>
      <c r="L138" s="47"/>
      <c r="O138" s="1" t="s">
        <v>158</v>
      </c>
    </row>
    <row r="139" spans="1:15" ht="32.25" customHeight="1" outlineLevel="2">
      <c r="A139" s="165" t="str">
        <f t="shared" si="12"/>
        <v>Оплачено поставщику (поставщикам) коммунального ресурса, руб.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613191.7300000001</v>
      </c>
      <c r="L139" s="47"/>
      <c r="O139" s="1" t="s">
        <v>159</v>
      </c>
    </row>
    <row r="140" spans="1:15" ht="32.25" customHeight="1" outlineLevel="2">
      <c r="A140" s="165" t="str">
        <f t="shared" si="12"/>
        <v>Задолженность перед поставщиком (поставщиками) коммунального ресурса, руб.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160</v>
      </c>
    </row>
    <row r="141" spans="1:15" ht="32.25" customHeight="1" outlineLevel="2">
      <c r="A141" s="165" t="str">
        <f t="shared" si="12"/>
        <v>Размер пени и штрафов, уплаченных поставщику (поставщикам) коммунального ресурса, руб.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5" t="s">
        <v>45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171</v>
      </c>
    </row>
    <row r="145" spans="1:15" ht="18.75" customHeight="1" outlineLevel="1">
      <c r="A145" s="165" t="s">
        <v>46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65" t="s">
        <v>174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0</v>
      </c>
      <c r="O146" t="s">
        <v>173</v>
      </c>
    </row>
    <row r="149" spans="1:15" ht="52.5" customHeight="1">
      <c r="A149" s="190" t="s">
        <v>178</v>
      </c>
      <c r="B149" s="190"/>
      <c r="C149" s="190"/>
      <c r="D149" s="190"/>
      <c r="E149" s="190"/>
      <c r="F149" s="190"/>
      <c r="G149" s="190"/>
      <c r="H149" s="190"/>
      <c r="I149" s="190"/>
      <c r="J149" s="190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92" t="s">
        <v>185</v>
      </c>
      <c r="B154" s="192"/>
      <c r="C154" s="192"/>
      <c r="D154" s="192"/>
      <c r="E154" s="27">
        <f>ПТО!G1</f>
        <v>-438933.54</v>
      </c>
    </row>
    <row r="155" spans="1:15" ht="34.5" customHeight="1">
      <c r="A155" s="191" t="s">
        <v>186</v>
      </c>
      <c r="B155" s="191"/>
      <c r="C155" s="191"/>
      <c r="D155" s="191"/>
      <c r="E155" s="28">
        <f>J13</f>
        <v>179850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7" t="str">
        <f t="shared" ref="A158:A163" si="14">IF(N158&gt;0,N158,0)</f>
        <v>Техническое обслуживание охранной сигнализации ИТП.</v>
      </c>
      <c r="B158" s="167"/>
      <c r="C158" s="167"/>
      <c r="D158" s="167"/>
      <c r="E158" s="167"/>
      <c r="F158" s="172">
        <f t="shared" ref="F158:F163" si="15">IF(ISERROR(VLOOKUP(A158,$A$28:$J$72,6,FALSE)),0,VLOOKUP(A158,$A$28:$J$72,6,FALSE))</f>
        <v>6000</v>
      </c>
      <c r="G158" s="172"/>
      <c r="H158" s="24" t="str">
        <f t="shared" ref="H158:H187" si="16">VLOOKUP(A158,$A$28:$J$72,8,FALSE)</f>
        <v>ежемесячно</v>
      </c>
      <c r="I158" s="168">
        <f t="shared" ref="I158:I161" si="17">VLOOKUP(A158,$A$28:$J$72,9,FALSE)</f>
        <v>12</v>
      </c>
      <c r="J158" s="16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67" t="str">
        <f t="shared" si="14"/>
        <v>Техническое освидетельствование лифта.</v>
      </c>
      <c r="B159" s="167"/>
      <c r="C159" s="167"/>
      <c r="D159" s="167"/>
      <c r="E159" s="167"/>
      <c r="F159" s="172">
        <f t="shared" si="15"/>
        <v>8100</v>
      </c>
      <c r="G159" s="172"/>
      <c r="H159" s="24" t="str">
        <f t="shared" si="16"/>
        <v>ежегодно</v>
      </c>
      <c r="I159" s="168">
        <f t="shared" si="17"/>
        <v>1</v>
      </c>
      <c r="J159" s="168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67" t="str">
        <f t="shared" si="14"/>
        <v>Механизированная уборка и вывоз снега с придомовой территории.</v>
      </c>
      <c r="B160" s="167"/>
      <c r="C160" s="167"/>
      <c r="D160" s="167"/>
      <c r="E160" s="167"/>
      <c r="F160" s="172">
        <f t="shared" si="15"/>
        <v>19834</v>
      </c>
      <c r="G160" s="172"/>
      <c r="H160" s="24" t="str">
        <f t="shared" si="16"/>
        <v>разово</v>
      </c>
      <c r="I160" s="168">
        <f t="shared" si="17"/>
        <v>1</v>
      </c>
      <c r="J160" s="168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7" t="str">
        <f>IF(N161&gt;0,N161,0)</f>
        <v>Приобретение и замена напольного покрытия в тамбуре.</v>
      </c>
      <c r="B161" s="167"/>
      <c r="C161" s="167"/>
      <c r="D161" s="167"/>
      <c r="E161" s="167"/>
      <c r="F161" s="172">
        <f t="shared" si="15"/>
        <v>1400</v>
      </c>
      <c r="G161" s="172"/>
      <c r="H161" s="24" t="str">
        <f t="shared" si="16"/>
        <v>разово</v>
      </c>
      <c r="I161" s="168">
        <f t="shared" si="17"/>
        <v>1</v>
      </c>
      <c r="J161" s="168"/>
      <c r="M161" s="22" t="s">
        <v>72</v>
      </c>
      <c r="N161" s="1" t="str">
        <v>Приобретение и замена напольного покрытия в тамбуре.</v>
      </c>
    </row>
    <row r="162" spans="1:14" ht="28.5" customHeight="1">
      <c r="A162" s="167" t="str">
        <f t="shared" si="14"/>
        <v>Замена доводчика на тамбурную дверь.</v>
      </c>
      <c r="B162" s="167"/>
      <c r="C162" s="167"/>
      <c r="D162" s="167"/>
      <c r="E162" s="167"/>
      <c r="F162" s="172">
        <f t="shared" si="15"/>
        <v>1500</v>
      </c>
      <c r="G162" s="172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72</v>
      </c>
      <c r="N162" s="1" t="str">
        <v>Замена доводчика на тамбурную дверь.</v>
      </c>
    </row>
    <row r="163" spans="1:14" ht="28.5" customHeight="1">
      <c r="A163" s="167" t="str">
        <f t="shared" si="14"/>
        <v>Изготовление и монтаж поручня на лестнице.</v>
      </c>
      <c r="B163" s="167"/>
      <c r="C163" s="167"/>
      <c r="D163" s="167"/>
      <c r="E163" s="167"/>
      <c r="F163" s="172">
        <f t="shared" si="15"/>
        <v>8248</v>
      </c>
      <c r="G163" s="172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72</v>
      </c>
      <c r="N163" s="1" t="str">
        <v>Изготовление и монтаж поручня на лестнице.</v>
      </c>
    </row>
    <row r="164" spans="1:14" ht="28.5" customHeight="1">
      <c r="A164" s="167" t="str">
        <f t="shared" ref="A164:A187" si="18">IF(N164&gt;0,N164,0)</f>
        <v>Изготовление и монтаж вентиляционного зонта.</v>
      </c>
      <c r="B164" s="167"/>
      <c r="C164" s="167"/>
      <c r="D164" s="167"/>
      <c r="E164" s="167"/>
      <c r="F164" s="172">
        <f t="shared" ref="F164:F187" si="19">IF(ISERROR(VLOOKUP(A164,$A$28:$J$72,6,FALSE)),0,VLOOKUP(A164,$A$28:$J$72,6,FALSE))</f>
        <v>70220</v>
      </c>
      <c r="G164" s="172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72</v>
      </c>
      <c r="N164" s="1" t="str">
        <v>Изготовление и монтаж вентиляционного зонта.</v>
      </c>
    </row>
    <row r="165" spans="1:14" ht="28.5" customHeight="1">
      <c r="A165" s="167" t="str">
        <f t="shared" si="18"/>
        <v>Ремонт подъезда (1-й этаж).</v>
      </c>
      <c r="B165" s="167"/>
      <c r="C165" s="167"/>
      <c r="D165" s="167"/>
      <c r="E165" s="167"/>
      <c r="F165" s="172">
        <f t="shared" si="19"/>
        <v>208119.2</v>
      </c>
      <c r="G165" s="172"/>
      <c r="H165" s="29" t="str">
        <f t="shared" si="16"/>
        <v>разово</v>
      </c>
      <c r="I165" s="168">
        <f t="shared" si="20"/>
        <v>1</v>
      </c>
      <c r="J165" s="168"/>
      <c r="M165" s="22" t="s">
        <v>72</v>
      </c>
      <c r="N165" s="1" t="str">
        <v>Ремонт подъезда (1-й этаж).</v>
      </c>
    </row>
    <row r="166" spans="1:14" ht="28.5" hidden="1" customHeight="1">
      <c r="A166" s="167">
        <f t="shared" si="18"/>
        <v>0</v>
      </c>
      <c r="B166" s="167"/>
      <c r="C166" s="167"/>
      <c r="D166" s="167"/>
      <c r="E166" s="167"/>
      <c r="F166" s="172">
        <f t="shared" si="19"/>
        <v>0</v>
      </c>
      <c r="G166" s="172"/>
      <c r="H166" s="29" t="e">
        <f t="shared" si="16"/>
        <v>#N/A</v>
      </c>
      <c r="I166" s="168" t="e">
        <f t="shared" si="20"/>
        <v>#N/A</v>
      </c>
      <c r="J166" s="168"/>
      <c r="M166" s="22" t="s">
        <v>72</v>
      </c>
      <c r="N166" s="1">
        <v>0</v>
      </c>
    </row>
    <row r="167" spans="1:14" ht="28.5" hidden="1" customHeight="1">
      <c r="A167" s="167">
        <f t="shared" si="18"/>
        <v>0</v>
      </c>
      <c r="B167" s="167"/>
      <c r="C167" s="167"/>
      <c r="D167" s="167"/>
      <c r="E167" s="167"/>
      <c r="F167" s="172">
        <f t="shared" si="19"/>
        <v>0</v>
      </c>
      <c r="G167" s="172"/>
      <c r="H167" s="29" t="e">
        <f t="shared" si="16"/>
        <v>#N/A</v>
      </c>
      <c r="I167" s="168" t="e">
        <f t="shared" si="20"/>
        <v>#N/A</v>
      </c>
      <c r="J167" s="168"/>
      <c r="M167" s="22" t="s">
        <v>72</v>
      </c>
      <c r="N167" s="1">
        <v>0</v>
      </c>
    </row>
    <row r="168" spans="1:14" ht="28.5" hidden="1" customHeight="1">
      <c r="A168" s="167">
        <f t="shared" si="18"/>
        <v>0</v>
      </c>
      <c r="B168" s="167"/>
      <c r="C168" s="167"/>
      <c r="D168" s="167"/>
      <c r="E168" s="167"/>
      <c r="F168" s="172">
        <f t="shared" si="19"/>
        <v>0</v>
      </c>
      <c r="G168" s="172"/>
      <c r="H168" s="29" t="e">
        <f t="shared" si="16"/>
        <v>#N/A</v>
      </c>
      <c r="I168" s="168" t="e">
        <f t="shared" si="20"/>
        <v>#N/A</v>
      </c>
      <c r="J168" s="168"/>
      <c r="M168" s="22" t="s">
        <v>72</v>
      </c>
      <c r="N168" s="1">
        <v>0</v>
      </c>
    </row>
    <row r="169" spans="1:14" ht="28.5" hidden="1" customHeight="1">
      <c r="A169" s="167">
        <f t="shared" si="18"/>
        <v>0</v>
      </c>
      <c r="B169" s="167"/>
      <c r="C169" s="167"/>
      <c r="D169" s="167"/>
      <c r="E169" s="167"/>
      <c r="F169" s="172">
        <f t="shared" si="19"/>
        <v>0</v>
      </c>
      <c r="G169" s="172"/>
      <c r="H169" s="29" t="e">
        <f t="shared" si="16"/>
        <v>#N/A</v>
      </c>
      <c r="I169" s="168" t="e">
        <f t="shared" si="20"/>
        <v>#N/A</v>
      </c>
      <c r="J169" s="168"/>
      <c r="M169" s="22" t="s">
        <v>72</v>
      </c>
      <c r="N169" s="1">
        <v>0</v>
      </c>
    </row>
    <row r="170" spans="1:14" ht="28.5" hidden="1" customHeight="1">
      <c r="A170" s="167">
        <f t="shared" si="18"/>
        <v>0</v>
      </c>
      <c r="B170" s="167"/>
      <c r="C170" s="167"/>
      <c r="D170" s="167"/>
      <c r="E170" s="167"/>
      <c r="F170" s="172">
        <f t="shared" si="19"/>
        <v>0</v>
      </c>
      <c r="G170" s="172"/>
      <c r="H170" s="29" t="e">
        <f t="shared" si="16"/>
        <v>#N/A</v>
      </c>
      <c r="I170" s="168" t="e">
        <f t="shared" si="20"/>
        <v>#N/A</v>
      </c>
      <c r="J170" s="168"/>
      <c r="M170" s="22" t="s">
        <v>72</v>
      </c>
      <c r="N170" s="1">
        <v>0</v>
      </c>
    </row>
    <row r="171" spans="1:14" ht="28.5" hidden="1" customHeight="1">
      <c r="A171" s="167">
        <f t="shared" si="18"/>
        <v>0</v>
      </c>
      <c r="B171" s="167"/>
      <c r="C171" s="167"/>
      <c r="D171" s="167"/>
      <c r="E171" s="167"/>
      <c r="F171" s="172">
        <f t="shared" si="19"/>
        <v>0</v>
      </c>
      <c r="G171" s="172"/>
      <c r="H171" s="29" t="e">
        <f t="shared" si="16"/>
        <v>#N/A</v>
      </c>
      <c r="I171" s="168" t="e">
        <f t="shared" si="20"/>
        <v>#N/A</v>
      </c>
      <c r="J171" s="168"/>
      <c r="M171" s="22" t="s">
        <v>72</v>
      </c>
      <c r="N171" s="1">
        <v>0</v>
      </c>
    </row>
    <row r="172" spans="1:14" ht="28.5" hidden="1" customHeight="1">
      <c r="A172" s="167">
        <f t="shared" si="18"/>
        <v>0</v>
      </c>
      <c r="B172" s="167"/>
      <c r="C172" s="167"/>
      <c r="D172" s="167"/>
      <c r="E172" s="167"/>
      <c r="F172" s="172">
        <f t="shared" si="19"/>
        <v>0</v>
      </c>
      <c r="G172" s="172"/>
      <c r="H172" s="29" t="e">
        <f t="shared" si="16"/>
        <v>#N/A</v>
      </c>
      <c r="I172" s="168" t="e">
        <f t="shared" si="20"/>
        <v>#N/A</v>
      </c>
      <c r="J172" s="168"/>
      <c r="M172" s="22" t="s">
        <v>72</v>
      </c>
      <c r="N172" s="1">
        <v>0</v>
      </c>
    </row>
    <row r="173" spans="1:14" ht="28.5" hidden="1" customHeight="1">
      <c r="A173" s="167">
        <f t="shared" si="18"/>
        <v>0</v>
      </c>
      <c r="B173" s="167"/>
      <c r="C173" s="167"/>
      <c r="D173" s="167"/>
      <c r="E173" s="167"/>
      <c r="F173" s="172">
        <f t="shared" si="19"/>
        <v>0</v>
      </c>
      <c r="G173" s="172"/>
      <c r="H173" s="29" t="e">
        <f t="shared" si="16"/>
        <v>#N/A</v>
      </c>
      <c r="I173" s="168" t="e">
        <f t="shared" si="20"/>
        <v>#N/A</v>
      </c>
      <c r="J173" s="168"/>
      <c r="M173" s="22" t="s">
        <v>72</v>
      </c>
      <c r="N173" s="1">
        <v>0</v>
      </c>
    </row>
    <row r="174" spans="1:14" ht="28.5" hidden="1" customHeight="1">
      <c r="A174" s="167">
        <f t="shared" si="18"/>
        <v>0</v>
      </c>
      <c r="B174" s="167"/>
      <c r="C174" s="167"/>
      <c r="D174" s="167"/>
      <c r="E174" s="167"/>
      <c r="F174" s="172">
        <f t="shared" si="19"/>
        <v>0</v>
      </c>
      <c r="G174" s="172"/>
      <c r="H174" s="29" t="e">
        <f t="shared" si="16"/>
        <v>#N/A</v>
      </c>
      <c r="I174" s="168" t="e">
        <f t="shared" si="20"/>
        <v>#N/A</v>
      </c>
      <c r="J174" s="168"/>
      <c r="M174" s="22" t="s">
        <v>72</v>
      </c>
      <c r="N174" s="1">
        <v>0</v>
      </c>
    </row>
    <row r="175" spans="1:14" ht="28.5" hidden="1" customHeight="1">
      <c r="A175" s="167">
        <f t="shared" si="18"/>
        <v>0</v>
      </c>
      <c r="B175" s="167"/>
      <c r="C175" s="167"/>
      <c r="D175" s="167"/>
      <c r="E175" s="167"/>
      <c r="F175" s="172">
        <f t="shared" si="19"/>
        <v>0</v>
      </c>
      <c r="G175" s="172"/>
      <c r="H175" s="29" t="e">
        <f t="shared" si="16"/>
        <v>#N/A</v>
      </c>
      <c r="I175" s="168" t="e">
        <f t="shared" si="20"/>
        <v>#N/A</v>
      </c>
      <c r="J175" s="168"/>
      <c r="M175" s="22" t="s">
        <v>72</v>
      </c>
      <c r="N175" s="1">
        <v>0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72">
        <f t="shared" si="19"/>
        <v>0</v>
      </c>
      <c r="G176" s="172"/>
      <c r="H176" s="29" t="e">
        <f t="shared" si="16"/>
        <v>#N/A</v>
      </c>
      <c r="I176" s="168" t="e">
        <f t="shared" si="20"/>
        <v>#N/A</v>
      </c>
      <c r="J176" s="168"/>
      <c r="M176" s="22" t="s">
        <v>72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72">
        <f t="shared" si="19"/>
        <v>0</v>
      </c>
      <c r="G177" s="172"/>
      <c r="H177" s="29" t="e">
        <f t="shared" si="16"/>
        <v>#N/A</v>
      </c>
      <c r="I177" s="168" t="e">
        <f t="shared" si="20"/>
        <v>#N/A</v>
      </c>
      <c r="J177" s="168"/>
      <c r="M177" s="22" t="s">
        <v>72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72">
        <f t="shared" si="19"/>
        <v>0</v>
      </c>
      <c r="G178" s="172"/>
      <c r="H178" s="29" t="e">
        <f t="shared" si="16"/>
        <v>#N/A</v>
      </c>
      <c r="I178" s="168" t="e">
        <f t="shared" si="20"/>
        <v>#N/A</v>
      </c>
      <c r="J178" s="168"/>
      <c r="M178" s="22" t="s">
        <v>72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72">
        <f t="shared" si="19"/>
        <v>0</v>
      </c>
      <c r="G179" s="172"/>
      <c r="H179" s="29" t="e">
        <f t="shared" si="16"/>
        <v>#N/A</v>
      </c>
      <c r="I179" s="168" t="e">
        <f t="shared" si="20"/>
        <v>#N/A</v>
      </c>
      <c r="J179" s="168"/>
      <c r="M179" s="22" t="s">
        <v>72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72">
        <f t="shared" si="19"/>
        <v>0</v>
      </c>
      <c r="G180" s="172"/>
      <c r="H180" s="29" t="e">
        <f t="shared" si="16"/>
        <v>#N/A</v>
      </c>
      <c r="I180" s="168" t="e">
        <f t="shared" si="20"/>
        <v>#N/A</v>
      </c>
      <c r="J180" s="168"/>
      <c r="M180" s="22" t="s">
        <v>72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72">
        <f t="shared" si="19"/>
        <v>0</v>
      </c>
      <c r="G181" s="172"/>
      <c r="H181" s="29" t="e">
        <f t="shared" si="16"/>
        <v>#N/A</v>
      </c>
      <c r="I181" s="168" t="e">
        <f t="shared" si="20"/>
        <v>#N/A</v>
      </c>
      <c r="J181" s="168"/>
      <c r="M181" s="22" t="s">
        <v>72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72">
        <f t="shared" si="19"/>
        <v>0</v>
      </c>
      <c r="G182" s="172"/>
      <c r="H182" s="29" t="e">
        <f t="shared" si="16"/>
        <v>#N/A</v>
      </c>
      <c r="I182" s="168" t="e">
        <f t="shared" si="20"/>
        <v>#N/A</v>
      </c>
      <c r="J182" s="168"/>
      <c r="M182" s="22" t="s">
        <v>72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72">
        <f t="shared" si="19"/>
        <v>0</v>
      </c>
      <c r="G183" s="172"/>
      <c r="H183" s="29" t="e">
        <f t="shared" si="16"/>
        <v>#N/A</v>
      </c>
      <c r="I183" s="168" t="e">
        <f t="shared" si="20"/>
        <v>#N/A</v>
      </c>
      <c r="J183" s="168"/>
      <c r="M183" s="22" t="s">
        <v>72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72">
        <f t="shared" si="19"/>
        <v>0</v>
      </c>
      <c r="G184" s="172"/>
      <c r="H184" s="29" t="e">
        <f t="shared" si="16"/>
        <v>#N/A</v>
      </c>
      <c r="I184" s="168" t="e">
        <f t="shared" si="20"/>
        <v>#N/A</v>
      </c>
      <c r="J184" s="168"/>
      <c r="M184" s="22" t="s">
        <v>72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72">
        <f t="shared" si="19"/>
        <v>0</v>
      </c>
      <c r="G185" s="172"/>
      <c r="H185" s="29" t="e">
        <f t="shared" si="16"/>
        <v>#N/A</v>
      </c>
      <c r="I185" s="168" t="e">
        <f t="shared" si="20"/>
        <v>#N/A</v>
      </c>
      <c r="J185" s="168"/>
      <c r="M185" s="22" t="s">
        <v>72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72">
        <f t="shared" si="19"/>
        <v>0</v>
      </c>
      <c r="G186" s="172"/>
      <c r="H186" s="29" t="e">
        <f t="shared" si="16"/>
        <v>#N/A</v>
      </c>
      <c r="I186" s="168" t="e">
        <f t="shared" si="20"/>
        <v>#N/A</v>
      </c>
      <c r="J186" s="168"/>
      <c r="M186" s="22" t="s">
        <v>72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72">
        <f t="shared" si="19"/>
        <v>0</v>
      </c>
      <c r="G187" s="172"/>
      <c r="H187" s="29" t="e">
        <f t="shared" si="16"/>
        <v>#N/A</v>
      </c>
      <c r="I187" s="168" t="e">
        <f t="shared" si="20"/>
        <v>#N/A</v>
      </c>
      <c r="J187" s="168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92" t="s">
        <v>187</v>
      </c>
      <c r="B190" s="192"/>
      <c r="C190" s="192"/>
      <c r="D190" s="192"/>
      <c r="E190" s="27">
        <f>SUM(F158:G187)</f>
        <v>323421.2</v>
      </c>
    </row>
    <row r="191" spans="1:14" ht="51.75" customHeight="1">
      <c r="A191" s="192" t="s">
        <v>189</v>
      </c>
      <c r="B191" s="192"/>
      <c r="C191" s="192"/>
      <c r="D191" s="192"/>
      <c r="E191" s="27">
        <f>E190+E154-E155</f>
        <v>-295362.33999999997</v>
      </c>
    </row>
    <row r="192" spans="1:14">
      <c r="A192" s="104" t="s">
        <v>175</v>
      </c>
    </row>
    <row r="193" spans="1:10" ht="62.25" customHeight="1">
      <c r="A193" s="166" t="s">
        <v>188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9">
        <f>ПТО!G12</f>
        <v>1200</v>
      </c>
      <c r="I194" s="50" t="s">
        <v>75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49">
        <f>ПТО!G13</f>
        <v>8100</v>
      </c>
      <c r="I195" s="50" t="s">
        <v>75</v>
      </c>
    </row>
    <row r="196" spans="1:10" ht="18.75" customHeight="1">
      <c r="A196" s="164" t="str">
        <f>ПТО!F14</f>
        <v xml:space="preserve">  -  техническое обслуживание охранной сигнализации</v>
      </c>
      <c r="B196" s="164"/>
      <c r="C196" s="164"/>
      <c r="D196" s="164"/>
      <c r="E196" s="164"/>
      <c r="F196" s="164"/>
      <c r="G196" s="164"/>
      <c r="H196" s="49">
        <f>ПТО!G14</f>
        <v>6000</v>
      </c>
      <c r="I196" s="50" t="s">
        <v>75</v>
      </c>
    </row>
    <row r="197" spans="1:10" ht="18.75" customHeight="1">
      <c r="A197" s="164" t="str">
        <f>ПТО!F15</f>
        <v xml:space="preserve">  -  ремонт подъезда</v>
      </c>
      <c r="B197" s="164"/>
      <c r="C197" s="164"/>
      <c r="D197" s="164"/>
      <c r="E197" s="164"/>
      <c r="F197" s="164"/>
      <c r="G197" s="164"/>
      <c r="H197" s="49">
        <f>ПТО!G15</f>
        <v>500000</v>
      </c>
      <c r="I197" s="50" t="s">
        <v>75</v>
      </c>
    </row>
    <row r="198" spans="1:10" ht="36" customHeight="1">
      <c r="A198" s="164" t="str">
        <f>ПТО!F16</f>
        <v xml:space="preserve">  -  механизированная уборка и вывоз снега с придомовой территории</v>
      </c>
      <c r="B198" s="164"/>
      <c r="C198" s="164"/>
      <c r="D198" s="164"/>
      <c r="E198" s="164"/>
      <c r="F198" s="164"/>
      <c r="G198" s="164"/>
      <c r="H198" s="49">
        <f>ПТО!G16</f>
        <v>20000</v>
      </c>
      <c r="I198" s="52" t="s">
        <v>75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49">
        <f>ПТО!G17</f>
        <v>0</v>
      </c>
      <c r="I199" s="50" t="s">
        <v>75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49">
        <f>ПТО!G18</f>
        <v>0</v>
      </c>
      <c r="I200" s="50" t="s">
        <v>75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49">
        <f>ПТО!G19</f>
        <v>0</v>
      </c>
      <c r="I201" s="50" t="s">
        <v>75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9">
        <f>ПТО!G20</f>
        <v>0</v>
      </c>
      <c r="I202" s="50" t="s">
        <v>75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9">
        <f>ПТО!G21</f>
        <v>0</v>
      </c>
      <c r="I203" s="50" t="s">
        <v>75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9">
        <f>ПТО!G22</f>
        <v>0</v>
      </c>
      <c r="I204" s="50" t="s">
        <v>75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9">
        <f>ПТО!G23</f>
        <v>0</v>
      </c>
      <c r="I205" s="50" t="s">
        <v>75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9">
        <f>ПТО!G24</f>
        <v>0</v>
      </c>
      <c r="I206" s="50" t="s">
        <v>75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9">
        <f>ПТО!G25</f>
        <v>0</v>
      </c>
      <c r="I207" s="50" t="s">
        <v>75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9">
        <f>ПТО!G26</f>
        <v>0</v>
      </c>
      <c r="I208" s="50" t="s">
        <v>75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9">
        <f>ПТО!G27</f>
        <v>0</v>
      </c>
      <c r="I209" s="50" t="s">
        <v>75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9">
        <f>ПТО!G28</f>
        <v>0</v>
      </c>
      <c r="I210" s="50" t="s">
        <v>75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9">
        <f>ПТО!G29</f>
        <v>0</v>
      </c>
      <c r="I211" s="50" t="s">
        <v>75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9">
        <f>ПТО!G30</f>
        <v>0</v>
      </c>
      <c r="I212" s="50" t="s">
        <v>75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535300</v>
      </c>
      <c r="I214" s="56" t="s">
        <v>78</v>
      </c>
    </row>
  </sheetData>
  <sheetProtection algorithmName="SHA-512" hashValue="a5kpYOCExqKXnsUpb6YbqQ/Mnibz94FtrP8UgTkhMOUBCc4Fvt8Yt9ru0n6QwxIDeFX71ZP+xJ/Ty3FpWCZ3qQ==" saltValue="vV8Dr7IYBTn0/rgbwRPPB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20" sqref="F2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f>-438933.54</f>
        <v>-438933.54</v>
      </c>
    </row>
    <row r="2" spans="1:12" ht="18.75" customHeight="1">
      <c r="A2" s="153" t="s">
        <v>179</v>
      </c>
      <c r="B2" s="154" t="s">
        <v>180</v>
      </c>
      <c r="C2" s="155">
        <v>12</v>
      </c>
      <c r="D2" s="156">
        <v>6000</v>
      </c>
      <c r="E2" s="123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7" t="s">
        <v>73</v>
      </c>
      <c r="B3" s="154" t="s">
        <v>181</v>
      </c>
      <c r="C3" s="154">
        <v>1</v>
      </c>
      <c r="D3" s="158">
        <v>8100</v>
      </c>
      <c r="E3" s="123" t="s">
        <v>203</v>
      </c>
      <c r="F3" s="30"/>
      <c r="G3" s="30"/>
      <c r="L3" s="33" t="str">
        <f t="shared" si="0"/>
        <v>ТР</v>
      </c>
    </row>
    <row r="4" spans="1:12" ht="18.75" customHeight="1">
      <c r="A4" s="151" t="s">
        <v>200</v>
      </c>
      <c r="B4" s="140" t="s">
        <v>191</v>
      </c>
      <c r="C4" s="137">
        <v>1</v>
      </c>
      <c r="D4" s="138">
        <v>19834</v>
      </c>
      <c r="E4" s="152" t="s">
        <v>201</v>
      </c>
      <c r="F4" s="30"/>
      <c r="G4" s="30"/>
      <c r="L4" s="33" t="str">
        <f t="shared" si="0"/>
        <v>ТР</v>
      </c>
    </row>
    <row r="5" spans="1:12" ht="18.75" customHeight="1">
      <c r="A5" s="139" t="s">
        <v>190</v>
      </c>
      <c r="B5" s="140" t="s">
        <v>191</v>
      </c>
      <c r="C5" s="137">
        <v>1</v>
      </c>
      <c r="D5" s="138">
        <v>1400</v>
      </c>
      <c r="E5" s="141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193</v>
      </c>
      <c r="B6" s="143" t="s">
        <v>191</v>
      </c>
      <c r="C6" s="134">
        <v>1</v>
      </c>
      <c r="D6" s="46">
        <v>1500</v>
      </c>
      <c r="E6" s="123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198</v>
      </c>
      <c r="B7" s="149" t="s">
        <v>191</v>
      </c>
      <c r="C7" s="134">
        <v>1</v>
      </c>
      <c r="D7" s="46">
        <v>8248</v>
      </c>
      <c r="E7" s="123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44" t="s">
        <v>195</v>
      </c>
      <c r="B8" s="145" t="s">
        <v>191</v>
      </c>
      <c r="C8" s="146">
        <v>1</v>
      </c>
      <c r="D8" s="147">
        <v>70220</v>
      </c>
      <c r="E8" s="133" t="s">
        <v>196</v>
      </c>
      <c r="F8" s="45"/>
      <c r="G8" s="45"/>
      <c r="K8" s="43"/>
      <c r="L8" s="33" t="str">
        <f t="shared" si="0"/>
        <v>ТР</v>
      </c>
    </row>
    <row r="9" spans="1:12">
      <c r="A9" s="159" t="s">
        <v>197</v>
      </c>
      <c r="B9" s="160" t="s">
        <v>191</v>
      </c>
      <c r="C9" s="160">
        <v>1</v>
      </c>
      <c r="D9" s="161">
        <v>208119.2</v>
      </c>
      <c r="E9" s="162" t="s">
        <v>204</v>
      </c>
      <c r="F9" s="44"/>
      <c r="G9" s="44"/>
      <c r="K9" s="43"/>
      <c r="L9" s="33" t="str">
        <f t="shared" si="0"/>
        <v>ТР</v>
      </c>
    </row>
    <row r="10" spans="1:12">
      <c r="A10" s="126"/>
      <c r="B10" s="118"/>
      <c r="C10" s="118"/>
      <c r="D10" s="46"/>
      <c r="E10" s="123"/>
      <c r="L10" s="33">
        <f t="shared" si="0"/>
        <v>0</v>
      </c>
    </row>
    <row r="11" spans="1:12" ht="94.5">
      <c r="A11" s="124"/>
      <c r="B11" s="120"/>
      <c r="C11" s="121"/>
      <c r="D11" s="122"/>
      <c r="E11" s="119"/>
      <c r="F11" s="111" t="s">
        <v>188</v>
      </c>
      <c r="G11" s="111"/>
      <c r="L11" s="33">
        <f t="shared" si="0"/>
        <v>0</v>
      </c>
    </row>
    <row r="12" spans="1:12" ht="31.5">
      <c r="A12" s="125"/>
      <c r="B12" s="120"/>
      <c r="C12" s="121"/>
      <c r="D12" s="122"/>
      <c r="E12" s="119"/>
      <c r="F12" s="112" t="s">
        <v>74</v>
      </c>
      <c r="G12" s="113">
        <v>1200</v>
      </c>
      <c r="L12" s="33">
        <f t="shared" si="0"/>
        <v>0</v>
      </c>
    </row>
    <row r="13" spans="1:12" ht="31.5">
      <c r="A13" s="132"/>
      <c r="B13" s="120"/>
      <c r="C13" s="121"/>
      <c r="D13" s="122"/>
      <c r="E13" s="119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27" t="s">
        <v>183</v>
      </c>
      <c r="G14" s="129">
        <v>6000</v>
      </c>
      <c r="L14" s="33">
        <f t="shared" si="0"/>
        <v>0</v>
      </c>
    </row>
    <row r="15" spans="1:12" ht="15.75">
      <c r="A15" s="30"/>
      <c r="F15" s="130" t="s">
        <v>184</v>
      </c>
      <c r="G15" s="131">
        <v>500000</v>
      </c>
      <c r="L15" s="33">
        <f t="shared" si="0"/>
        <v>0</v>
      </c>
    </row>
    <row r="16" spans="1:12" ht="31.5">
      <c r="A16" s="30"/>
      <c r="F16" s="127" t="s">
        <v>205</v>
      </c>
      <c r="G16" s="163">
        <v>20000</v>
      </c>
      <c r="L16" s="33">
        <f t="shared" si="0"/>
        <v>0</v>
      </c>
    </row>
    <row r="17" spans="1:12" ht="15.75">
      <c r="A17" s="30"/>
      <c r="F17" s="127"/>
      <c r="G17" s="128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7">
        <v>229128.96000000002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229128.96000000002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117">
        <v>75537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75537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43164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14388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14388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17">
        <v>93522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93522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17">
        <v>67623.600000000006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67623.600000000006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35"/>
      <c r="C48" s="136"/>
      <c r="D48" s="48"/>
      <c r="E48" s="135">
        <v>832</v>
      </c>
      <c r="F48" s="135">
        <v>400.9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WvXHrw0ql4192QZo7gaEOhvzRMvOK6mv6c/d74Io+f5T+wrOAmV0td3/sEzVSlzBCPgN7R3Ph1YYo3jS92OiiA==" saltValue="ZLnoQiJJ1nzpCpxDFPbI5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47" sqref="E47:E4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2997.5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62583.5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883063.5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14.55*12*F1</f>
        <v>523363.50000000006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179850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f>5*12*F1</f>
        <v>179850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952229.25999999989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952229.25999999989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952229.25999999989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6582.2599999998929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5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5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5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5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4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4"/>
      <c r="N26" s="63"/>
    </row>
    <row r="27" spans="1:15" ht="18.75" customHeight="1">
      <c r="A27" s="70" t="s">
        <v>106</v>
      </c>
      <c r="B27" s="75" t="s">
        <v>4</v>
      </c>
      <c r="C27" s="86">
        <v>267203.49</v>
      </c>
      <c r="D27" s="81" t="s">
        <v>60</v>
      </c>
      <c r="E27" s="64"/>
      <c r="F27" s="64"/>
      <c r="G27" s="64"/>
      <c r="H27" s="64"/>
      <c r="I27" s="64"/>
      <c r="J27" s="64"/>
      <c r="M27" s="194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4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4"/>
      <c r="N29" s="63"/>
    </row>
    <row r="30" spans="1:15" ht="18.75" customHeight="1">
      <c r="A30" s="70" t="s">
        <v>109</v>
      </c>
      <c r="B30" s="75" t="s">
        <v>18</v>
      </c>
      <c r="C30" s="86">
        <f>C27+2283.05</f>
        <v>269486.53999999998</v>
      </c>
      <c r="D30" s="81" t="s">
        <v>66</v>
      </c>
      <c r="E30" s="64"/>
      <c r="F30" s="64"/>
      <c r="G30" s="64"/>
      <c r="H30" s="64"/>
      <c r="I30" s="64"/>
      <c r="J30" s="64"/>
      <c r="M30" s="194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4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4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4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4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93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93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93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3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3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3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3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3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69545.14</v>
      </c>
      <c r="F45" s="94" t="s">
        <v>168</v>
      </c>
      <c r="G45" s="66"/>
      <c r="H45" s="66"/>
      <c r="L45" s="63"/>
      <c r="M45" s="193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4636.8002456382765</v>
      </c>
      <c r="D46" s="94" t="s">
        <v>169</v>
      </c>
      <c r="E46" s="68"/>
      <c r="G46" s="67"/>
      <c r="H46" s="67"/>
      <c r="L46" s="63"/>
      <c r="M46" s="193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70791.570000000036</v>
      </c>
      <c r="D47" s="94" t="s">
        <v>167</v>
      </c>
      <c r="E47" s="150"/>
      <c r="G47" s="67"/>
      <c r="H47" s="67"/>
      <c r="L47" s="63"/>
      <c r="M47" s="193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150"/>
      <c r="G48" s="67"/>
      <c r="H48" s="67"/>
      <c r="L48" s="63"/>
      <c r="M48" s="193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69545.14</v>
      </c>
      <c r="D49" s="80" t="s">
        <v>59</v>
      </c>
      <c r="E49" s="150"/>
      <c r="G49" s="67"/>
      <c r="H49" s="67"/>
      <c r="L49" s="63"/>
      <c r="M49" s="193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69545.14</v>
      </c>
      <c r="D50" s="80" t="s">
        <v>59</v>
      </c>
      <c r="E50" s="68"/>
      <c r="G50" s="67"/>
      <c r="H50" s="67"/>
      <c r="L50" s="63"/>
      <c r="M50" s="193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3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3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137096.37</v>
      </c>
      <c r="F53" s="94" t="s">
        <v>168</v>
      </c>
      <c r="G53" s="66"/>
      <c r="H53" s="66"/>
      <c r="L53" s="63"/>
      <c r="M53" s="193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8236.6902492490044</v>
      </c>
      <c r="D54" s="94" t="s">
        <v>169</v>
      </c>
      <c r="E54" s="69"/>
      <c r="F54" s="89"/>
      <c r="G54" s="64"/>
      <c r="H54" s="64"/>
      <c r="L54" s="63"/>
      <c r="M54" s="193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139662.7000000001</v>
      </c>
      <c r="D55" s="94" t="s">
        <v>167</v>
      </c>
      <c r="E55" s="69"/>
      <c r="G55" s="64"/>
      <c r="H55" s="64"/>
      <c r="L55" s="63"/>
      <c r="M55" s="193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3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137096.37</v>
      </c>
      <c r="D57" s="80" t="s">
        <v>59</v>
      </c>
      <c r="E57" s="69"/>
      <c r="G57" s="64"/>
      <c r="H57" s="64"/>
      <c r="L57" s="63"/>
      <c r="M57" s="193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137096.37</v>
      </c>
      <c r="D58" s="80" t="s">
        <v>59</v>
      </c>
      <c r="E58" s="69"/>
      <c r="G58" s="64"/>
      <c r="H58" s="64"/>
      <c r="L58" s="63"/>
      <c r="M58" s="193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3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3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133120.74000000002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261.92242148984019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135925.11000000002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133120.74000000002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133120.74000000002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321771.63999999996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3254.19470199851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327883.08000000007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321771.63999999996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321771.63999999996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 t="str">
        <f>IF(E77&gt;0,"Предоставляется",0)</f>
        <v>Предоставляется</v>
      </c>
      <c r="D77" s="96" t="s">
        <v>82</v>
      </c>
      <c r="E77" s="95">
        <v>613191.7300000001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395.95706581809964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598180.1100000001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15011.619999999995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613191.7300000001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613191.7300000001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2023-03-30T06:19:34Z</dcterms:modified>
</cp:coreProperties>
</file>