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95" i="1"/>
  <c r="G94" i="1"/>
  <c r="K94" i="1"/>
  <c r="A113" i="1" l="1"/>
  <c r="A114" i="1"/>
  <c r="D110" i="1"/>
  <c r="F102" i="1"/>
  <c r="F110" i="1"/>
  <c r="A119" i="1"/>
  <c r="A121" i="1"/>
  <c r="A118" i="1"/>
  <c r="A116" i="1"/>
  <c r="A112" i="1"/>
  <c r="A117" i="1"/>
  <c r="A141" i="1"/>
  <c r="F134" i="1"/>
  <c r="F118" i="1"/>
  <c r="A122" i="1"/>
  <c r="A110" i="1"/>
  <c r="A111" i="1"/>
  <c r="A125" i="1"/>
  <c r="A137" i="1"/>
  <c r="A123" i="1"/>
  <c r="A94" i="1"/>
  <c r="A96" i="1"/>
  <c r="D94" i="1"/>
  <c r="A99" i="1"/>
  <c r="A100" i="1"/>
  <c r="A106" i="1"/>
  <c r="A138" i="1"/>
  <c r="F94" i="1"/>
  <c r="A101" i="1"/>
  <c r="A102" i="1"/>
  <c r="A107" i="1"/>
  <c r="A134" i="1"/>
  <c r="A135" i="1"/>
  <c r="A139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9" i="1"/>
  <c r="H165" i="1"/>
  <c r="H178" i="1"/>
  <c r="H177" i="1"/>
  <c r="H170" i="1"/>
  <c r="H167" i="1"/>
  <c r="F170" i="1"/>
  <c r="F171" i="1"/>
  <c r="H186" i="1"/>
  <c r="F177" i="1"/>
  <c r="F165" i="1"/>
  <c r="F179" i="1"/>
  <c r="F167" i="1"/>
  <c r="H171" i="1"/>
  <c r="F186" i="1"/>
  <c r="H175" i="1"/>
  <c r="F172" i="1"/>
  <c r="F168" i="1"/>
  <c r="H176" i="1"/>
  <c r="F175" i="1"/>
  <c r="H172" i="1"/>
  <c r="F178" i="1"/>
  <c r="H168" i="1"/>
  <c r="F173" i="1"/>
  <c r="F187" i="1"/>
  <c r="H184" i="1"/>
  <c r="F182" i="1"/>
  <c r="F181" i="1"/>
  <c r="H181" i="1"/>
  <c r="F166" i="1"/>
  <c r="H187" i="1"/>
  <c r="H182" i="1"/>
  <c r="H166" i="1"/>
  <c r="F180" i="1"/>
  <c r="H164" i="1"/>
  <c r="F185" i="1"/>
  <c r="F164" i="1"/>
  <c r="F176" i="1"/>
  <c r="F184" i="1"/>
  <c r="H169" i="1"/>
  <c r="F169" i="1"/>
  <c r="H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<sst xmlns="http://schemas.openxmlformats.org/spreadsheetml/2006/main" count="556" uniqueCount="205">
  <si>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</si>
  <si>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</si>
  <si>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</si>
  <si>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</si>
  <si>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</si>
  <si>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</si>
  <si>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</si>
  <si>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</si>
  <si>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</si>
  <si>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</si>
  <si>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</si>
  <si>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</si>
  <si>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</si>
  <si>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</si>
  <si>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</si>
  <si>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</si>
  <si>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</si>
  <si>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</si>
  <si>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</si>
  <si>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</si>
  <si>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</si>
  <si>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</si>
  <si>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</si>
  <si>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</si>
  <si>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</si>
  <si>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</si>
  <si>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</si>
  <si>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</si>
  <si>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</si>
  <si>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</si>
  <si>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</si>
  <si>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</si>
  <si>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</si>
  <si>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</si>
  <si>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</si>
  <si>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</si>
  <si>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</si>
  <si>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</si>
  <si>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</si>
  <si>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</si>
  <si>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</si>
  <si>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</si>
  <si>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</si>
  <si>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</si>
  <si>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</si>
  <si>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</si>
  <si>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</si>
  <si>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</si>
  <si>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</si>
  <si>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</si>
  <si>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</si>
  <si>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</si>
  <si>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</si>
  <si>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</si>
  <si>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</si>
  <si>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</si>
  <si>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</si>
  <si>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</si>
  <si>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</si>
  <si>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</si>
  <si>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</si>
  <si>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</si>
  <si>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</si>
  <si>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</si>
  <si>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</si>
  <si>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</si>
  <si>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</si>
  <si>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</si>
  <si>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</si>
  <si>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</si>
  <si>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</si>
  <si>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</si>
  <si>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</si>
  <si>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</si>
  <si>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</si>
  <si>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</si>
  <si>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</si>
  <si>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</si>
  <si>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</si>
  <si>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</si>
  <si>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</si>
  <si>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</si>
  <si>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</si>
  <si>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</si>
  <si>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</si>
  <si>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</si>
  <si>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</si>
  <si>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</si>
  <si>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</si>
  <si>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</si>
  <si>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</si>
  <si>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</si>
  <si>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</si>
  <si>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</si>
  <si>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</si>
  <si>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</si>
  <si>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</si>
  <si>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</si>
  <si>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</si>
  <si>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</si>
  <si>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</si>
  <si>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</si>
  <si>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</si>
  <si>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</si>
  <si>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</si>
  <si>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</si>
  <si>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</si>
  <si>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</si>
  <si>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</si>
  <si>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</si>
  <si>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</si>
  <si>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</si>
  <si>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</si>
  <si>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</si>
  <si>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</si>
  <si>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</si>
  <si>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</si>
  <si>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</si>
  <si>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</si>
  <si>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</si>
  <si>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</si>
  <si>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</si>
  <si>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</si>
  <si>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</si>
  <si>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</si>
  <si>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</si>
  <si>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</si>
  <si>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</si>
  <si>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</si>
  <si>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</si>
  <si>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</si>
  <si>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</si>
  <si>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</si>
  <si>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</si>
  <si>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</si>
  <si>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</si>
  <si>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</si>
  <si>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</si>
  <si>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</si>
  <si>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</si>
  <si>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</si>
  <si>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</si>
  <si>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</si>
  <si>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</si>
  <si>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</si>
  <si>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</si>
  <si>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</si>
  <si>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</si>
  <si>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</si>
  <si>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</si>
  <si>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</si>
  <si>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</si>
  <si>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</si>
  <si>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</si>
  <si>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</si>
  <si>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</si>
  <si>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</si>
  <si>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</si>
  <si>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</si>
  <si>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</si>
  <si>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</si>
  <si>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</si>
  <si>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</si>
  <si>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</si>
  <si>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</si>
  <si>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</si>
  <si>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</si>
  <si>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</si>
  <si>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</si>
  <si>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</si>
  <si>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</si>
  <si>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</si>
  <si>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</si>
  <si>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</si>
  <si>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</si>
  <si>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</si>
  <si>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</si>
  <si>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</si>
  <si>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6</t>
  </si>
  <si>
    <t>Отчет об исполнении договора управления многоквартирного дома 
Мамина-Сибиряка, 6 в части текущего ремонта</t>
  </si>
  <si>
    <t>ежегодно</t>
  </si>
  <si>
    <t>площадь дома</t>
  </si>
  <si>
    <t xml:space="preserve">  -  ремонт подъезда</t>
  </si>
  <si>
    <t>Перерасход (+) или экономия 
(-) средств в 2021 году (руб.)</t>
  </si>
  <si>
    <t>Начислено за  текущий ремонт в 2022 году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</si>
  <si>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</si>
  <si>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</si>
  <si>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</si>
  <si>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Приобретение и замена напольного покрытия в тамбуре.</t>
  </si>
  <si>
    <t>разово</t>
  </si>
  <si>
    <t>АВР 1/22 от 07.02.2022, Решение</t>
  </si>
  <si>
    <t>Приобретение и установка ручного балансировочного клапана, замена части розлива ГВС.</t>
  </si>
  <si>
    <t>АВР 2/22 от 15.07.2022, Решение</t>
  </si>
  <si>
    <t>Замена замка дверей кабины и дверей шахты лифта (7, 8 этажи).</t>
  </si>
  <si>
    <t>АВР 3/22 от 23.08.2022, Решение, счет №317 от 12.07.2022</t>
  </si>
  <si>
    <t>Приобретение и замена Wi-Fi роутера для диспетчерской связи пассажирского лифта.</t>
  </si>
  <si>
    <t>АВР 4/22 от 31.08.2022, Решение, счет №338 от 28.07.2022</t>
  </si>
  <si>
    <t>Приобретение и установка светодиодного светильника в кабину лифта (2 шт.).</t>
  </si>
  <si>
    <t>АВР 5/22 от 15.09.2022, Решение, счет №346 от 25.08.2022</t>
  </si>
  <si>
    <t>Механизированная уборка и вывоз снега с придомовой территории.</t>
  </si>
  <si>
    <t>АВР 6/22 от 09.03.2022</t>
  </si>
  <si>
    <t>АВР 7/22 от 29.04.2022</t>
  </si>
  <si>
    <t xml:space="preserve">  -  механизированная уборка и вывоз снега с придомовой территории</t>
  </si>
  <si>
    <t xml:space="preserve">  -  замена входной двери</t>
  </si>
  <si>
    <t xml:space="preserve">  -  смена розлива ХВС (12 м.)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</si>
</sst>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1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8" fillId="0" borderId="0" xfId="5" applyNumberFormat="1" applyFill="1" applyBorder="1" applyAlignment="1">
      <alignment horizontal="center"/>
    </xf>
    <xf numFmtId="4" fontId="8" fillId="0" borderId="0" xfId="5" applyNumberFormat="1" applyFill="1" applyBorder="1" applyAlignment="1">
      <alignment vertic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1" fontId="6" fillId="0" borderId="0" xfId="6" applyNumberFormat="1" applyFill="1" applyBorder="1" applyAlignment="1">
      <alignment horizontal="center"/>
    </xf>
    <xf numFmtId="4" fontId="6" fillId="0" borderId="0" xfId="6" applyNumberForma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0" fillId="0" borderId="0" xfId="0" applyNumberFormat="1" applyBorder="1" applyAlignment="1">
      <alignment horizontal="center"/>
    </xf>
    <xf numFmtId="4" fontId="24" fillId="3" borderId="0" xfId="7" applyNumberFormat="1" applyFont="1" applyFill="1" applyBorder="1" applyAlignment="1">
      <alignment horizontal="left" vertical="center" wrapText="1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/>
    <xf numFmtId="4" fontId="22" fillId="0" borderId="0" xfId="16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2" fillId="0" borderId="0" xfId="16" applyFont="1" applyFill="1" applyBorder="1" applyAlignment="1">
      <alignment horizontal="center"/>
    </xf>
    <xf numFmtId="0" fontId="0" fillId="0" borderId="0" xfId="0" applyFill="1" applyBorder="1"/>
    <xf numFmtId="0" fontId="1" fillId="0" borderId="0" xfId="4" applyFont="1" applyFill="1" applyBorder="1" applyAlignment="1">
      <alignment horizontal="center"/>
    </xf>
    <xf numFmtId="4" fontId="14" fillId="0" borderId="0" xfId="1" applyNumberFormat="1" applyFont="1" applyBorder="1" applyAlignment="1" applyProtection="1">
      <alignment horizontal="center" vertical="center" wrapText="1"/>
      <protection locked="0"/>
    </xf>
    <xf numFmtId="0" fontId="8" fillId="0" borderId="0" xfId="5" applyFill="1" applyBorder="1" applyAlignment="1"/>
    <xf numFmtId="0" fontId="8" fillId="0" borderId="0" xfId="5" applyFill="1" applyBorder="1" applyAlignment="1">
      <alignment horizontal="center"/>
    </xf>
    <xf numFmtId="4" fontId="22" fillId="0" borderId="0" xfId="5" applyNumberFormat="1" applyFont="1" applyFill="1" applyBorder="1" applyAlignment="1"/>
    <xf numFmtId="4" fontId="14" fillId="0" borderId="0" xfId="0" applyNumberFormat="1" applyFont="1" applyBorder="1"/>
    <xf numFmtId="0" fontId="15" fillId="0" borderId="0" xfId="0" applyFont="1" applyFill="1" applyBorder="1" applyAlignment="1">
      <alignment vertical="center" wrapText="1"/>
    </xf>
    <xf numFmtId="4" fontId="14" fillId="0" borderId="0" xfId="0" applyNumberFormat="1" applyFont="1" applyBorder="1" applyAlignment="1">
      <alignment vertical="center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14"/>
    <cellStyle name="Обычный 2 4" xfId="8"/>
    <cellStyle name="Обычный 2 5" xfId="7"/>
    <cellStyle name="Обычный 2 5 2" xfId="19"/>
    <cellStyle name="Обычный 2 5 3" xfId="13"/>
    <cellStyle name="Обычный 3" xfId="2"/>
    <cellStyle name="Обычный 3 2" xfId="15"/>
    <cellStyle name="Обычный 3 3" xfId="9"/>
    <cellStyle name="Обычный 4" xfId="4"/>
    <cellStyle name="Обычный 4 2" xfId="16"/>
    <cellStyle name="Обычный 4 3" xfId="10"/>
    <cellStyle name="Обычный 5" xfId="5"/>
    <cellStyle name="Обычный 5 2" xfId="6"/>
    <cellStyle name="Обычный 5 2 2" xfId="18"/>
    <cellStyle name="Обычный 5 2 3" xfId="12"/>
    <cellStyle name="Обычный 5 3" xfId="17"/>
    <cellStyle name="Обычный 5 4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7" sqref="A197:XFD19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1" t="s">
        <v>178</v>
      </c>
      <c r="B2" s="171"/>
      <c r="C2" s="171"/>
      <c r="D2" s="171"/>
      <c r="E2" s="171"/>
      <c r="F2" s="171"/>
      <c r="G2" s="171"/>
      <c r="H2" s="171"/>
      <c r="I2" s="171"/>
      <c r="J2" s="17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44562</v>
      </c>
      <c r="K4" s="110"/>
      <c r="L4" s="110"/>
      <c r="M4" s="110"/>
      <c r="N4" s="110"/>
    </row>
    <row r="5" spans="1:18">
      <c r="A5" s="1" t="s">
        <v>1</v>
      </c>
      <c r="E5" s="117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10"/>
      <c r="L8" s="172"/>
      <c r="M8" s="110"/>
      <c r="N8" s="110"/>
      <c r="O8" s="71" t="s">
        <v>83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10"/>
      <c r="L9" s="172"/>
      <c r="M9" s="110"/>
      <c r="N9" s="110"/>
      <c r="O9" s="71" t="s">
        <v>84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212042.68599999999</v>
      </c>
      <c r="K10" s="110"/>
      <c r="L10" s="172"/>
      <c r="M10" s="110"/>
      <c r="N10" s="110"/>
      <c r="O10" s="71" t="s">
        <v>85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637146.43199999991</v>
      </c>
      <c r="K11" s="110"/>
      <c r="L11" s="172"/>
      <c r="M11" s="110"/>
      <c r="N11" s="110"/>
      <c r="O11" s="71" t="s">
        <v>86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486744.33599999995</v>
      </c>
      <c r="K12" s="110"/>
      <c r="L12" s="172"/>
      <c r="M12" s="110"/>
      <c r="N12" s="110"/>
      <c r="O12" s="71" t="s">
        <v>87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150402.09599999999</v>
      </c>
      <c r="K13" s="110"/>
      <c r="L13" s="172"/>
      <c r="M13" s="110"/>
      <c r="N13" s="110"/>
      <c r="O13" s="71" t="s">
        <v>88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10"/>
      <c r="L14" s="172"/>
      <c r="M14" s="110"/>
      <c r="N14" s="110"/>
      <c r="O14" s="71" t="s">
        <v>89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613993.4700000002</v>
      </c>
      <c r="K15" s="110"/>
      <c r="L15" s="172"/>
      <c r="M15" s="110"/>
      <c r="N15" s="110"/>
      <c r="O15" s="71" t="s">
        <v>90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613993.4700000002</v>
      </c>
      <c r="K16" s="110"/>
      <c r="L16" s="172"/>
      <c r="M16" s="110"/>
      <c r="N16" s="110"/>
      <c r="O16" s="71" t="s">
        <v>91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10"/>
      <c r="L17" s="172"/>
      <c r="M17" s="110"/>
      <c r="N17" s="110"/>
      <c r="O17" s="71" t="s">
        <v>92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10"/>
      <c r="L18" s="172"/>
      <c r="M18" s="110"/>
      <c r="N18" s="110"/>
      <c r="O18" s="71" t="s">
        <v>93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10"/>
      <c r="L19" s="172"/>
      <c r="M19" s="110"/>
      <c r="N19" s="110"/>
      <c r="O19" s="71" t="s">
        <v>94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10"/>
      <c r="L20" s="172"/>
      <c r="M20" s="110"/>
      <c r="N20" s="110"/>
      <c r="O20" s="71" t="s">
        <v>95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613993.4700000002</v>
      </c>
      <c r="K21" s="110"/>
      <c r="L21" s="172"/>
      <c r="M21" s="110"/>
      <c r="N21" s="110"/>
      <c r="O21" s="71" t="s">
        <v>96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10"/>
      <c r="L22" s="172"/>
      <c r="M22" s="110"/>
      <c r="N22" s="110"/>
      <c r="O22" s="71" t="s">
        <v>97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10"/>
      <c r="L23" s="172"/>
      <c r="M23" s="110"/>
      <c r="N23" s="110"/>
      <c r="O23" s="71" t="s">
        <v>98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235195.6479999997</v>
      </c>
      <c r="K24" s="110"/>
      <c r="L24" s="172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0"/>
      <c r="L27" s="17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158334.72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0"/>
      <c r="L28" s="17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9"/>
      <c r="C29" s="149"/>
      <c r="D29" s="149"/>
      <c r="E29" s="149"/>
      <c r="F29" s="150">
        <f>VLOOKUP(A29,ПТО!$A$39:$D$53,2,FALSE)</f>
        <v>126604.32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0"/>
      <c r="L29" s="173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46643.64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0"/>
      <c r="L30" s="173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38076.480000000003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0"/>
      <c r="L31" s="17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0"/>
      <c r="L32" s="173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12692.16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0"/>
      <c r="L33" s="17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50451.360000000001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0"/>
      <c r="L34" s="17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Работы по содержанию лифта (лифтов)</v>
      </c>
      <c r="B35" s="149"/>
      <c r="C35" s="149"/>
      <c r="D35" s="149"/>
      <c r="E35" s="149"/>
      <c r="F35" s="150">
        <f>VLOOKUP(A35,ПТО!$A$39:$D$53,2,FALSE)</f>
        <v>53941.68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0"/>
      <c r="L35" s="173"/>
      <c r="M35" s="116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0"/>
      <c r="L36" s="173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0"/>
      <c r="L37" s="173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0"/>
      <c r="L38" s="173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0"/>
      <c r="L39" s="173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0"/>
      <c r="L40" s="173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0"/>
      <c r="L41" s="173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0"/>
      <c r="L42" s="173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10"/>
      <c r="L43" s="173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9" t="str">
        <f>ПТО!A3</f>
        <v>Приобретение и замена напольного покрытия в тамбуре.</v>
      </c>
      <c r="B44" s="149"/>
      <c r="C44" s="149"/>
      <c r="D44" s="149"/>
      <c r="E44" s="149"/>
      <c r="F44" s="150">
        <f>VLOOKUP(A44,ПТО!$A$2:$D$31,4,FALSE)</f>
        <v>1400</v>
      </c>
      <c r="G44" s="150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0"/>
      <c r="L44" s="173"/>
      <c r="M44" s="116"/>
      <c r="N44" s="110"/>
      <c r="O44" s="23" t="str">
        <f t="shared" si="1"/>
        <v>Приобретение и замена напольного покрытия в тамбуре.</v>
      </c>
      <c r="R44" s="22" t="s">
        <v>72</v>
      </c>
    </row>
    <row r="45" spans="1:18" ht="51" customHeight="1" outlineLevel="1">
      <c r="A45" s="149" t="str">
        <f>ПТО!A4</f>
        <v>Приобретение и установка ручного балансировочного клапана, замена части розлива ГВС.</v>
      </c>
      <c r="B45" s="149"/>
      <c r="C45" s="149"/>
      <c r="D45" s="149"/>
      <c r="E45" s="149"/>
      <c r="F45" s="150">
        <f>VLOOKUP(A45,ПТО!$A$2:$D$31,4,FALSE)</f>
        <v>9993.86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0"/>
      <c r="L45" s="173"/>
      <c r="M45" s="116"/>
      <c r="N45" s="110"/>
      <c r="O45" s="23" t="str">
        <f t="shared" si="1"/>
        <v>Приобретение и установка ручного балансировочного клапана, замена части розлива ГВС.</v>
      </c>
      <c r="R45" s="22" t="s">
        <v>72</v>
      </c>
    </row>
    <row r="46" spans="1:18" ht="51" customHeight="1" outlineLevel="1">
      <c r="A46" s="149" t="str">
        <f>ПТО!A5</f>
        <v>Замена замка дверей кабины и дверей шахты лифта (7, 8 этажи).</v>
      </c>
      <c r="B46" s="149"/>
      <c r="C46" s="149"/>
      <c r="D46" s="149"/>
      <c r="E46" s="149"/>
      <c r="F46" s="150">
        <f>VLOOKUP(A46,ПТО!$A$2:$D$31,4,FALSE)</f>
        <v>6590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0"/>
      <c r="L46" s="173"/>
      <c r="M46" s="116"/>
      <c r="N46" s="110"/>
      <c r="O46" s="23" t="str">
        <f t="shared" si="1"/>
        <v>Замена замка дверей кабины и дверей шахты лифта (7, 8 этажи).</v>
      </c>
      <c r="R46" s="22" t="s">
        <v>72</v>
      </c>
    </row>
    <row r="47" spans="1:18" ht="51" customHeight="1" outlineLevel="1">
      <c r="A47" s="149" t="str">
        <f>ПТО!A6</f>
        <v>Приобретение и замена Wi-Fi роутера для диспетчерской связи пассажирского лифта.</v>
      </c>
      <c r="B47" s="149"/>
      <c r="C47" s="149"/>
      <c r="D47" s="149"/>
      <c r="E47" s="149"/>
      <c r="F47" s="150">
        <f>VLOOKUP(A47,ПТО!$A$2:$D$31,4,FALSE)</f>
        <v>1499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0"/>
      <c r="L47" s="173"/>
      <c r="M47" s="116"/>
      <c r="N47" s="110"/>
      <c r="O47" s="23" t="str">
        <f t="shared" si="1"/>
        <v>Приобретение и замена Wi-Fi роутера для диспетчерской связи пассажирского лифта.</v>
      </c>
      <c r="R47" s="22" t="s">
        <v>72</v>
      </c>
    </row>
    <row r="48" spans="1:18" ht="51" customHeight="1" outlineLevel="1">
      <c r="A48" s="149" t="str">
        <f>ПТО!A7</f>
        <v>Приобретение и установка светодиодного светильника в кабину лифта (2 шт.).</v>
      </c>
      <c r="B48" s="149"/>
      <c r="C48" s="149"/>
      <c r="D48" s="149"/>
      <c r="E48" s="149"/>
      <c r="F48" s="150">
        <f>VLOOKUP(A48,ПТО!$A$2:$D$31,4,FALSE)</f>
        <v>14980</v>
      </c>
      <c r="G48" s="150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10"/>
      <c r="L48" s="173"/>
      <c r="M48" s="116"/>
      <c r="N48" s="110"/>
      <c r="O48" s="23" t="str">
        <f t="shared" si="1"/>
        <v>Приобретение и установка светодиодного светильника в кабину лифта (2 шт.).</v>
      </c>
      <c r="R48" s="22" t="s">
        <v>72</v>
      </c>
    </row>
    <row r="49" spans="1:18" ht="51" customHeight="1" outlineLevel="1">
      <c r="A49" s="149" t="str">
        <f>ПТО!A8</f>
        <v>Механизированная уборка и вывоз снега с придомовой территории.</v>
      </c>
      <c r="B49" s="149"/>
      <c r="C49" s="149"/>
      <c r="D49" s="149"/>
      <c r="E49" s="149"/>
      <c r="F49" s="150">
        <f>VLOOKUP(A49,ПТО!$A$2:$D$31,4,FALSE)</f>
        <v>12120</v>
      </c>
      <c r="G49" s="150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10"/>
      <c r="L49" s="173"/>
      <c r="M49" s="116"/>
      <c r="N49" s="110"/>
      <c r="O49" s="23" t="str">
        <f t="shared" si="1"/>
        <v>Механизированная уборка и вывоз снега с придомовой территории.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0"/>
      <c r="L50" s="173"/>
      <c r="M50" s="116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0"/>
      <c r="L51" s="173"/>
      <c r="M51" s="116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0"/>
      <c r="L52" s="173"/>
      <c r="M52" s="116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0"/>
      <c r="L53" s="173"/>
      <c r="M53" s="116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0"/>
      <c r="L54" s="173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0"/>
      <c r="L55" s="173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0"/>
      <c r="L56" s="173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0"/>
      <c r="L57" s="173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0"/>
      <c r="L58" s="173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0"/>
      <c r="L59" s="173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0"/>
      <c r="L60" s="173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0"/>
      <c r="L61" s="173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0"/>
      <c r="L62" s="173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0"/>
      <c r="L63" s="173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0"/>
      <c r="L64" s="173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0"/>
      <c r="L65" s="173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0"/>
      <c r="L66" s="173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0"/>
      <c r="L67" s="173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0"/>
      <c r="L68" s="173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0"/>
      <c r="L69" s="173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0"/>
      <c r="L70" s="173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0"/>
      <c r="L72" s="173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0"/>
      <c r="L75" s="156"/>
      <c r="M75" s="110"/>
      <c r="N75" s="110"/>
      <c r="O75" s="71" t="s">
        <v>100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0"/>
      <c r="L76" s="156"/>
      <c r="M76" s="110"/>
      <c r="N76" s="110"/>
      <c r="O76" s="71" t="s">
        <v>101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0"/>
      <c r="L77" s="156"/>
      <c r="M77" s="110"/>
      <c r="N77" s="110"/>
      <c r="O77" s="71" t="s">
        <v>102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0"/>
      <c r="L78" s="156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8">
        <f t="shared" ref="J81:J90" si="2">VLOOKUP(O81,АО,3,FALSE)</f>
        <v>0</v>
      </c>
      <c r="K81" s="110"/>
      <c r="L81" s="174"/>
      <c r="M81" s="110"/>
      <c r="N81" s="110"/>
      <c r="O81" s="71" t="s">
        <v>104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8">
        <f t="shared" si="2"/>
        <v>0</v>
      </c>
      <c r="K82" s="110"/>
      <c r="L82" s="174"/>
      <c r="M82" s="110"/>
      <c r="N82" s="110"/>
      <c r="O82" s="71" t="s">
        <v>105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113369.68</v>
      </c>
      <c r="K83" s="110"/>
      <c r="L83" s="174"/>
      <c r="M83" s="110"/>
      <c r="N83" s="110"/>
      <c r="O83" s="71" t="s">
        <v>106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10"/>
      <c r="L84" s="174"/>
      <c r="M84" s="110"/>
      <c r="N84" s="110"/>
      <c r="O84" s="71" t="s">
        <v>107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10"/>
      <c r="L85" s="174"/>
      <c r="M85" s="110"/>
      <c r="N85" s="110"/>
      <c r="O85" s="71" t="s">
        <v>108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161799</v>
      </c>
      <c r="K86" s="110"/>
      <c r="L86" s="174"/>
      <c r="M86" s="110"/>
      <c r="N86" s="110"/>
      <c r="O86" s="71" t="s">
        <v>109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74"/>
      <c r="M87" s="110"/>
      <c r="N87" s="110"/>
      <c r="O87" s="71" t="s">
        <v>110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74"/>
      <c r="M88" s="110"/>
      <c r="N88" s="110"/>
      <c r="O88" s="71" t="s">
        <v>111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74"/>
      <c r="M89" s="110"/>
      <c r="N89" s="110"/>
      <c r="O89" s="71" t="s">
        <v>112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10"/>
      <c r="L90" s="174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10"/>
      <c r="L93" s="110"/>
      <c r="M93" s="110"/>
      <c r="N93" s="110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216273.52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171098.18811757347</v>
      </c>
      <c r="L95" s="175"/>
      <c r="O95" s="1" t="s">
        <v>114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199875.95000000007</v>
      </c>
      <c r="L96" s="175"/>
      <c r="O96" s="1" t="s">
        <v>115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16397.56999999992</v>
      </c>
      <c r="L97" s="175"/>
      <c r="O97" s="1" t="s">
        <v>116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216273.52</v>
      </c>
      <c r="L98" s="175"/>
      <c r="O98" s="1" t="s">
        <v>117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216273.52</v>
      </c>
      <c r="L99" s="175"/>
      <c r="O99" s="1" t="s">
        <v>118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119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120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114491.21999999997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7633.5013060499368</v>
      </c>
      <c r="L103" s="175"/>
      <c r="O103" s="1" t="s">
        <v>123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103688.01000000001</v>
      </c>
      <c r="L104" s="175"/>
      <c r="O104" s="1" t="s">
        <v>124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10803.209999999963</v>
      </c>
      <c r="L105" s="175"/>
      <c r="O105" s="1" t="s">
        <v>125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114491.21999999997</v>
      </c>
      <c r="L106" s="175"/>
      <c r="O106" s="1" t="s">
        <v>126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114491.21999999997</v>
      </c>
      <c r="L107" s="175"/>
      <c r="O107" s="1" t="s">
        <v>127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128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129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139249.78999999998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8366.06678574328</v>
      </c>
      <c r="L111" s="175"/>
      <c r="O111" s="1" t="s">
        <v>131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125626.17</v>
      </c>
      <c r="L112" s="175"/>
      <c r="O112" s="1" t="s">
        <v>132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13623.619999999981</v>
      </c>
      <c r="L113" s="175"/>
      <c r="O113" s="1" t="s">
        <v>133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139249.78999999998</v>
      </c>
      <c r="L114" s="175"/>
      <c r="O114" s="1" t="s">
        <v>134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139249.78999999998</v>
      </c>
      <c r="L115" s="175"/>
      <c r="O115" s="1" t="s">
        <v>135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136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137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59">
        <f>VLOOKUP("тко",АО,5,FALSE)</f>
        <v>116968.62999999999</v>
      </c>
      <c r="H118" s="160"/>
      <c r="I118" s="160"/>
      <c r="J118" s="160"/>
      <c r="L118" s="48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230.14225137231927</v>
      </c>
      <c r="L119" s="48"/>
      <c r="O119" s="1" t="s">
        <v>139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109363.39</v>
      </c>
      <c r="L120" s="48"/>
      <c r="O120" s="1" t="s">
        <v>140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7605.2399999999907</v>
      </c>
      <c r="L121" s="48"/>
      <c r="O121" s="1" t="s">
        <v>141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116968.62999999999</v>
      </c>
      <c r="L122" s="48"/>
      <c r="O122" s="1" t="s">
        <v>142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116968.62999999999</v>
      </c>
      <c r="L123" s="48"/>
      <c r="O123" s="1" t="s">
        <v>143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59">
        <f>VLOOKUP("гвс",АО,5,FALSE)</f>
        <v>0</v>
      </c>
      <c r="H126" s="160"/>
      <c r="I126" s="160"/>
      <c r="J126" s="160"/>
      <c r="L126" s="48"/>
    </row>
    <row r="127" spans="1:15" ht="32.25" hidden="1" customHeight="1" outlineLevel="2">
      <c r="A127" s="157">
        <f t="shared" ref="A127:A133" si="10">IF(VLOOKUP("гвс",АО,3,FALSE)&gt;0,VLOOKUP(O127,АО,2,FALSE),0)</f>
        <v>0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57">
        <f t="shared" si="10"/>
        <v>0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57">
        <f t="shared" si="10"/>
        <v>0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57">
        <f t="shared" si="10"/>
        <v>0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57">
        <f t="shared" si="10"/>
        <v>0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57">
        <f t="shared" si="10"/>
        <v>0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57">
        <f t="shared" si="10"/>
        <v>0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8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171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7</v>
      </c>
      <c r="L145" s="15"/>
      <c r="O145" t="s">
        <v>172</v>
      </c>
    </row>
    <row r="146" spans="1:15" ht="30" customHeight="1" outlineLevel="1">
      <c r="A146" s="157" t="s">
        <v>174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0</v>
      </c>
      <c r="O146" t="s">
        <v>173</v>
      </c>
    </row>
    <row r="149" spans="1:15" ht="52.5" customHeight="1">
      <c r="A149" s="153" t="s">
        <v>179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52" t="s">
        <v>183</v>
      </c>
      <c r="B154" s="152"/>
      <c r="C154" s="152"/>
      <c r="D154" s="152"/>
      <c r="E154" s="27">
        <f>ПТО!G1</f>
        <v>-358646.18</v>
      </c>
    </row>
    <row r="155" spans="1:15" ht="34.5" customHeight="1">
      <c r="A155" s="154" t="s">
        <v>184</v>
      </c>
      <c r="B155" s="154"/>
      <c r="C155" s="154"/>
      <c r="D155" s="154"/>
      <c r="E155" s="28">
        <f>J13</f>
        <v>150402.09599999999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Приобретение и замена напольного покрытия в тамбуре.</v>
      </c>
      <c r="B159" s="149"/>
      <c r="C159" s="149"/>
      <c r="D159" s="149"/>
      <c r="E159" s="149"/>
      <c r="F159" s="150">
        <f t="shared" si="15"/>
        <v>1400</v>
      </c>
      <c r="G159" s="150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Приобретение и замена напольного покрытия в тамбуре.</v>
      </c>
    </row>
    <row r="160" spans="1:15" ht="28.5" customHeight="1">
      <c r="A160" s="149" t="str">
        <f t="shared" si="14"/>
        <v>Приобретение и установка ручного балансировочного клапана, замена части розлива ГВС.</v>
      </c>
      <c r="B160" s="149"/>
      <c r="C160" s="149"/>
      <c r="D160" s="149"/>
      <c r="E160" s="149"/>
      <c r="F160" s="150">
        <f t="shared" si="15"/>
        <v>9993.86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и установка ручного балансировочного клапана, замена части розлива ГВС.</v>
      </c>
    </row>
    <row r="161" spans="1:14" ht="28.5" customHeight="1">
      <c r="A161" s="149" t="str">
        <f>IF(N161&gt;0,N161,0)</f>
        <v>Замена замка дверей кабины и дверей шахты лифта (7, 8 этажи).</v>
      </c>
      <c r="B161" s="149"/>
      <c r="C161" s="149"/>
      <c r="D161" s="149"/>
      <c r="E161" s="149"/>
      <c r="F161" s="150">
        <f t="shared" si="15"/>
        <v>6590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Замена замка дверей кабины и дверей шахты лифта (7, 8 этажи).</v>
      </c>
    </row>
    <row r="162" spans="1:14" ht="28.5" customHeight="1">
      <c r="A162" s="149" t="str">
        <f t="shared" si="14"/>
        <v>Приобретение и замена Wi-Fi роутера для диспетчерской связи пассажирского лифта.</v>
      </c>
      <c r="B162" s="149"/>
      <c r="C162" s="149"/>
      <c r="D162" s="149"/>
      <c r="E162" s="149"/>
      <c r="F162" s="150">
        <f t="shared" si="15"/>
        <v>1499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Приобретение и замена Wi-Fi роутера для диспетчерской связи пассажирского лифта.</v>
      </c>
    </row>
    <row r="163" spans="1:14" ht="28.5" customHeight="1">
      <c r="A163" s="149" t="str">
        <f t="shared" si="14"/>
        <v>Приобретение и установка светодиодного светильника в кабину лифта (2 шт.).</v>
      </c>
      <c r="B163" s="149"/>
      <c r="C163" s="149"/>
      <c r="D163" s="149"/>
      <c r="E163" s="149"/>
      <c r="F163" s="150">
        <f t="shared" si="15"/>
        <v>14980</v>
      </c>
      <c r="G163" s="150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Приобретение и установка светодиодного светильника в кабину лифта (2 шт.).</v>
      </c>
    </row>
    <row r="164" spans="1:14" ht="28.5" customHeight="1">
      <c r="A164" s="149" t="str">
        <f t="shared" ref="A164:A187" si="18">IF(N164&gt;0,N164,0)</f>
        <v>Механизированная уборка и вывоз снега с придомовой территории.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12120</v>
      </c>
      <c r="G164" s="150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Механизированная уборка и вывоз снега с придомовой территории.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0">
        <f t="shared" si="19"/>
        <v>0</v>
      </c>
      <c r="G165" s="150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52" t="s">
        <v>187</v>
      </c>
      <c r="B190" s="152"/>
      <c r="C190" s="152"/>
      <c r="D190" s="152"/>
      <c r="E190" s="27">
        <f>SUM(F158:G187)</f>
        <v>54682.86</v>
      </c>
    </row>
    <row r="191" spans="1:14" ht="51.75" customHeight="1">
      <c r="A191" s="152" t="s">
        <v>186</v>
      </c>
      <c r="B191" s="152"/>
      <c r="C191" s="152"/>
      <c r="D191" s="152"/>
      <c r="E191" s="27">
        <f>E190+E154-E155</f>
        <v>-454365.41599999997</v>
      </c>
    </row>
    <row r="192" spans="1:14">
      <c r="A192" s="105" t="s">
        <v>175</v>
      </c>
    </row>
    <row r="193" spans="1:10" ht="62.25" customHeight="1">
      <c r="A193" s="177" t="s">
        <v>185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50">
        <f>ПТО!G12</f>
        <v>1200</v>
      </c>
      <c r="I194" s="51" t="s">
        <v>75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50">
        <f>ПТО!G13</f>
        <v>8100</v>
      </c>
      <c r="I195" s="51" t="s">
        <v>75</v>
      </c>
    </row>
    <row r="196" spans="1:10" ht="18.75" customHeight="1">
      <c r="A196" s="176" t="str">
        <f>ПТО!F14</f>
        <v xml:space="preserve">  -  ремонт подъезда</v>
      </c>
      <c r="B196" s="176"/>
      <c r="C196" s="176"/>
      <c r="D196" s="176"/>
      <c r="E196" s="176"/>
      <c r="F196" s="176"/>
      <c r="G196" s="176"/>
      <c r="H196" s="50">
        <f>ПТО!G14</f>
        <v>350000</v>
      </c>
      <c r="I196" s="51" t="s">
        <v>75</v>
      </c>
    </row>
    <row r="197" spans="1:10" ht="34.5" customHeight="1">
      <c r="A197" s="176" t="str">
        <f>ПТО!F15</f>
        <v xml:space="preserve">  -  механизированная уборка и вывоз снега с придомовой территории</v>
      </c>
      <c r="B197" s="176"/>
      <c r="C197" s="176"/>
      <c r="D197" s="176"/>
      <c r="E197" s="176"/>
      <c r="F197" s="176"/>
      <c r="G197" s="176"/>
      <c r="H197" s="50">
        <f>ПТО!G15</f>
        <v>10000</v>
      </c>
      <c r="I197" s="51" t="s">
        <v>75</v>
      </c>
    </row>
    <row r="198" spans="1:10" ht="18.75" customHeight="1">
      <c r="A198" s="176" t="str">
        <f>ПТО!F16</f>
        <v xml:space="preserve">  -  смена розлива ХВС (12 м.)</v>
      </c>
      <c r="B198" s="176"/>
      <c r="C198" s="176"/>
      <c r="D198" s="176"/>
      <c r="E198" s="176"/>
      <c r="F198" s="176"/>
      <c r="G198" s="176"/>
      <c r="H198" s="50">
        <f>ПТО!G16</f>
        <v>14000</v>
      </c>
      <c r="I198" s="53" t="s">
        <v>75</v>
      </c>
    </row>
    <row r="199" spans="1:10" ht="18.75" customHeight="1">
      <c r="A199" s="176" t="str">
        <f>ПТО!F17</f>
        <v xml:space="preserve">  -  замена входной двери</v>
      </c>
      <c r="B199" s="176"/>
      <c r="C199" s="176"/>
      <c r="D199" s="176"/>
      <c r="E199" s="176"/>
      <c r="F199" s="176"/>
      <c r="G199" s="176"/>
      <c r="H199" s="50">
        <f>ПТО!G17</f>
        <v>50000</v>
      </c>
      <c r="I199" s="51" t="s">
        <v>75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50">
        <f>ПТО!G18</f>
        <v>0</v>
      </c>
      <c r="I200" s="51" t="s">
        <v>75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50">
        <f>ПТО!G19</f>
        <v>0</v>
      </c>
      <c r="I201" s="51" t="s">
        <v>75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50">
        <f>ПТО!G20</f>
        <v>0</v>
      </c>
      <c r="I202" s="51" t="s">
        <v>75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50">
        <f>ПТО!G21</f>
        <v>0</v>
      </c>
      <c r="I203" s="51" t="s">
        <v>75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50">
        <f>ПТО!G22</f>
        <v>0</v>
      </c>
      <c r="I204" s="51" t="s">
        <v>75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50">
        <f>ПТО!G23</f>
        <v>0</v>
      </c>
      <c r="I205" s="51" t="s">
        <v>75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50">
        <f>ПТО!G24</f>
        <v>0</v>
      </c>
      <c r="I206" s="51" t="s">
        <v>75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50">
        <f>ПТО!G25</f>
        <v>0</v>
      </c>
      <c r="I207" s="51" t="s">
        <v>75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50">
        <f>ПТО!G26</f>
        <v>0</v>
      </c>
      <c r="I208" s="51" t="s">
        <v>75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50">
        <f>ПТО!G27</f>
        <v>0</v>
      </c>
      <c r="I209" s="51" t="s">
        <v>75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50">
        <f>ПТО!G28</f>
        <v>0</v>
      </c>
      <c r="I210" s="51" t="s">
        <v>75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50">
        <f>ПТО!G29</f>
        <v>0</v>
      </c>
      <c r="I211" s="51" t="s">
        <v>75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50">
        <f>ПТО!G30</f>
        <v>0</v>
      </c>
      <c r="I212" s="51" t="s">
        <v>75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433300</v>
      </c>
      <c r="I214" s="57" t="s">
        <v>78</v>
      </c>
    </row>
  </sheetData>
  <sheetProtection algorithmName="SHA-512" hashValue="TaOSivs6q1QEZiNJaTG7XXe9XV4IBQtGP9uXqSCDeaKW8lKGH9TC0u3AH8e2OmCJC3l6ao5i7mPWNeI7JkRn7A==" saltValue="tA9U+XwI3SRq8skaLsrwI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9" sqref="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183</v>
      </c>
      <c r="G1" s="102">
        <f>-358646.18</f>
        <v>-358646.18</v>
      </c>
    </row>
    <row r="2" spans="1:12" ht="18.75" customHeight="1">
      <c r="A2" s="143" t="s">
        <v>73</v>
      </c>
      <c r="B2" s="144" t="s">
        <v>180</v>
      </c>
      <c r="C2" s="144">
        <v>1</v>
      </c>
      <c r="D2" s="145">
        <v>8100</v>
      </c>
      <c r="E2" s="140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188</v>
      </c>
      <c r="B3" s="134" t="s">
        <v>189</v>
      </c>
      <c r="C3" s="118">
        <v>1</v>
      </c>
      <c r="D3" s="119">
        <v>1400</v>
      </c>
      <c r="E3" s="135" t="s">
        <v>190</v>
      </c>
      <c r="F3" s="30"/>
      <c r="G3" s="30"/>
      <c r="L3" s="33" t="str">
        <f t="shared" si="0"/>
        <v>ТР</v>
      </c>
    </row>
    <row r="4" spans="1:12" ht="18.75" customHeight="1">
      <c r="A4" s="128" t="s">
        <v>191</v>
      </c>
      <c r="B4" s="122" t="s">
        <v>189</v>
      </c>
      <c r="C4" s="122">
        <v>1</v>
      </c>
      <c r="D4" s="130">
        <v>9993.86</v>
      </c>
      <c r="E4" s="127" t="s">
        <v>192</v>
      </c>
      <c r="F4" s="30"/>
      <c r="G4" s="30"/>
      <c r="L4" s="33" t="str">
        <f t="shared" si="0"/>
        <v>ТР</v>
      </c>
    </row>
    <row r="5" spans="1:12" ht="18.75" customHeight="1">
      <c r="A5" s="128" t="s">
        <v>193</v>
      </c>
      <c r="B5" s="122" t="s">
        <v>189</v>
      </c>
      <c r="C5" s="129">
        <v>1</v>
      </c>
      <c r="D5" s="130">
        <v>6590</v>
      </c>
      <c r="E5" s="127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28" t="s">
        <v>195</v>
      </c>
      <c r="B6" s="122" t="s">
        <v>189</v>
      </c>
      <c r="C6" s="122">
        <v>1</v>
      </c>
      <c r="D6" s="130">
        <v>1499</v>
      </c>
      <c r="E6" s="127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37" t="s">
        <v>197</v>
      </c>
      <c r="B7" s="139" t="s">
        <v>189</v>
      </c>
      <c r="C7" s="138">
        <v>1</v>
      </c>
      <c r="D7" s="136">
        <v>14980</v>
      </c>
      <c r="E7" s="140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199</v>
      </c>
      <c r="B8" s="141" t="s">
        <v>189</v>
      </c>
      <c r="C8" s="43">
        <v>1</v>
      </c>
      <c r="D8" s="44">
        <v>12120</v>
      </c>
      <c r="E8" s="45" t="s">
        <v>200</v>
      </c>
      <c r="F8" s="46"/>
      <c r="G8" s="46"/>
      <c r="K8" s="44"/>
      <c r="L8" s="33" t="str">
        <f t="shared" si="0"/>
        <v>ТР</v>
      </c>
    </row>
    <row r="9" spans="1:12">
      <c r="A9" s="120"/>
      <c r="B9" s="121"/>
      <c r="C9" s="122"/>
      <c r="D9" s="47"/>
      <c r="F9" s="45"/>
      <c r="G9" s="45"/>
      <c r="K9" s="44"/>
      <c r="L9" s="33">
        <f t="shared" si="0"/>
        <v>0</v>
      </c>
    </row>
    <row r="10" spans="1:12">
      <c r="A10" s="123"/>
      <c r="B10" s="124"/>
      <c r="C10" s="125"/>
      <c r="D10" s="126"/>
      <c r="E10" s="127"/>
      <c r="L10" s="33">
        <f t="shared" si="0"/>
        <v>0</v>
      </c>
    </row>
    <row r="11" spans="1:12" ht="94.5">
      <c r="A11" s="30"/>
      <c r="F11" s="112" t="s">
        <v>185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15.75">
      <c r="A14" s="30"/>
      <c r="F14" s="113" t="s">
        <v>182</v>
      </c>
      <c r="G14" s="114">
        <v>350000</v>
      </c>
      <c r="L14" s="33">
        <f t="shared" si="0"/>
        <v>0</v>
      </c>
    </row>
    <row r="15" spans="1:12" ht="31.5">
      <c r="A15" s="30"/>
      <c r="F15" s="113" t="s">
        <v>202</v>
      </c>
      <c r="G15" s="146">
        <v>10000</v>
      </c>
      <c r="L15" s="33">
        <f t="shared" si="0"/>
        <v>0</v>
      </c>
    </row>
    <row r="16" spans="1:12" ht="15.75">
      <c r="A16" s="30"/>
      <c r="F16" s="147" t="s">
        <v>204</v>
      </c>
      <c r="G16" s="148">
        <v>14000</v>
      </c>
      <c r="L16" s="33">
        <f t="shared" si="0"/>
        <v>0</v>
      </c>
    </row>
    <row r="17" spans="1:12" ht="15.75">
      <c r="A17" s="30"/>
      <c r="F17" s="147" t="s">
        <v>203</v>
      </c>
      <c r="G17" s="148">
        <v>50000</v>
      </c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158334.72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158334.72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126604.32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126604.32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46643.64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46643.64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38076.480000000003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38076.480000000003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12692.16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12692.16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50451.360000000001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50451.360000000001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53941.68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53941.68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1"/>
      <c r="C47" s="132"/>
      <c r="D47" s="49"/>
      <c r="E47" s="131">
        <v>799.2</v>
      </c>
      <c r="F47" s="131">
        <v>324.7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mBVUVx3fAv8xs3zrrLDCg9KZAnov5zTyB+dOAPcECgGi8pygx9Et000vEie/HF9H7SBux0PeXpqOYD0J2rTvaQ==" saltValue="HtaOFYED/8MIZ41zh4mTh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" sqref="F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2644.2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212042.68599999999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637146.43199999991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f>(14.25+1.09)*12*F1</f>
        <v>486744.33599999995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F1*4.74*12</f>
        <v>150402.09599999999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613993.4700000002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613993.4700000002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613993.4700000002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235195.6479999997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106</v>
      </c>
      <c r="B27" s="76" t="s">
        <v>4</v>
      </c>
      <c r="C27" s="87">
        <v>113369.68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109</v>
      </c>
      <c r="B30" s="76" t="s">
        <v>18</v>
      </c>
      <c r="C30" s="87">
        <f>C27+48429.32</f>
        <v>161799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216273.52</v>
      </c>
      <c r="F37" s="95" t="s">
        <v>168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171098.18811757347</v>
      </c>
      <c r="D38" s="95" t="s">
        <v>166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199875.95000000007</v>
      </c>
      <c r="D39" s="95" t="s">
        <v>167</v>
      </c>
      <c r="E39" s="142"/>
      <c r="G39" s="68"/>
      <c r="H39" s="68"/>
      <c r="L39" s="64"/>
      <c r="M39" s="178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16397.56999999992</v>
      </c>
      <c r="D40" s="81" t="s">
        <v>59</v>
      </c>
      <c r="E40" s="142"/>
      <c r="G40" s="68"/>
      <c r="H40" s="68"/>
      <c r="L40" s="64"/>
      <c r="M40" s="178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216273.52</v>
      </c>
      <c r="D41" s="81" t="s">
        <v>59</v>
      </c>
      <c r="E41" s="142"/>
      <c r="G41" s="68"/>
      <c r="H41" s="68"/>
      <c r="L41" s="64"/>
      <c r="M41" s="178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216273.52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114491.21999999997</v>
      </c>
      <c r="F45" s="95" t="s">
        <v>168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7633.5013060499368</v>
      </c>
      <c r="D46" s="95" t="s">
        <v>169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103688.01000000001</v>
      </c>
      <c r="D47" s="95" t="s">
        <v>167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10803.209999999963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114491.21999999997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114491.21999999997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139249.78999999998</v>
      </c>
      <c r="F53" s="95" t="s">
        <v>168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8366.06678574328</v>
      </c>
      <c r="D54" s="95" t="s">
        <v>169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125626.17</v>
      </c>
      <c r="D55" s="95" t="s">
        <v>167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13623.619999999981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139249.78999999998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139249.78999999998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116968.62999999999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230.14225137231927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109363.39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7605.2399999999907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116968.62999999999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116968.62999999999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/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/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/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/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/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/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9" sqref="C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7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/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2023-03-30T06:13:04Z</dcterms:modified>
</cp:coreProperties>
</file>