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H59" i="2"/>
  <c r="H60" i="2" s="1"/>
  <c r="H61" i="2" s="1"/>
  <c r="H53" i="2"/>
  <c r="H54" i="2" s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4" i="1" s="1"/>
  <c r="C53" i="3"/>
  <c r="A114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2" i="1"/>
  <c r="G110" i="1"/>
  <c r="J109" i="1"/>
  <c r="J104" i="1"/>
  <c r="J103" i="1"/>
  <c r="A107" i="1"/>
  <c r="A106" i="1"/>
  <c r="A105" i="1"/>
  <c r="G102" i="1"/>
  <c r="F102" i="1"/>
  <c r="D102" i="1"/>
  <c r="A102" i="1"/>
  <c r="J101" i="1"/>
  <c r="J96" i="1"/>
  <c r="J95" i="1"/>
  <c r="A100" i="1"/>
  <c r="A96" i="1"/>
  <c r="G94" i="1"/>
  <c r="D94" i="1"/>
  <c r="K94" i="1"/>
  <c r="A115" i="1" l="1"/>
  <c r="A110" i="1"/>
  <c r="A116" i="1"/>
  <c r="D110" i="1"/>
  <c r="A111" i="1"/>
  <c r="A108" i="1"/>
  <c r="A103" i="1"/>
  <c r="A109" i="1"/>
  <c r="F110" i="1"/>
  <c r="A113" i="1"/>
  <c r="A117" i="1"/>
  <c r="A119" i="1"/>
  <c r="A123" i="1"/>
  <c r="A118" i="1"/>
  <c r="D118" i="1"/>
  <c r="A120" i="1"/>
  <c r="A124" i="1"/>
  <c r="F118" i="1"/>
  <c r="A121" i="1"/>
  <c r="A125" i="1"/>
  <c r="A94" i="1"/>
  <c r="A95" i="1"/>
  <c r="A99" i="1"/>
  <c r="F134" i="1"/>
  <c r="A137" i="1"/>
  <c r="A141" i="1"/>
  <c r="A138" i="1"/>
  <c r="F94" i="1"/>
  <c r="A97" i="1"/>
  <c r="A101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67" i="1" l="1"/>
  <c r="F181" i="1"/>
  <c r="H167" i="1"/>
  <c r="F175" i="1"/>
  <c r="H179" i="1"/>
  <c r="F170" i="1"/>
  <c r="F187" i="1"/>
  <c r="F165" i="1"/>
  <c r="H177" i="1"/>
  <c r="F177" i="1"/>
  <c r="H170" i="1"/>
  <c r="H186" i="1"/>
  <c r="H164" i="1"/>
  <c r="F171" i="1"/>
  <c r="H176" i="1"/>
  <c r="F172" i="1"/>
  <c r="F173" i="1"/>
  <c r="F184" i="1"/>
  <c r="F164" i="1"/>
  <c r="F176" i="1"/>
  <c r="F185" i="1"/>
  <c r="H169" i="1"/>
  <c r="H165" i="1"/>
  <c r="H171" i="1"/>
  <c r="F186" i="1"/>
  <c r="F183" i="1"/>
  <c r="H180" i="1"/>
  <c r="F180" i="1"/>
  <c r="H174" i="1"/>
  <c r="F169" i="1"/>
  <c r="F174" i="1"/>
  <c r="H185" i="1"/>
  <c r="H183" i="1"/>
  <c r="H181" i="1"/>
  <c r="F166" i="1"/>
  <c r="H187" i="1"/>
  <c r="H182" i="1"/>
  <c r="H172" i="1"/>
  <c r="F179" i="1"/>
  <c r="F178" i="1"/>
  <c r="H178" i="1"/>
  <c r="H168" i="1"/>
  <c r="F168" i="1"/>
  <c r="H166" i="1"/>
  <c r="H184" i="1"/>
  <c r="H173" i="1"/>
  <c r="F182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<sst xmlns="http://schemas.openxmlformats.org/spreadsheetml/2006/main" count="581" uniqueCount="220">
  <si>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</si>
  <si>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</si>
  <si>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</si>
  <si>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</si>
  <si>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</si>
  <si>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</si>
  <si>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</si>
  <si>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</si>
  <si>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</si>
  <si>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</si>
  <si>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</si>
  <si>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</si>
  <si>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</si>
  <si>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</si>
  <si>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</si>
  <si>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</si>
  <si>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</si>
  <si>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</si>
  <si>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</si>
  <si>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</si>
  <si>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</si>
  <si>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</si>
  <si>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</si>
  <si>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</si>
  <si>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</si>
  <si>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</si>
  <si>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</si>
  <si>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</si>
  <si>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</si>
  <si>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</si>
  <si>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</si>
  <si>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</si>
  <si>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</si>
  <si>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</si>
  <si>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</si>
  <si>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</si>
  <si>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</si>
  <si>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</si>
  <si>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</si>
  <si>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</si>
  <si>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</si>
  <si>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</si>
  <si>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</si>
  <si>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</si>
  <si>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</si>
  <si>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</si>
  <si>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</si>
  <si>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</si>
  <si>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</si>
  <si>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</si>
  <si>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</si>
  <si>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</si>
  <si>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</si>
  <si>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</si>
  <si>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</si>
  <si>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</si>
  <si>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</si>
  <si>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</si>
  <si>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</si>
  <si>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</si>
  <si>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</si>
  <si>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</si>
  <si>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</si>
  <si>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</si>
  <si>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</si>
  <si>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</si>
  <si>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</si>
  <si>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</si>
  <si>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</si>
  <si>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</si>
  <si>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</si>
  <si>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</si>
  <si>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</si>
  <si>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</si>
  <si>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</si>
  <si>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</si>
  <si>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</si>
  <si>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</si>
  <si>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</si>
  <si>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</si>
  <si>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</si>
  <si>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</si>
  <si>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</si>
  <si>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</si>
  <si>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</si>
  <si>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</si>
  <si>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</si>
  <si>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</si>
  <si>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</si>
  <si>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</si>
  <si>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</si>
  <si>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</si>
  <si>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</si>
  <si>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</si>
  <si>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</si>
  <si>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</si>
  <si>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</si>
  <si>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</si>
  <si>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</si>
  <si>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</si>
  <si>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</si>
  <si>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</si>
  <si>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</si>
  <si>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</si>
  <si>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</si>
  <si>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</si>
  <si>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</si>
  <si>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</si>
  <si>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</si>
  <si>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</si>
  <si>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</si>
  <si>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</si>
  <si>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</si>
  <si>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</si>
  <si>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</si>
  <si>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</si>
  <si>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</si>
  <si>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</si>
  <si>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</si>
  <si>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</si>
  <si>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</si>
  <si>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</si>
  <si>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</si>
  <si>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</si>
  <si>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</si>
  <si>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</si>
  <si>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</si>
  <si>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</si>
  <si>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</si>
  <si>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</si>
  <si>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</si>
  <si>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</si>
  <si>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</si>
  <si>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</si>
  <si>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</si>
  <si>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</si>
  <si>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</si>
  <si>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</si>
  <si>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</si>
  <si>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</si>
  <si>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</si>
  <si>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</si>
  <si>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</si>
  <si>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</si>
  <si>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</si>
  <si>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</si>
  <si>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</si>
  <si>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</si>
  <si>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</si>
  <si>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</si>
  <si>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</si>
  <si>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</si>
  <si>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</si>
  <si>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</si>
  <si>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</si>
  <si>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</si>
  <si>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</si>
  <si>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</si>
  <si>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</si>
  <si>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</si>
  <si>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</si>
  <si>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</si>
  <si>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</si>
  <si>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</si>
  <si>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</si>
  <si>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</si>
  <si>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</si>
  <si>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</si>
  <si>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</si>
  <si>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</si>
  <si>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</si>
  <si>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</si>
  <si>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</si>
  <si>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</si>
  <si>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</si>
  <si>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</si>
  <si>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t>
  </si>
  <si>
    <t>Отчет об исполнении договора управления многоквартирного дома 
Профсоюзная, 10/2</t>
  </si>
  <si>
    <t>Отчет об исполнении договора управления многоквартирного дома 
Профсоюзная, 10/2 в части текущего ремонта</t>
  </si>
  <si>
    <t>ежегодно</t>
  </si>
  <si>
    <t>площадь дома</t>
  </si>
  <si>
    <t xml:space="preserve">  -  монтаж дополнительных камер видеонаблюдения</t>
  </si>
  <si>
    <t xml:space="preserve">  -  благоустройство придомовой территории</t>
  </si>
  <si>
    <t>Начало отчетного периода</t>
  </si>
  <si>
    <t>разово</t>
  </si>
  <si>
    <t>Замена тяговых канатов для лифта.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</si>
  <si>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</si>
  <si>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</si>
  <si>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</si>
  <si>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</si>
  <si>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</si>
  <si>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</si>
  <si>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</si>
  <si>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</si>
  <si>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</si>
  <si>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</si>
  <si>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</si>
  <si>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</si>
  <si>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АВР 1/22 от 09.01.2022, счет №215 от 09.12.2021, Решение</t>
  </si>
  <si>
    <t>Ремонт и установка контроллера.</t>
  </si>
  <si>
    <t>АВР 2/22 от 09.01.2022</t>
  </si>
  <si>
    <t>АВР 3/22 от 01.02.2022</t>
  </si>
  <si>
    <t>Замена блока питания на термодатчик в тепловом пункте.</t>
  </si>
  <si>
    <t>Ремонт подъезда (лестничные клетки 1 и 2 этажей).</t>
  </si>
  <si>
    <t>Ремонт лифта (замена освещения и кнопки вызова).</t>
  </si>
  <si>
    <t>Приобретение и замена АКБ для пассажирского лифта.</t>
  </si>
  <si>
    <t>АВР 4/22 от 22.07.2022, Решение, счет №324 от 22.07.2022</t>
  </si>
  <si>
    <t>АВР 5/22 от 01.07.2022</t>
  </si>
  <si>
    <t>АВР 6/22 от 16.08.2022,  Решение, счет №310522 от 31.05.2022</t>
  </si>
  <si>
    <t>АВР 7/22 от 31.08.2022, Решение, счет №6862 от 21.07.2022</t>
  </si>
  <si>
    <t>АВР 8/22 от 31.08.2022, Решение, счет №272 от 18.05.2022</t>
  </si>
  <si>
    <t>Ремонт подъезда (частичная замена плитки на полах подъезда).</t>
  </si>
  <si>
    <t>АВР 9/22 от 31.08.2022</t>
  </si>
  <si>
    <t>Приобретение и замена входной двери в подъезд.</t>
  </si>
  <si>
    <t>Замена прибора учета ХВС.</t>
  </si>
  <si>
    <t>Приобретение и укладка грязезащитного покрытия в подъезд.</t>
  </si>
  <si>
    <t>АВР 10/22 от 25.09.2022, Решение, счет №112 от 15.08.2022</t>
  </si>
  <si>
    <t>АВР 11/22 от 20.12.2022, Решение, счет №56159 от 01.12.2022</t>
  </si>
  <si>
    <t>Приобретение и замена обратного клапана в ИТП.</t>
  </si>
  <si>
    <t>АВР 12/22 от 29.11.2022, Решение, счет №12281 от 23.11.2022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</si>
</sst>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9" fillId="0" borderId="0"/>
    <xf numFmtId="0" fontId="18" fillId="0" borderId="0"/>
    <xf numFmtId="0" fontId="31" fillId="0" borderId="0"/>
    <xf numFmtId="0" fontId="17" fillId="0" borderId="0"/>
    <xf numFmtId="0" fontId="16" fillId="0" borderId="0"/>
    <xf numFmtId="0" fontId="14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92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center" wrapText="1"/>
    </xf>
    <xf numFmtId="14" fontId="20" fillId="0" borderId="0" xfId="0" applyNumberFormat="1" applyFont="1"/>
    <xf numFmtId="0" fontId="21" fillId="2" borderId="0" xfId="0" applyFont="1" applyFill="1" applyAlignment="1">
      <alignment horizontal="right" wrapText="1" indent="1"/>
    </xf>
    <xf numFmtId="0" fontId="22" fillId="3" borderId="1" xfId="0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 applyAlignment="1">
      <alignment horizontal="center"/>
    </xf>
    <xf numFmtId="4" fontId="22" fillId="2" borderId="1" xfId="1" applyNumberFormat="1" applyFont="1" applyFill="1" applyBorder="1" applyAlignment="1">
      <alignment horizontal="center" wrapText="1"/>
    </xf>
    <xf numFmtId="0" fontId="23" fillId="0" borderId="1" xfId="0" applyFont="1" applyBorder="1" applyAlignment="1">
      <alignment vertical="center" wrapText="1"/>
    </xf>
    <xf numFmtId="0" fontId="25" fillId="0" borderId="0" xfId="0" applyFont="1"/>
    <xf numFmtId="0" fontId="26" fillId="0" borderId="0" xfId="0" applyFont="1"/>
    <xf numFmtId="0" fontId="24" fillId="0" borderId="1" xfId="1" applyFont="1" applyBorder="1" applyAlignment="1">
      <alignment vertical="center"/>
    </xf>
    <xf numFmtId="0" fontId="22" fillId="2" borderId="1" xfId="1" applyNumberFormat="1" applyFont="1" applyFill="1" applyBorder="1" applyAlignment="1">
      <alignment horizontal="center" wrapText="1"/>
    </xf>
    <xf numFmtId="0" fontId="27" fillId="0" borderId="0" xfId="0" applyFont="1"/>
    <xf numFmtId="4" fontId="20" fillId="0" borderId="0" xfId="0" applyNumberFormat="1" applyFont="1"/>
    <xf numFmtId="4" fontId="22" fillId="2" borderId="1" xfId="0" applyNumberFormat="1" applyFont="1" applyFill="1" applyBorder="1" applyAlignment="1" applyProtection="1">
      <alignment horizontal="center" wrapText="1"/>
    </xf>
    <xf numFmtId="4" fontId="22" fillId="2" borderId="1" xfId="1" applyNumberFormat="1" applyFont="1" applyFill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left" wrapText="1"/>
    </xf>
    <xf numFmtId="0" fontId="20" fillId="0" borderId="0" xfId="0" applyFont="1" applyAlignment="1">
      <alignment vertical="center"/>
    </xf>
    <xf numFmtId="0" fontId="29" fillId="0" borderId="0" xfId="0" applyFont="1" applyAlignment="1">
      <alignment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4" fontId="22" fillId="0" borderId="0" xfId="0" applyNumberFormat="1" applyFont="1" applyBorder="1" applyAlignment="1">
      <alignment horizontal="left" wrapText="1"/>
    </xf>
    <xf numFmtId="4" fontId="20" fillId="0" borderId="0" xfId="0" applyNumberFormat="1" applyFont="1" applyAlignment="1">
      <alignment vertical="center"/>
    </xf>
    <xf numFmtId="4" fontId="28" fillId="0" borderId="0" xfId="0" applyNumberFormat="1" applyFont="1" applyBorder="1" applyAlignment="1">
      <alignment vertical="center" wrapText="1"/>
    </xf>
    <xf numFmtId="4" fontId="22" fillId="3" borderId="1" xfId="1" applyNumberFormat="1" applyFont="1" applyFill="1" applyBorder="1" applyAlignment="1">
      <alignment horizontal="center" vertical="center" wrapText="1"/>
    </xf>
    <xf numFmtId="0" fontId="18" fillId="0" borderId="0" xfId="2" applyFill="1" applyBorder="1" applyAlignment="1"/>
    <xf numFmtId="0" fontId="0" fillId="0" borderId="0" xfId="0" applyBorder="1"/>
    <xf numFmtId="0" fontId="30" fillId="0" borderId="0" xfId="2" applyFont="1" applyFill="1" applyBorder="1" applyAlignment="1"/>
    <xf numFmtId="4" fontId="30" fillId="0" borderId="0" xfId="2" applyNumberFormat="1" applyFont="1" applyBorder="1" applyAlignment="1">
      <alignment horizontal="center"/>
    </xf>
    <xf numFmtId="0" fontId="22" fillId="3" borderId="0" xfId="0" applyFont="1" applyFill="1" applyBorder="1" applyAlignment="1">
      <alignment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vertical="center"/>
    </xf>
    <xf numFmtId="0" fontId="32" fillId="3" borderId="0" xfId="0" applyFont="1" applyFill="1" applyBorder="1" applyAlignment="1">
      <alignment horizontal="left" vertical="center" wrapText="1"/>
    </xf>
    <xf numFmtId="4" fontId="32" fillId="3" borderId="0" xfId="1" applyNumberFormat="1" applyFont="1" applyFill="1" applyBorder="1" applyAlignment="1">
      <alignment horizontal="left" vertical="center" wrapText="1"/>
    </xf>
    <xf numFmtId="0" fontId="34" fillId="0" borderId="0" xfId="0" applyFont="1" applyBorder="1" applyAlignment="1">
      <alignment horizontal="left" vertical="center"/>
    </xf>
    <xf numFmtId="4" fontId="3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2" fillId="3" borderId="1" xfId="1" applyNumberFormat="1" applyFont="1" applyFill="1" applyBorder="1" applyAlignment="1">
      <alignment horizontal="center" vertical="center" wrapText="1"/>
    </xf>
    <xf numFmtId="4" fontId="17" fillId="0" borderId="0" xfId="4" applyNumberFormat="1" applyFill="1" applyBorder="1" applyAlignment="1"/>
    <xf numFmtId="0" fontId="30" fillId="0" borderId="0" xfId="4" applyFont="1" applyFill="1" applyBorder="1" applyAlignment="1"/>
    <xf numFmtId="0" fontId="17" fillId="0" borderId="0" xfId="4" applyFill="1" applyBorder="1" applyAlignment="1"/>
    <xf numFmtId="4" fontId="30" fillId="0" borderId="0" xfId="4" applyNumberFormat="1" applyFont="1" applyFill="1" applyBorder="1" applyAlignment="1"/>
    <xf numFmtId="0" fontId="27" fillId="0" borderId="0" xfId="0" applyFont="1" applyAlignment="1">
      <alignment horizontal="left" vertical="center" textRotation="90"/>
    </xf>
    <xf numFmtId="0" fontId="34" fillId="0" borderId="0" xfId="0" applyFont="1" applyFill="1" applyBorder="1" applyAlignment="1">
      <alignment horizontal="left" vertical="center"/>
    </xf>
    <xf numFmtId="4" fontId="28" fillId="0" borderId="0" xfId="0" applyNumberFormat="1" applyFont="1"/>
    <xf numFmtId="0" fontId="28" fillId="0" borderId="0" xfId="0" applyFont="1"/>
    <xf numFmtId="4" fontId="28" fillId="0" borderId="0" xfId="0" applyNumberFormat="1" applyFont="1" applyFill="1"/>
    <xf numFmtId="0" fontId="20" fillId="0" borderId="0" xfId="0" applyFont="1" applyFill="1"/>
    <xf numFmtId="0" fontId="26" fillId="0" borderId="0" xfId="0" applyFont="1" applyFill="1" applyBorder="1" applyAlignment="1">
      <alignment horizontal="left"/>
    </xf>
    <xf numFmtId="0" fontId="28" fillId="0" borderId="0" xfId="0" applyFont="1" applyFill="1"/>
    <xf numFmtId="4" fontId="36" fillId="0" borderId="0" xfId="0" applyNumberFormat="1" applyFont="1"/>
    <xf numFmtId="0" fontId="36" fillId="0" borderId="0" xfId="0" applyFont="1"/>
    <xf numFmtId="0" fontId="25" fillId="0" borderId="0" xfId="0" applyFont="1" applyBorder="1"/>
    <xf numFmtId="0" fontId="20" fillId="0" borderId="0" xfId="0" applyFont="1" applyBorder="1"/>
    <xf numFmtId="0" fontId="2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2" fillId="0" borderId="0" xfId="0" applyFont="1" applyBorder="1" applyAlignment="1" applyProtection="1">
      <alignment wrapText="1"/>
      <protection locked="0"/>
    </xf>
    <xf numFmtId="0" fontId="23" fillId="0" borderId="0" xfId="0" applyFont="1" applyBorder="1" applyProtection="1">
      <protection locked="0"/>
    </xf>
    <xf numFmtId="0" fontId="20" fillId="0" borderId="0" xfId="0" applyFont="1" applyBorder="1" applyProtection="1">
      <protection locked="0"/>
    </xf>
    <xf numFmtId="0" fontId="22" fillId="0" borderId="0" xfId="1" applyFont="1" applyBorder="1" applyAlignment="1" applyProtection="1">
      <alignment wrapText="1"/>
      <protection locked="0"/>
    </xf>
    <xf numFmtId="0" fontId="23" fillId="0" borderId="0" xfId="0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vertical="center"/>
      <protection locked="0"/>
    </xf>
    <xf numFmtId="0" fontId="22" fillId="0" borderId="0" xfId="1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0" fontId="2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5" fillId="0" borderId="0" xfId="0" applyFont="1" applyBorder="1" applyProtection="1"/>
    <xf numFmtId="0" fontId="2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6" fillId="0" borderId="0" xfId="0" applyFont="1" applyBorder="1" applyProtection="1"/>
    <xf numFmtId="0" fontId="22" fillId="0" borderId="0" xfId="1" applyFont="1" applyBorder="1" applyAlignment="1" applyProtection="1">
      <alignment wrapText="1"/>
    </xf>
    <xf numFmtId="0" fontId="23" fillId="0" borderId="0" xfId="0" applyFont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vertical="center"/>
    </xf>
    <xf numFmtId="0" fontId="22" fillId="0" borderId="0" xfId="1" applyFont="1" applyBorder="1" applyAlignment="1" applyProtection="1">
      <alignment vertical="center" wrapText="1"/>
    </xf>
    <xf numFmtId="4" fontId="22" fillId="4" borderId="0" xfId="0" applyNumberFormat="1" applyFont="1" applyFill="1" applyBorder="1" applyAlignment="1" applyProtection="1">
      <alignment horizontal="center" wrapText="1"/>
    </xf>
    <xf numFmtId="0" fontId="23" fillId="0" borderId="0" xfId="0" applyFont="1" applyBorder="1" applyProtection="1"/>
    <xf numFmtId="0" fontId="35" fillId="0" borderId="0" xfId="0" applyFont="1" applyBorder="1" applyProtection="1"/>
    <xf numFmtId="4" fontId="22" fillId="4" borderId="0" xfId="1" applyNumberFormat="1" applyFont="1" applyFill="1" applyBorder="1" applyAlignment="1" applyProtection="1">
      <alignment horizontal="center" wrapText="1"/>
    </xf>
    <xf numFmtId="4" fontId="22" fillId="5" borderId="0" xfId="0" applyNumberFormat="1" applyFont="1" applyFill="1" applyBorder="1" applyAlignment="1" applyProtection="1">
      <alignment horizontal="center" wrapText="1"/>
      <protection locked="0"/>
    </xf>
    <xf numFmtId="0" fontId="23" fillId="5" borderId="0" xfId="0" applyFont="1" applyFill="1" applyBorder="1" applyAlignment="1" applyProtection="1">
      <alignment horizontal="center"/>
      <protection locked="0"/>
    </xf>
    <xf numFmtId="2" fontId="23" fillId="5" borderId="0" xfId="0" applyNumberFormat="1" applyFont="1" applyFill="1" applyBorder="1" applyAlignment="1" applyProtection="1">
      <alignment horizontal="center"/>
      <protection locked="0"/>
    </xf>
    <xf numFmtId="4" fontId="22" fillId="5" borderId="0" xfId="1" applyNumberFormat="1" applyFont="1" applyFill="1" applyBorder="1" applyAlignment="1" applyProtection="1">
      <alignment horizontal="center" wrapText="1"/>
      <protection locked="0"/>
    </xf>
    <xf numFmtId="0" fontId="22" fillId="5" borderId="0" xfId="1" applyFont="1" applyFill="1" applyBorder="1" applyAlignment="1" applyProtection="1">
      <alignment horizontal="center" wrapText="1"/>
      <protection locked="0"/>
    </xf>
    <xf numFmtId="2" fontId="22" fillId="5" borderId="0" xfId="1" applyNumberFormat="1" applyFont="1" applyFill="1" applyBorder="1" applyAlignment="1" applyProtection="1">
      <alignment horizont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4" fontId="2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center" vertical="center" wrapText="1"/>
    </xf>
    <xf numFmtId="4" fontId="22" fillId="4" borderId="0" xfId="1" applyNumberFormat="1" applyFont="1" applyFill="1" applyBorder="1" applyAlignment="1" applyProtection="1">
      <alignment horizontal="center" vertical="center" wrapText="1"/>
    </xf>
    <xf numFmtId="0" fontId="24" fillId="0" borderId="0" xfId="1" applyFont="1" applyBorder="1" applyAlignment="1" applyProtection="1">
      <alignment horizontal="center" vertical="center" wrapText="1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0" fontId="24" fillId="0" borderId="0" xfId="1" applyFont="1" applyBorder="1" applyAlignment="1" applyProtection="1">
      <alignment horizontal="center" vertical="center"/>
    </xf>
    <xf numFmtId="4" fontId="23" fillId="0" borderId="1" xfId="0" applyNumberFormat="1" applyFont="1" applyBorder="1" applyAlignment="1">
      <alignment horizontal="center"/>
    </xf>
    <xf numFmtId="4" fontId="22" fillId="5" borderId="0" xfId="1" applyNumberFormat="1" applyFont="1" applyFill="1" applyBorder="1" applyAlignment="1" applyProtection="1">
      <alignment horizontal="center"/>
      <protection locked="0"/>
    </xf>
    <xf numFmtId="0" fontId="20" fillId="0" borderId="0" xfId="0" applyFont="1" applyAlignment="1">
      <alignment wrapText="1"/>
    </xf>
    <xf numFmtId="0" fontId="20" fillId="5" borderId="0" xfId="0" applyFont="1" applyFill="1" applyAlignment="1">
      <alignment wrapText="1"/>
    </xf>
    <xf numFmtId="4" fontId="20" fillId="0" borderId="5" xfId="0" applyNumberFormat="1" applyFont="1" applyBorder="1" applyAlignment="1">
      <alignment horizontal="center" vertical="center" wrapText="1"/>
    </xf>
    <xf numFmtId="0" fontId="2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8" fillId="0" borderId="0" xfId="0" applyFont="1"/>
    <xf numFmtId="0" fontId="22" fillId="5" borderId="1" xfId="1" applyNumberFormat="1" applyFont="1" applyFill="1" applyBorder="1" applyAlignment="1" applyProtection="1">
      <alignment horizontal="center" wrapText="1"/>
      <protection locked="0"/>
    </xf>
    <xf numFmtId="4" fontId="22" fillId="5" borderId="1" xfId="1" applyNumberFormat="1" applyFont="1" applyFill="1" applyBorder="1" applyAlignment="1" applyProtection="1">
      <alignment horizontal="center" wrapText="1"/>
      <protection locked="0"/>
    </xf>
    <xf numFmtId="0" fontId="35" fillId="0" borderId="0" xfId="0" applyFont="1" applyBorder="1"/>
    <xf numFmtId="0" fontId="0" fillId="0" borderId="0" xfId="0" applyProtection="1">
      <protection locked="0"/>
    </xf>
    <xf numFmtId="0" fontId="20" fillId="0" borderId="0" xfId="0" applyFont="1" applyProtection="1">
      <protection locked="0"/>
    </xf>
    <xf numFmtId="0" fontId="27" fillId="0" borderId="0" xfId="0" applyFont="1" applyProtection="1">
      <protection locked="0"/>
    </xf>
    <xf numFmtId="0" fontId="23" fillId="0" borderId="0" xfId="0" applyFont="1" applyAlignment="1">
      <alignment wrapText="1"/>
    </xf>
    <xf numFmtId="0" fontId="23" fillId="0" borderId="0" xfId="0" applyFont="1" applyFill="1" applyBorder="1" applyAlignment="1">
      <alignment wrapText="1"/>
    </xf>
    <xf numFmtId="4" fontId="22" fillId="0" borderId="0" xfId="0" applyNumberFormat="1" applyFont="1"/>
    <xf numFmtId="4" fontId="22" fillId="0" borderId="0" xfId="0" applyNumberFormat="1" applyFont="1" applyFill="1"/>
    <xf numFmtId="0" fontId="39" fillId="2" borderId="0" xfId="0" applyFont="1" applyFill="1" applyAlignment="1">
      <alignment horizontal="right" wrapText="1" indent="1"/>
    </xf>
    <xf numFmtId="0" fontId="20" fillId="0" borderId="0" xfId="0" applyFont="1" applyAlignment="1" applyProtection="1">
      <alignment vertical="center"/>
      <protection locked="0"/>
    </xf>
    <xf numFmtId="14" fontId="20" fillId="0" borderId="0" xfId="0" applyNumberFormat="1" applyFont="1" applyProtection="1">
      <protection locked="0"/>
    </xf>
    <xf numFmtId="0" fontId="30" fillId="0" borderId="0" xfId="4" applyFont="1" applyFill="1" applyBorder="1" applyAlignment="1">
      <alignment horizontal="center"/>
    </xf>
    <xf numFmtId="0" fontId="0" fillId="0" borderId="0" xfId="0" applyFill="1"/>
    <xf numFmtId="2" fontId="23" fillId="0" borderId="0" xfId="0" applyNumberFormat="1" applyFont="1" applyFill="1" applyBorder="1" applyAlignment="1">
      <alignment wrapText="1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4" fontId="0" fillId="0" borderId="0" xfId="0" applyNumberFormat="1" applyBorder="1" applyAlignment="1">
      <alignment horizontal="center"/>
    </xf>
    <xf numFmtId="4" fontId="32" fillId="3" borderId="0" xfId="6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13" fillId="0" borderId="0" xfId="4" applyFont="1" applyFill="1" applyBorder="1" applyAlignment="1"/>
    <xf numFmtId="0" fontId="15" fillId="0" borderId="0" xfId="4" applyFont="1" applyFill="1" applyBorder="1" applyAlignment="1">
      <alignment horizontal="center"/>
    </xf>
    <xf numFmtId="0" fontId="12" fillId="0" borderId="0" xfId="7" applyFont="1" applyFill="1" applyBorder="1" applyAlignment="1">
      <alignment wrapText="1"/>
    </xf>
    <xf numFmtId="0" fontId="12" fillId="0" borderId="0" xfId="7" applyFont="1" applyFill="1" applyBorder="1" applyAlignment="1">
      <alignment horizontal="center"/>
    </xf>
    <xf numFmtId="1" fontId="12" fillId="0" borderId="0" xfId="7" applyNumberFormat="1" applyFill="1" applyBorder="1" applyAlignment="1">
      <alignment horizontal="center"/>
    </xf>
    <xf numFmtId="4" fontId="30" fillId="0" borderId="0" xfId="7" applyNumberFormat="1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8" fillId="0" borderId="0" xfId="11" applyFont="1" applyFill="1" applyBorder="1"/>
    <xf numFmtId="0" fontId="30" fillId="0" borderId="0" xfId="5" applyFont="1" applyFill="1" applyBorder="1" applyAlignment="1"/>
    <xf numFmtId="0" fontId="16" fillId="0" borderId="0" xfId="5" applyFill="1" applyBorder="1" applyAlignment="1">
      <alignment horizontal="center"/>
    </xf>
    <xf numFmtId="4" fontId="16" fillId="0" borderId="0" xfId="5" applyNumberFormat="1" applyFill="1" applyBorder="1" applyAlignment="1"/>
    <xf numFmtId="4" fontId="30" fillId="0" borderId="0" xfId="2" applyNumberFormat="1" applyFont="1" applyFill="1" applyBorder="1" applyAlignment="1">
      <alignment horizontal="center"/>
    </xf>
    <xf numFmtId="0" fontId="11" fillId="0" borderId="0" xfId="4" applyFont="1" applyFill="1" applyBorder="1" applyAlignment="1"/>
    <xf numFmtId="0" fontId="11" fillId="0" borderId="0" xfId="4" applyFont="1" applyFill="1" applyBorder="1" applyAlignment="1">
      <alignment horizontal="center"/>
    </xf>
    <xf numFmtId="0" fontId="7" fillId="0" borderId="0" xfId="4" applyFont="1" applyFill="1" applyBorder="1" applyAlignment="1"/>
    <xf numFmtId="2" fontId="0" fillId="0" borderId="0" xfId="0" applyNumberFormat="1" applyFill="1" applyBorder="1"/>
    <xf numFmtId="4" fontId="0" fillId="0" borderId="0" xfId="0" applyNumberFormat="1" applyFill="1" applyBorder="1"/>
    <xf numFmtId="0" fontId="10" fillId="0" borderId="0" xfId="4" applyFont="1" applyFill="1" applyBorder="1" applyAlignment="1"/>
    <xf numFmtId="0" fontId="10" fillId="0" borderId="0" xfId="4" applyFont="1" applyFill="1" applyBorder="1" applyAlignment="1">
      <alignment horizontal="center"/>
    </xf>
    <xf numFmtId="0" fontId="6" fillId="0" borderId="0" xfId="2" applyFont="1" applyFill="1" applyBorder="1" applyAlignment="1"/>
    <xf numFmtId="0" fontId="5" fillId="0" borderId="0" xfId="2" applyFont="1" applyFill="1" applyBorder="1" applyAlignment="1"/>
    <xf numFmtId="0" fontId="5" fillId="0" borderId="0" xfId="4" applyFont="1" applyFill="1" applyBorder="1" applyAlignment="1">
      <alignment horizontal="center"/>
    </xf>
    <xf numFmtId="0" fontId="3" fillId="0" borderId="0" xfId="2" applyFont="1" applyFill="1" applyBorder="1" applyAlignment="1"/>
    <xf numFmtId="4" fontId="22" fillId="0" borderId="0" xfId="1" applyNumberFormat="1" applyFont="1" applyBorder="1" applyAlignment="1" applyProtection="1">
      <alignment horizontal="center" vertical="center" wrapText="1"/>
      <protection locked="0"/>
    </xf>
    <xf numFmtId="4" fontId="23" fillId="0" borderId="0" xfId="0" applyNumberFormat="1" applyFont="1"/>
    <xf numFmtId="0" fontId="2" fillId="0" borderId="0" xfId="2" applyFont="1" applyFill="1" applyBorder="1" applyAlignment="1"/>
    <xf numFmtId="0" fontId="4" fillId="0" borderId="0" xfId="5" applyFont="1" applyFill="1" applyBorder="1" applyAlignment="1">
      <alignment wrapText="1"/>
    </xf>
    <xf numFmtId="0" fontId="1" fillId="0" borderId="0" xfId="4" applyFont="1" applyFill="1" applyBorder="1" applyAlignment="1"/>
    <xf numFmtId="0" fontId="20" fillId="0" borderId="0" xfId="0" applyFont="1" applyFill="1" applyBorder="1" applyAlignment="1">
      <alignment horizontal="left" wrapText="1"/>
    </xf>
    <xf numFmtId="0" fontId="22" fillId="0" borderId="1" xfId="1" applyFont="1" applyBorder="1" applyAlignment="1">
      <alignment horizontal="left" wrapText="1"/>
    </xf>
    <xf numFmtId="0" fontId="20" fillId="0" borderId="0" xfId="0" applyFont="1" applyAlignment="1">
      <alignment horizontal="justify" wrapText="1"/>
    </xf>
    <xf numFmtId="0" fontId="22" fillId="3" borderId="1" xfId="0" applyFont="1" applyFill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/>
    </xf>
    <xf numFmtId="0" fontId="24" fillId="0" borderId="1" xfId="1" applyFont="1" applyBorder="1" applyAlignment="1">
      <alignment horizontal="left" vertical="center"/>
    </xf>
    <xf numFmtId="0" fontId="24" fillId="0" borderId="1" xfId="1" applyFont="1" applyBorder="1" applyAlignment="1">
      <alignment horizontal="center" vertical="center"/>
    </xf>
    <xf numFmtId="4" fontId="24" fillId="0" borderId="1" xfId="1" applyNumberFormat="1" applyFont="1" applyBorder="1" applyAlignment="1">
      <alignment horizontal="center" vertical="center"/>
    </xf>
    <xf numFmtId="4" fontId="22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 applyAlignment="1" applyProtection="1">
      <alignment horizontal="left" vertical="center" textRotation="90" wrapText="1"/>
      <protection locked="0"/>
    </xf>
    <xf numFmtId="0" fontId="27" fillId="0" borderId="0" xfId="0" applyFont="1" applyAlignment="1">
      <alignment horizontal="left" vertical="center" textRotation="90"/>
    </xf>
    <xf numFmtId="0" fontId="22" fillId="3" borderId="1" xfId="0" applyFont="1" applyFill="1" applyBorder="1" applyAlignment="1">
      <alignment horizontal="center" vertical="center" wrapText="1"/>
    </xf>
    <xf numFmtId="0" fontId="22" fillId="0" borderId="2" xfId="0" applyFont="1" applyBorder="1" applyAlignment="1" applyProtection="1">
      <alignment horizontal="left" wrapText="1"/>
    </xf>
    <xf numFmtId="0" fontId="22" fillId="0" borderId="3" xfId="0" applyFont="1" applyBorder="1" applyAlignment="1" applyProtection="1">
      <alignment horizontal="left" wrapText="1"/>
    </xf>
    <xf numFmtId="0" fontId="22" fillId="0" borderId="4" xfId="0" applyFont="1" applyBorder="1" applyAlignment="1" applyProtection="1">
      <alignment horizontal="left" wrapText="1"/>
    </xf>
    <xf numFmtId="0" fontId="22" fillId="0" borderId="2" xfId="1" applyFont="1" applyBorder="1" applyAlignment="1">
      <alignment horizontal="left" wrapText="1"/>
    </xf>
    <xf numFmtId="0" fontId="22" fillId="0" borderId="3" xfId="1" applyFont="1" applyBorder="1" applyAlignment="1">
      <alignment horizontal="left" wrapText="1"/>
    </xf>
    <xf numFmtId="0" fontId="22" fillId="0" borderId="4" xfId="1" applyFont="1" applyBorder="1" applyAlignment="1">
      <alignment horizontal="left" wrapText="1"/>
    </xf>
    <xf numFmtId="0" fontId="26" fillId="0" borderId="0" xfId="0" applyFont="1" applyAlignment="1" applyProtection="1">
      <alignment horizontal="center" wrapText="1"/>
      <protection locked="0"/>
    </xf>
    <xf numFmtId="0" fontId="27" fillId="0" borderId="0" xfId="0" applyFont="1" applyAlignment="1" applyProtection="1">
      <alignment horizontal="left" textRotation="90"/>
      <protection locked="0"/>
    </xf>
    <xf numFmtId="0" fontId="27" fillId="0" borderId="0" xfId="0" applyFont="1" applyAlignment="1" applyProtection="1">
      <alignment horizontal="left" vertical="center" textRotation="90"/>
      <protection locked="0"/>
    </xf>
    <xf numFmtId="0" fontId="22" fillId="0" borderId="1" xfId="0" applyFont="1" applyBorder="1" applyAlignment="1">
      <alignment horizontal="left" wrapText="1"/>
    </xf>
    <xf numFmtId="0" fontId="22" fillId="0" borderId="1" xfId="1" applyFont="1" applyBorder="1" applyAlignment="1">
      <alignment horizontal="left" vertical="center" wrapText="1"/>
    </xf>
    <xf numFmtId="0" fontId="27" fillId="0" borderId="0" xfId="0" applyFont="1" applyAlignment="1" applyProtection="1">
      <alignment horizontal="center" vertical="center" textRotation="90" wrapText="1"/>
      <protection locked="0"/>
    </xf>
    <xf numFmtId="0" fontId="23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26" fillId="0" borderId="0" xfId="0" applyFont="1" applyAlignment="1">
      <alignment horizontal="center" wrapText="1"/>
    </xf>
    <xf numFmtId="0" fontId="28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7" fillId="0" borderId="0" xfId="0" applyFont="1" applyBorder="1" applyAlignment="1" applyProtection="1">
      <alignment horizontal="left" vertical="center" textRotation="90"/>
      <protection locked="0"/>
    </xf>
    <xf numFmtId="0" fontId="27" fillId="0" borderId="0" xfId="0" applyFont="1" applyBorder="1" applyAlignment="1" applyProtection="1">
      <alignment horizontal="left" vertical="center" textRotation="90" wrapText="1"/>
      <protection locked="0"/>
    </xf>
    <xf numFmtId="0" fontId="37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13"/>
    <cellStyle name="Обычный 2 3 2" xfId="28"/>
    <cellStyle name="Обычный 2 4" xfId="32"/>
    <cellStyle name="Обычный 2 5" xfId="6"/>
    <cellStyle name="Обычный 2 5 2" xfId="24"/>
    <cellStyle name="Обычный 2 6" xfId="17"/>
    <cellStyle name="Обычный 2 7" xfId="8"/>
    <cellStyle name="Обычный 3" xfId="2"/>
    <cellStyle name="Обычный 3 2" xfId="14"/>
    <cellStyle name="Обычный 3 2 2" xfId="29"/>
    <cellStyle name="Обычный 3 2 3" xfId="22"/>
    <cellStyle name="Обычный 3 3" xfId="33"/>
    <cellStyle name="Обычный 3 4" xfId="25"/>
    <cellStyle name="Обычный 3 5" xfId="18"/>
    <cellStyle name="Обычный 3 6" xfId="9"/>
    <cellStyle name="Обычный 4" xfId="4"/>
    <cellStyle name="Обычный 4 2" xfId="15"/>
    <cellStyle name="Обычный 4 2 2" xfId="30"/>
    <cellStyle name="Обычный 4 2 3" xfId="23"/>
    <cellStyle name="Обычный 4 3" xfId="34"/>
    <cellStyle name="Обычный 4 4" xfId="26"/>
    <cellStyle name="Обычный 4 5" xfId="19"/>
    <cellStyle name="Обычный 4 6" xfId="10"/>
    <cellStyle name="Обычный 5" xfId="5"/>
    <cellStyle name="Обычный 5 2" xfId="7"/>
    <cellStyle name="Обычный 5 2 2" xfId="31"/>
    <cellStyle name="Обычный 5 2 3" xfId="16"/>
    <cellStyle name="Обычный 5 3" xfId="12"/>
    <cellStyle name="Обычный 5 3 2" xfId="35"/>
    <cellStyle name="Обычный 5 4" xfId="27"/>
    <cellStyle name="Обычный 5 5" xfId="20"/>
    <cellStyle name="Обычный 5 6" xfId="11"/>
    <cellStyle name="Обычный 6" xfId="2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" sqref="K9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8" t="s">
        <v>177</v>
      </c>
      <c r="B2" s="178"/>
      <c r="C2" s="178"/>
      <c r="D2" s="178"/>
      <c r="E2" s="178"/>
      <c r="F2" s="178"/>
      <c r="G2" s="178"/>
      <c r="H2" s="178"/>
      <c r="I2" s="178"/>
      <c r="J2" s="178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183</v>
      </c>
      <c r="E4" s="117">
        <v>44562</v>
      </c>
      <c r="K4" s="109"/>
      <c r="L4" s="109"/>
      <c r="M4" s="109"/>
      <c r="N4" s="109"/>
    </row>
    <row r="5" spans="1:18">
      <c r="A5" s="1" t="s">
        <v>0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72" t="s">
        <v>1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9"/>
      <c r="L8" s="179"/>
      <c r="M8" s="109"/>
      <c r="N8" s="109"/>
      <c r="O8" s="70" t="s">
        <v>82</v>
      </c>
      <c r="R8" s="16"/>
    </row>
    <row r="9" spans="1:18" ht="18.75" customHeight="1" outlineLevel="1">
      <c r="A9" s="172" t="s">
        <v>2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9"/>
      <c r="L9" s="179"/>
      <c r="M9" s="109"/>
      <c r="N9" s="109"/>
      <c r="O9" s="70" t="s">
        <v>83</v>
      </c>
    </row>
    <row r="10" spans="1:18" ht="18.75" customHeight="1" outlineLevel="1">
      <c r="A10" s="172" t="s">
        <v>3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131922.67000000004</v>
      </c>
      <c r="K10" s="109"/>
      <c r="L10" s="179"/>
      <c r="M10" s="109"/>
      <c r="N10" s="109"/>
      <c r="O10" s="70" t="s">
        <v>84</v>
      </c>
    </row>
    <row r="11" spans="1:18" outlineLevel="1">
      <c r="A11" s="172" t="s">
        <v>4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663112.73999999987</v>
      </c>
      <c r="K11" s="109"/>
      <c r="L11" s="179"/>
      <c r="M11" s="109"/>
      <c r="N11" s="109"/>
      <c r="O11" s="70" t="s">
        <v>85</v>
      </c>
    </row>
    <row r="12" spans="1:18" ht="18.75" customHeight="1" outlineLevel="1">
      <c r="A12" s="172" t="s">
        <v>5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509693.33999999991</v>
      </c>
      <c r="K12" s="109"/>
      <c r="L12" s="179"/>
      <c r="M12" s="109"/>
      <c r="N12" s="109"/>
      <c r="O12" s="70" t="s">
        <v>86</v>
      </c>
    </row>
    <row r="13" spans="1:18" ht="18.75" customHeight="1" outlineLevel="1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153419.4</v>
      </c>
      <c r="K13" s="109"/>
      <c r="L13" s="179"/>
      <c r="M13" s="109"/>
      <c r="N13" s="109"/>
      <c r="O13" s="70" t="s">
        <v>87</v>
      </c>
    </row>
    <row r="14" spans="1:18" ht="18.75" customHeight="1" outlineLevel="1">
      <c r="A14" s="172" t="s">
        <v>7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9"/>
      <c r="L14" s="179"/>
      <c r="M14" s="109"/>
      <c r="N14" s="109"/>
      <c r="O14" s="70" t="s">
        <v>88</v>
      </c>
    </row>
    <row r="15" spans="1:18" ht="18.75" customHeight="1" outlineLevel="1">
      <c r="A15" s="172" t="s">
        <v>8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632399.63</v>
      </c>
      <c r="K15" s="109"/>
      <c r="L15" s="179"/>
      <c r="M15" s="109"/>
      <c r="N15" s="109"/>
      <c r="O15" s="70" t="s">
        <v>89</v>
      </c>
    </row>
    <row r="16" spans="1:18" ht="18.75" customHeight="1" outlineLevel="1">
      <c r="A16" s="172" t="s">
        <v>9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632399.63</v>
      </c>
      <c r="K16" s="109"/>
      <c r="L16" s="179"/>
      <c r="M16" s="109"/>
      <c r="N16" s="109"/>
      <c r="O16" s="70" t="s">
        <v>90</v>
      </c>
    </row>
    <row r="17" spans="1:23" ht="18.75" customHeight="1" outlineLevel="1">
      <c r="A17" s="172" t="s">
        <v>10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9"/>
      <c r="L17" s="179"/>
      <c r="M17" s="109"/>
      <c r="N17" s="109"/>
      <c r="O17" s="70" t="s">
        <v>91</v>
      </c>
    </row>
    <row r="18" spans="1:23" ht="18.75" customHeight="1" outlineLevel="1">
      <c r="A18" s="172" t="s">
        <v>11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9"/>
      <c r="L18" s="179"/>
      <c r="M18" s="109"/>
      <c r="N18" s="109"/>
      <c r="O18" s="70" t="s">
        <v>92</v>
      </c>
    </row>
    <row r="19" spans="1:23" ht="18.75" customHeight="1" outlineLevel="1">
      <c r="A19" s="172" t="s">
        <v>12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9"/>
      <c r="L19" s="179"/>
      <c r="M19" s="109"/>
      <c r="N19" s="109"/>
      <c r="O19" s="70" t="s">
        <v>93</v>
      </c>
    </row>
    <row r="20" spans="1:23" ht="18.75" customHeight="1" outlineLevel="1">
      <c r="A20" s="172" t="s">
        <v>13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9"/>
      <c r="L20" s="179"/>
      <c r="M20" s="109"/>
      <c r="N20" s="109"/>
      <c r="O20" s="70" t="s">
        <v>94</v>
      </c>
    </row>
    <row r="21" spans="1:23" ht="18.75" customHeight="1" outlineLevel="1">
      <c r="A21" s="172" t="s">
        <v>14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632399.63</v>
      </c>
      <c r="K21" s="109"/>
      <c r="L21" s="179"/>
      <c r="M21" s="109"/>
      <c r="N21" s="109"/>
      <c r="O21" s="70" t="s">
        <v>95</v>
      </c>
    </row>
    <row r="22" spans="1:23" ht="18.75" customHeight="1" outlineLevel="1">
      <c r="A22" s="172" t="s">
        <v>15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9"/>
      <c r="L22" s="179"/>
      <c r="M22" s="109"/>
      <c r="N22" s="109"/>
      <c r="O22" s="70" t="s">
        <v>96</v>
      </c>
    </row>
    <row r="23" spans="1:23" ht="18.75" customHeight="1" outlineLevel="1">
      <c r="A23" s="172" t="s">
        <v>16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9"/>
      <c r="L23" s="179"/>
      <c r="M23" s="109"/>
      <c r="N23" s="109"/>
      <c r="O23" s="70" t="s">
        <v>97</v>
      </c>
    </row>
    <row r="24" spans="1:23" ht="18.75" customHeight="1" outlineLevel="1">
      <c r="A24" s="172" t="s">
        <v>17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162635.77999999991</v>
      </c>
      <c r="K24" s="109"/>
      <c r="L24" s="179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1" t="s">
        <v>18</v>
      </c>
      <c r="B27" s="171"/>
      <c r="C27" s="171"/>
      <c r="D27" s="171"/>
      <c r="E27" s="171"/>
      <c r="F27" s="171" t="s">
        <v>19</v>
      </c>
      <c r="G27" s="171"/>
      <c r="H27" s="5" t="s">
        <v>56</v>
      </c>
      <c r="I27" s="171" t="s">
        <v>20</v>
      </c>
      <c r="J27" s="171"/>
      <c r="K27" s="109"/>
      <c r="L27" s="180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146600.76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9"/>
      <c r="L28" s="180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63" t="str">
        <f>ПТО!A40</f>
        <v>Работы по содержанию лифта (лифтов)</v>
      </c>
      <c r="B29" s="163"/>
      <c r="C29" s="163"/>
      <c r="D29" s="163"/>
      <c r="E29" s="163"/>
      <c r="F29" s="168">
        <f>VLOOKUP(A29,ПТО!$A$39:$D$53,2,FALSE)</f>
        <v>53867.28</v>
      </c>
      <c r="G29" s="168"/>
      <c r="H29" s="42" t="str">
        <f>VLOOKUP(A29,ПТО!$A$39:$D$53,3,FALSE)</f>
        <v>Ежемесячно</v>
      </c>
      <c r="I29" s="164">
        <f>VLOOKUP(A29,ПТО!$A$39:$D$53,4,FALSE)</f>
        <v>12</v>
      </c>
      <c r="J29" s="164"/>
      <c r="K29" s="109"/>
      <c r="L29" s="180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6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3"/>
      <c r="C30" s="163"/>
      <c r="D30" s="163"/>
      <c r="E30" s="163"/>
      <c r="F30" s="168">
        <f>VLOOKUP(A30,ПТО!$A$39:$D$53,2,FALSE)</f>
        <v>42957.48</v>
      </c>
      <c r="G30" s="168"/>
      <c r="H30" s="42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9"/>
      <c r="L30" s="180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40911.839999999997</v>
      </c>
      <c r="G31" s="168"/>
      <c r="H31" s="42" t="str">
        <f>VLOOKUP(A31,ПТО!$A$39:$D$53,3,FALSE)</f>
        <v>Ежемесячно</v>
      </c>
      <c r="I31" s="164">
        <f>VLOOKUP(A31,ПТО!$A$39:$D$53,4,FALSE)</f>
        <v>12</v>
      </c>
      <c r="J31" s="164"/>
      <c r="K31" s="109"/>
      <c r="L31" s="180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2" t="e">
        <f>VLOOKUP(A32,ПТО!$A$39:$D$53,3,FALSE)</f>
        <v>#N/A</v>
      </c>
      <c r="I32" s="164" t="e">
        <f>VLOOKUP(A32,ПТО!$A$39:$D$53,4,FALSE)</f>
        <v>#N/A</v>
      </c>
      <c r="J32" s="164"/>
      <c r="K32" s="109"/>
      <c r="L32" s="180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13296.36</v>
      </c>
      <c r="G33" s="168"/>
      <c r="H33" s="42" t="str">
        <f>VLOOKUP(A33,ПТО!$A$39:$D$53,3,FALSE)</f>
        <v>Круглосуточно</v>
      </c>
      <c r="I33" s="164">
        <f>VLOOKUP(A33,ПТО!$A$39:$D$53,4,FALSE)</f>
        <v>12</v>
      </c>
      <c r="J33" s="164"/>
      <c r="K33" s="109"/>
      <c r="L33" s="180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76027.8</v>
      </c>
      <c r="G34" s="168"/>
      <c r="H34" s="42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9"/>
      <c r="L34" s="180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63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B35" s="163"/>
      <c r="C35" s="163"/>
      <c r="D35" s="163"/>
      <c r="E35" s="163"/>
      <c r="F35" s="168">
        <f>VLOOKUP(A35,ПТО!$A$39:$D$53,2,FALSE)</f>
        <v>136031.88</v>
      </c>
      <c r="G35" s="168"/>
      <c r="H35" s="42" t="str">
        <f>VLOOKUP(A35,ПТО!$A$39:$D$53,3,FALSE)</f>
        <v>Ежемесячно</v>
      </c>
      <c r="I35" s="164">
        <f>VLOOKUP(A35,ПТО!$A$39:$D$53,4,FALSE)</f>
        <v>12</v>
      </c>
      <c r="J35" s="164"/>
      <c r="K35" s="109"/>
      <c r="L35" s="180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R35" s="1" t="s">
        <v>70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2" t="e">
        <f>VLOOKUP(A36,ПТО!$A$39:$D$53,3,FALSE)</f>
        <v>#N/A</v>
      </c>
      <c r="I36" s="164" t="e">
        <f>VLOOKUP(A36,ПТО!$A$39:$D$53,4,FALSE)</f>
        <v>#N/A</v>
      </c>
      <c r="J36" s="164"/>
      <c r="K36" s="109"/>
      <c r="L36" s="180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2" t="e">
        <f>VLOOKUP(A37,ПТО!$A$39:$D$53,3,FALSE)</f>
        <v>#N/A</v>
      </c>
      <c r="I37" s="164" t="e">
        <f>VLOOKUP(A37,ПТО!$A$39:$D$53,4,FALSE)</f>
        <v>#N/A</v>
      </c>
      <c r="J37" s="164"/>
      <c r="K37" s="109"/>
      <c r="L37" s="180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2" t="e">
        <f>VLOOKUP(A38,ПТО!$A$39:$D$53,3,FALSE)</f>
        <v>#N/A</v>
      </c>
      <c r="I38" s="164" t="e">
        <f>VLOOKUP(A38,ПТО!$A$39:$D$53,4,FALSE)</f>
        <v>#N/A</v>
      </c>
      <c r="J38" s="164"/>
      <c r="K38" s="109"/>
      <c r="L38" s="180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2" t="e">
        <f>VLOOKUP(A39,ПТО!$A$39:$D$53,3,FALSE)</f>
        <v>#N/A</v>
      </c>
      <c r="I39" s="164" t="e">
        <f>VLOOKUP(A39,ПТО!$A$39:$D$53,4,FALSE)</f>
        <v>#N/A</v>
      </c>
      <c r="J39" s="164"/>
      <c r="K39" s="109"/>
      <c r="L39" s="180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2" t="e">
        <f>VLOOKUP(A40,ПТО!$A$39:$D$53,3,FALSE)</f>
        <v>#N/A</v>
      </c>
      <c r="I40" s="164" t="e">
        <f>VLOOKUP(A40,ПТО!$A$39:$D$53,4,FALSE)</f>
        <v>#N/A</v>
      </c>
      <c r="J40" s="164"/>
      <c r="K40" s="109"/>
      <c r="L40" s="180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2" t="e">
        <f>VLOOKUP(A41,ПТО!$A$39:$D$53,3,FALSE)</f>
        <v>#N/A</v>
      </c>
      <c r="I41" s="164" t="e">
        <f>VLOOKUP(A41,ПТО!$A$39:$D$53,4,FALSE)</f>
        <v>#N/A</v>
      </c>
      <c r="J41" s="164"/>
      <c r="K41" s="109"/>
      <c r="L41" s="180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2" t="e">
        <f>VLOOKUP(A42,ПТО!$A$39:$D$53,3,FALSE)</f>
        <v>#N/A</v>
      </c>
      <c r="I42" s="164" t="e">
        <f>VLOOKUP(A42,ПТО!$A$39:$D$53,4,FALSE)</f>
        <v>#N/A</v>
      </c>
      <c r="J42" s="164"/>
      <c r="K42" s="109"/>
      <c r="L42" s="180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63" t="str">
        <f>ПТО!A2</f>
        <v>Техническое освидетельствование лифта.</v>
      </c>
      <c r="B43" s="163"/>
      <c r="C43" s="163"/>
      <c r="D43" s="163"/>
      <c r="E43" s="163"/>
      <c r="F43" s="168">
        <f>VLOOKUP(A43,ПТО!$A$2:$D$31,4,FALSE)</f>
        <v>4100</v>
      </c>
      <c r="G43" s="168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9"/>
      <c r="L43" s="180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63" t="str">
        <f>ПТО!A3</f>
        <v>Замена тяговых канатов для лифта.</v>
      </c>
      <c r="B44" s="163"/>
      <c r="C44" s="163"/>
      <c r="D44" s="163"/>
      <c r="E44" s="163"/>
      <c r="F44" s="168">
        <f>VLOOKUP(A44,ПТО!$A$2:$D$31,4,FALSE)</f>
        <v>28863</v>
      </c>
      <c r="G44" s="168"/>
      <c r="H44" s="25" t="str">
        <f>VLOOKUP(A44,ПТО!$A$2:$D$31,2,FALSE)</f>
        <v>разово</v>
      </c>
      <c r="I44" s="164">
        <f>VLOOKUP(A44,ПТО!$A$2:$D$31,3,FALSE)</f>
        <v>1</v>
      </c>
      <c r="J44" s="164"/>
      <c r="K44" s="109"/>
      <c r="L44" s="180"/>
      <c r="M44" s="116"/>
      <c r="N44" s="109"/>
      <c r="O44" s="23" t="str">
        <f t="shared" si="1"/>
        <v>Замена тяговых канатов для лифта.</v>
      </c>
      <c r="R44" s="22" t="s">
        <v>71</v>
      </c>
    </row>
    <row r="45" spans="1:18" ht="51" customHeight="1" outlineLevel="1">
      <c r="A45" s="163" t="str">
        <f>ПТО!A4</f>
        <v>Ремонт и установка контроллера.</v>
      </c>
      <c r="B45" s="163"/>
      <c r="C45" s="163"/>
      <c r="D45" s="163"/>
      <c r="E45" s="163"/>
      <c r="F45" s="168">
        <f>VLOOKUP(A45,ПТО!$A$2:$D$31,4,FALSE)</f>
        <v>2496</v>
      </c>
      <c r="G45" s="168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9"/>
      <c r="L45" s="180"/>
      <c r="M45" s="116"/>
      <c r="N45" s="109"/>
      <c r="O45" s="23" t="str">
        <f t="shared" si="1"/>
        <v>Ремонт и установка контроллера.</v>
      </c>
      <c r="R45" s="22" t="s">
        <v>71</v>
      </c>
    </row>
    <row r="46" spans="1:18" ht="51" customHeight="1" outlineLevel="1">
      <c r="A46" s="163" t="str">
        <f>ПТО!A5</f>
        <v>Замена блока питания на термодатчик в тепловом пункте.</v>
      </c>
      <c r="B46" s="163"/>
      <c r="C46" s="163"/>
      <c r="D46" s="163"/>
      <c r="E46" s="163"/>
      <c r="F46" s="168">
        <f>VLOOKUP(A46,ПТО!$A$2:$D$31,4,FALSE)</f>
        <v>2220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9"/>
      <c r="L46" s="180"/>
      <c r="M46" s="116"/>
      <c r="N46" s="109"/>
      <c r="O46" s="23" t="str">
        <f t="shared" si="1"/>
        <v>Замена блока питания на термодатчик в тепловом пункте.</v>
      </c>
      <c r="R46" s="22" t="s">
        <v>71</v>
      </c>
    </row>
    <row r="47" spans="1:18" ht="51" customHeight="1" outlineLevel="1">
      <c r="A47" s="163" t="str">
        <f>ПТО!A6</f>
        <v>Приобретение и замена АКБ для пассажирского лифта.</v>
      </c>
      <c r="B47" s="163"/>
      <c r="C47" s="163"/>
      <c r="D47" s="163"/>
      <c r="E47" s="163"/>
      <c r="F47" s="168">
        <f>VLOOKUP(A47,ПТО!$A$2:$D$31,4,FALSE)</f>
        <v>2650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9"/>
      <c r="L47" s="180"/>
      <c r="M47" s="116"/>
      <c r="N47" s="109"/>
      <c r="O47" s="23" t="str">
        <f t="shared" si="1"/>
        <v>Приобретение и замена АКБ для пассажирского лифта.</v>
      </c>
      <c r="R47" s="22" t="s">
        <v>71</v>
      </c>
    </row>
    <row r="48" spans="1:18" ht="51" customHeight="1" outlineLevel="1">
      <c r="A48" s="163" t="str">
        <f>ПТО!A7</f>
        <v>Ремонт подъезда (лестничные клетки 1 и 2 этажей).</v>
      </c>
      <c r="B48" s="163"/>
      <c r="C48" s="163"/>
      <c r="D48" s="163"/>
      <c r="E48" s="163"/>
      <c r="F48" s="168">
        <f>VLOOKUP(A48,ПТО!$A$2:$D$31,4,FALSE)</f>
        <v>287771</v>
      </c>
      <c r="G48" s="168"/>
      <c r="H48" s="25" t="str">
        <f>VLOOKUP(A48,ПТО!$A$2:$D$31,2,FALSE)</f>
        <v>разово</v>
      </c>
      <c r="I48" s="164">
        <f>VLOOKUP(A48,ПТО!$A$2:$D$31,3,FALSE)</f>
        <v>1</v>
      </c>
      <c r="J48" s="164"/>
      <c r="K48" s="109"/>
      <c r="L48" s="180"/>
      <c r="M48" s="116"/>
      <c r="N48" s="109"/>
      <c r="O48" s="23" t="str">
        <f t="shared" si="1"/>
        <v>Ремонт подъезда (лестничные клетки 1 и 2 этажей).</v>
      </c>
      <c r="R48" s="22" t="s">
        <v>71</v>
      </c>
    </row>
    <row r="49" spans="1:18" ht="51" customHeight="1" outlineLevel="1">
      <c r="A49" s="163" t="str">
        <f>ПТО!A8</f>
        <v>Приобретение и замена обратного клапана в ИТП.</v>
      </c>
      <c r="B49" s="163"/>
      <c r="C49" s="163"/>
      <c r="D49" s="163"/>
      <c r="E49" s="163"/>
      <c r="F49" s="168">
        <f>VLOOKUP(A49,ПТО!$A$2:$D$31,4,FALSE)</f>
        <v>3626</v>
      </c>
      <c r="G49" s="168"/>
      <c r="H49" s="25" t="str">
        <f>VLOOKUP(A49,ПТО!$A$2:$D$31,2,FALSE)</f>
        <v>разово</v>
      </c>
      <c r="I49" s="164">
        <f>VLOOKUP(A49,ПТО!$A$2:$D$31,3,FALSE)</f>
        <v>1</v>
      </c>
      <c r="J49" s="164"/>
      <c r="K49" s="109"/>
      <c r="L49" s="180"/>
      <c r="M49" s="116"/>
      <c r="N49" s="109"/>
      <c r="O49" s="23" t="str">
        <f t="shared" si="1"/>
        <v>Приобретение и замена обратного клапана в ИТП.</v>
      </c>
      <c r="R49" s="22" t="s">
        <v>71</v>
      </c>
    </row>
    <row r="50" spans="1:18" ht="51" customHeight="1" outlineLevel="1">
      <c r="A50" s="163" t="str">
        <f>ПТО!A9</f>
        <v>Ремонт лифта (замена освещения и кнопки вызова).</v>
      </c>
      <c r="B50" s="163"/>
      <c r="C50" s="163"/>
      <c r="D50" s="163"/>
      <c r="E50" s="163"/>
      <c r="F50" s="168">
        <f>VLOOKUP(A50,ПТО!$A$2:$D$31,4,FALSE)</f>
        <v>8610</v>
      </c>
      <c r="G50" s="168"/>
      <c r="H50" s="25" t="str">
        <f>VLOOKUP(A50,ПТО!$A$2:$D$31,2,FALSE)</f>
        <v>разово</v>
      </c>
      <c r="I50" s="164">
        <f>VLOOKUP(A50,ПТО!$A$2:$D$31,3,FALSE)</f>
        <v>1</v>
      </c>
      <c r="J50" s="164"/>
      <c r="K50" s="109"/>
      <c r="L50" s="180"/>
      <c r="M50" s="116"/>
      <c r="N50" s="109"/>
      <c r="O50" s="23" t="str">
        <f t="shared" si="1"/>
        <v>Ремонт лифта (замена освещения и кнопки вызова).</v>
      </c>
      <c r="R50" s="22" t="s">
        <v>71</v>
      </c>
    </row>
    <row r="51" spans="1:18" ht="51" customHeight="1" outlineLevel="1">
      <c r="A51" s="163" t="str">
        <f>ПТО!A10</f>
        <v>Ремонт подъезда (частичная замена плитки на полах подъезда).</v>
      </c>
      <c r="B51" s="163"/>
      <c r="C51" s="163"/>
      <c r="D51" s="163"/>
      <c r="E51" s="163"/>
      <c r="F51" s="168">
        <f>VLOOKUP(A51,ПТО!$A$2:$D$31,4,FALSE)</f>
        <v>21624</v>
      </c>
      <c r="G51" s="168"/>
      <c r="H51" s="25" t="str">
        <f>VLOOKUP(A51,ПТО!$A$2:$D$31,2,FALSE)</f>
        <v>разово</v>
      </c>
      <c r="I51" s="164">
        <f>VLOOKUP(A51,ПТО!$A$2:$D$31,3,FALSE)</f>
        <v>1</v>
      </c>
      <c r="J51" s="164"/>
      <c r="K51" s="109"/>
      <c r="L51" s="180"/>
      <c r="M51" s="116"/>
      <c r="N51" s="109"/>
      <c r="O51" s="23" t="str">
        <f t="shared" si="1"/>
        <v>Ремонт подъезда (частичная замена плитки на полах подъезда).</v>
      </c>
      <c r="R51" s="22" t="s">
        <v>71</v>
      </c>
    </row>
    <row r="52" spans="1:18" ht="51" customHeight="1" outlineLevel="1">
      <c r="A52" s="163" t="str">
        <f>ПТО!A11</f>
        <v>Приобретение и замена входной двери в подъезд.</v>
      </c>
      <c r="B52" s="163"/>
      <c r="C52" s="163"/>
      <c r="D52" s="163"/>
      <c r="E52" s="163"/>
      <c r="F52" s="168">
        <f>VLOOKUP(A52,ПТО!$A$2:$D$31,4,FALSE)</f>
        <v>39000</v>
      </c>
      <c r="G52" s="168"/>
      <c r="H52" s="25" t="str">
        <f>VLOOKUP(A52,ПТО!$A$2:$D$31,2,FALSE)</f>
        <v>разово</v>
      </c>
      <c r="I52" s="164">
        <f>VLOOKUP(A52,ПТО!$A$2:$D$31,3,FALSE)</f>
        <v>1</v>
      </c>
      <c r="J52" s="164"/>
      <c r="K52" s="109"/>
      <c r="L52" s="180"/>
      <c r="M52" s="116"/>
      <c r="N52" s="109"/>
      <c r="O52" s="23" t="str">
        <f t="shared" si="1"/>
        <v>Приобретение и замена входной двери в подъезд.</v>
      </c>
      <c r="R52" s="22" t="s">
        <v>71</v>
      </c>
    </row>
    <row r="53" spans="1:18" ht="51" customHeight="1" outlineLevel="1">
      <c r="A53" s="163" t="str">
        <f>ПТО!A12</f>
        <v>Приобретение и укладка грязезащитного покрытия в подъезд.</v>
      </c>
      <c r="B53" s="163"/>
      <c r="C53" s="163"/>
      <c r="D53" s="163"/>
      <c r="E53" s="163"/>
      <c r="F53" s="168">
        <f>VLOOKUP(A53,ПТО!$A$2:$D$31,4,FALSE)</f>
        <v>4162.8</v>
      </c>
      <c r="G53" s="168"/>
      <c r="H53" s="25" t="str">
        <f>VLOOKUP(A53,ПТО!$A$2:$D$31,2,FALSE)</f>
        <v>разово</v>
      </c>
      <c r="I53" s="164">
        <f>VLOOKUP(A53,ПТО!$A$2:$D$31,3,FALSE)</f>
        <v>1</v>
      </c>
      <c r="J53" s="164"/>
      <c r="K53" s="109"/>
      <c r="L53" s="180"/>
      <c r="M53" s="116"/>
      <c r="N53" s="109"/>
      <c r="O53" s="23" t="str">
        <f t="shared" si="1"/>
        <v>Приобретение и укладка грязезащитного покрытия в подъезд.</v>
      </c>
      <c r="R53" s="22" t="s">
        <v>71</v>
      </c>
    </row>
    <row r="54" spans="1:18" ht="51" customHeight="1" outlineLevel="1">
      <c r="A54" s="163" t="str">
        <f>ПТО!A13</f>
        <v>Замена прибора учета ХВС.</v>
      </c>
      <c r="B54" s="163"/>
      <c r="C54" s="163"/>
      <c r="D54" s="163"/>
      <c r="E54" s="163"/>
      <c r="F54" s="168">
        <f>VLOOKUP(A54,ПТО!$A$2:$D$31,4,FALSE)</f>
        <v>4198.3</v>
      </c>
      <c r="G54" s="168"/>
      <c r="H54" s="25" t="str">
        <f>VLOOKUP(A54,ПТО!$A$2:$D$31,2,FALSE)</f>
        <v>разово</v>
      </c>
      <c r="I54" s="164">
        <f>VLOOKUP(A54,ПТО!$A$2:$D$31,3,FALSE)</f>
        <v>1</v>
      </c>
      <c r="J54" s="164"/>
      <c r="K54" s="109"/>
      <c r="L54" s="180"/>
      <c r="M54" s="116"/>
      <c r="N54" s="109"/>
      <c r="O54" s="23" t="str">
        <f t="shared" si="1"/>
        <v>Замена прибора учета ХВС.</v>
      </c>
      <c r="R54" s="22" t="s">
        <v>71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9"/>
      <c r="L55" s="180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9"/>
      <c r="L56" s="180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9"/>
      <c r="L57" s="180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9"/>
      <c r="L58" s="180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9"/>
      <c r="L59" s="180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9"/>
      <c r="L60" s="180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9"/>
      <c r="L61" s="180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9"/>
      <c r="L62" s="180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9"/>
      <c r="L63" s="180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9"/>
      <c r="L64" s="180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9"/>
      <c r="L65" s="180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9"/>
      <c r="L66" s="180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9"/>
      <c r="L67" s="180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9"/>
      <c r="L68" s="180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9"/>
      <c r="L69" s="180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9"/>
      <c r="L70" s="180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6"/>
      <c r="L71" s="180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9"/>
      <c r="L72" s="180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1" t="s">
        <v>26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9"/>
      <c r="L75" s="183"/>
      <c r="M75" s="109"/>
      <c r="N75" s="109"/>
      <c r="O75" s="70" t="s">
        <v>99</v>
      </c>
    </row>
    <row r="76" spans="1:16384" ht="18.75" customHeight="1" outlineLevel="1">
      <c r="A76" s="181" t="s">
        <v>27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9"/>
      <c r="L76" s="183"/>
      <c r="M76" s="109"/>
      <c r="N76" s="109"/>
      <c r="O76" s="70" t="s">
        <v>100</v>
      </c>
    </row>
    <row r="77" spans="1:16384" ht="21.75" customHeight="1" outlineLevel="1">
      <c r="A77" s="181" t="s">
        <v>28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9"/>
      <c r="L77" s="183"/>
      <c r="M77" s="109"/>
      <c r="N77" s="109"/>
      <c r="O77" s="70" t="s">
        <v>101</v>
      </c>
    </row>
    <row r="78" spans="1:16384" ht="18.75" customHeight="1" outlineLevel="1">
      <c r="A78" s="181" t="s">
        <v>29</v>
      </c>
      <c r="B78" s="181"/>
      <c r="C78" s="181"/>
      <c r="D78" s="181"/>
      <c r="E78" s="181"/>
      <c r="F78" s="181"/>
      <c r="G78" s="181"/>
      <c r="H78" s="181"/>
      <c r="I78" s="181"/>
      <c r="J78" s="97">
        <f>VLOOKUP(O78,АО,3,FALSE)</f>
        <v>0</v>
      </c>
      <c r="K78" s="109"/>
      <c r="L78" s="183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61" t="s">
        <v>1</v>
      </c>
      <c r="B81" s="161"/>
      <c r="C81" s="161"/>
      <c r="D81" s="161"/>
      <c r="E81" s="161"/>
      <c r="F81" s="161"/>
      <c r="G81" s="161"/>
      <c r="H81" s="161"/>
      <c r="I81" s="161"/>
      <c r="J81" s="97">
        <f t="shared" ref="J81:J90" si="2">VLOOKUP(O81,АО,3,FALSE)</f>
        <v>0</v>
      </c>
      <c r="K81" s="109"/>
      <c r="L81" s="169"/>
      <c r="M81" s="109"/>
      <c r="N81" s="109"/>
      <c r="O81" s="70" t="s">
        <v>103</v>
      </c>
    </row>
    <row r="82" spans="1:15" outlineLevel="1">
      <c r="A82" s="161" t="s">
        <v>2</v>
      </c>
      <c r="B82" s="161"/>
      <c r="C82" s="161"/>
      <c r="D82" s="161"/>
      <c r="E82" s="161"/>
      <c r="F82" s="161"/>
      <c r="G82" s="161"/>
      <c r="H82" s="161"/>
      <c r="I82" s="161"/>
      <c r="J82" s="97">
        <f t="shared" si="2"/>
        <v>0</v>
      </c>
      <c r="K82" s="109"/>
      <c r="L82" s="169"/>
      <c r="M82" s="109"/>
      <c r="N82" s="109"/>
      <c r="O82" s="70" t="s">
        <v>104</v>
      </c>
    </row>
    <row r="83" spans="1:15" outlineLevel="1">
      <c r="A83" s="175" t="s">
        <v>3</v>
      </c>
      <c r="B83" s="176"/>
      <c r="C83" s="176"/>
      <c r="D83" s="176"/>
      <c r="E83" s="176"/>
      <c r="F83" s="176"/>
      <c r="G83" s="176"/>
      <c r="H83" s="176"/>
      <c r="I83" s="177"/>
      <c r="J83" s="97">
        <f t="shared" si="2"/>
        <v>79794.210000000006</v>
      </c>
      <c r="K83" s="109"/>
      <c r="L83" s="169"/>
      <c r="M83" s="109"/>
      <c r="N83" s="109"/>
      <c r="O83" s="70" t="s">
        <v>105</v>
      </c>
    </row>
    <row r="84" spans="1:15" outlineLevel="1">
      <c r="A84" s="175" t="s">
        <v>15</v>
      </c>
      <c r="B84" s="176"/>
      <c r="C84" s="176"/>
      <c r="D84" s="176"/>
      <c r="E84" s="176"/>
      <c r="F84" s="176"/>
      <c r="G84" s="176"/>
      <c r="H84" s="176"/>
      <c r="I84" s="177"/>
      <c r="J84" s="97">
        <f t="shared" si="2"/>
        <v>0</v>
      </c>
      <c r="K84" s="109"/>
      <c r="L84" s="169"/>
      <c r="M84" s="109"/>
      <c r="N84" s="109"/>
      <c r="O84" s="70" t="s">
        <v>106</v>
      </c>
    </row>
    <row r="85" spans="1:15" outlineLevel="1">
      <c r="A85" s="175" t="s">
        <v>16</v>
      </c>
      <c r="B85" s="176"/>
      <c r="C85" s="176"/>
      <c r="D85" s="176"/>
      <c r="E85" s="176"/>
      <c r="F85" s="176"/>
      <c r="G85" s="176"/>
      <c r="H85" s="176"/>
      <c r="I85" s="177"/>
      <c r="J85" s="97">
        <f t="shared" si="2"/>
        <v>0</v>
      </c>
      <c r="K85" s="109"/>
      <c r="L85" s="169"/>
      <c r="M85" s="109"/>
      <c r="N85" s="109"/>
      <c r="O85" s="70" t="s">
        <v>107</v>
      </c>
    </row>
    <row r="86" spans="1:15" outlineLevel="1">
      <c r="A86" s="175" t="s">
        <v>17</v>
      </c>
      <c r="B86" s="176"/>
      <c r="C86" s="176"/>
      <c r="D86" s="176"/>
      <c r="E86" s="176"/>
      <c r="F86" s="176"/>
      <c r="G86" s="176"/>
      <c r="H86" s="176"/>
      <c r="I86" s="177"/>
      <c r="J86" s="97">
        <f t="shared" si="2"/>
        <v>61679.16</v>
      </c>
      <c r="K86" s="109"/>
      <c r="L86" s="169"/>
      <c r="M86" s="109"/>
      <c r="N86" s="109"/>
      <c r="O86" s="70" t="s">
        <v>108</v>
      </c>
    </row>
    <row r="87" spans="1:15" ht="18.75" customHeight="1" outlineLevel="1">
      <c r="A87" s="175" t="s">
        <v>26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9"/>
      <c r="L87" s="169"/>
      <c r="M87" s="109"/>
      <c r="N87" s="109"/>
      <c r="O87" s="70" t="s">
        <v>109</v>
      </c>
    </row>
    <row r="88" spans="1:15" ht="18.75" customHeight="1" outlineLevel="1">
      <c r="A88" s="175" t="s">
        <v>27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9"/>
      <c r="L88" s="169"/>
      <c r="M88" s="109"/>
      <c r="N88" s="109"/>
      <c r="O88" s="70" t="s">
        <v>110</v>
      </c>
    </row>
    <row r="89" spans="1:15" ht="18.75" customHeight="1" outlineLevel="1">
      <c r="A89" s="175" t="s">
        <v>28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9"/>
      <c r="L89" s="169"/>
      <c r="M89" s="109"/>
      <c r="N89" s="109"/>
      <c r="O89" s="70" t="s">
        <v>111</v>
      </c>
    </row>
    <row r="90" spans="1:15" ht="18.75" customHeight="1" outlineLevel="1">
      <c r="A90" s="175" t="s">
        <v>29</v>
      </c>
      <c r="B90" s="176"/>
      <c r="C90" s="176"/>
      <c r="D90" s="176"/>
      <c r="E90" s="176"/>
      <c r="F90" s="176"/>
      <c r="G90" s="176"/>
      <c r="H90" s="176"/>
      <c r="I90" s="177"/>
      <c r="J90" s="97">
        <f t="shared" si="2"/>
        <v>0</v>
      </c>
      <c r="K90" s="109"/>
      <c r="L90" s="169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84" t="s">
        <v>47</v>
      </c>
      <c r="B93" s="184"/>
      <c r="C93" s="184"/>
      <c r="D93" s="185" t="s">
        <v>48</v>
      </c>
      <c r="E93" s="185"/>
      <c r="F93" s="10" t="s">
        <v>49</v>
      </c>
      <c r="G93" s="184" t="s">
        <v>50</v>
      </c>
      <c r="H93" s="184"/>
      <c r="I93" s="184"/>
      <c r="J93" s="184"/>
      <c r="K93" s="109"/>
      <c r="L93" s="109"/>
      <c r="M93" s="109"/>
      <c r="N93" s="109"/>
    </row>
    <row r="94" spans="1:15" outlineLevel="1">
      <c r="A94" s="165" t="str">
        <f>IF(VLOOKUP("эл",АО,3,FALSE)&gt;0,"Электроснабжение",0)</f>
        <v>Электроснабжение</v>
      </c>
      <c r="B94" s="165"/>
      <c r="C94" s="165"/>
      <c r="D94" s="166" t="str">
        <f>IF(VLOOKUP("эл",АО,3,FALSE)&gt;0,VLOOKUP("эл",АО,3,FALSE),0)</f>
        <v>Предоставляется</v>
      </c>
      <c r="E94" s="166"/>
      <c r="F94" s="13" t="str">
        <f>IF(VLOOKUP("эл",АО,3,FALSE)&gt;0,VLOOKUP("эл",АО,4,FALSE),0)</f>
        <v>кВт*ч</v>
      </c>
      <c r="G94" s="167">
        <f>VLOOKUP("эл",АО,5,FALSE)</f>
        <v>162532.80000000002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outlineLevel="2">
      <c r="A95" s="182" t="str">
        <f>IF(VLOOKUP("эл",АО,3,FALSE)&gt;0,VLOOKUP("эл1",АО,2,FALSE),0)</f>
        <v>Общий объем потребления, нат. показ.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128582.85928705442</v>
      </c>
      <c r="L95" s="170"/>
      <c r="O95" s="1" t="s">
        <v>113</v>
      </c>
    </row>
    <row r="96" spans="1:15" outlineLevel="2">
      <c r="A96" s="182" t="str">
        <f>IF(VLOOKUP("эл",АО,3,FALSE)&gt;0,VLOOKUP("эл2",АО,2,FALSE),0)</f>
        <v>Оплачено потребителями, руб.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164471.57</v>
      </c>
      <c r="L96" s="170"/>
      <c r="O96" s="1" t="s">
        <v>114</v>
      </c>
    </row>
    <row r="97" spans="1:15" outlineLevel="2">
      <c r="A97" s="182" t="str">
        <f>IF(VLOOKUP("эл",АО,3,FALSE)&gt;0,VLOOKUP("эл3",АО,2,FALSE),0)</f>
        <v>Задолженность потребителей, руб.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115</v>
      </c>
    </row>
    <row r="98" spans="1:15" ht="37.5" customHeight="1" outlineLevel="2">
      <c r="A98" s="182" t="str">
        <f>IF(VLOOKUP("эл",АО,3,FALSE)&gt;0,VLOOKUP("эл4",АО,2,FALSE),0)</f>
        <v>Начислено поставщиком (поставщиками) коммунального ресурса, руб.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162532.80000000002</v>
      </c>
      <c r="L98" s="170"/>
      <c r="O98" s="1" t="s">
        <v>116</v>
      </c>
    </row>
    <row r="99" spans="1:15" outlineLevel="2">
      <c r="A99" s="182" t="str">
        <f>IF(VLOOKUP("эл",АО,3,FALSE)&gt;0,VLOOKUP("эл5",АО,2,FALSE),0)</f>
        <v>Оплачено поставщику (поставщикам) коммунального ресурса, руб.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162532.80000000002</v>
      </c>
      <c r="L99" s="170"/>
      <c r="O99" s="1" t="s">
        <v>117</v>
      </c>
    </row>
    <row r="100" spans="1:15" ht="39" customHeight="1" outlineLevel="2">
      <c r="A100" s="18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118</v>
      </c>
    </row>
    <row r="101" spans="1:15" ht="34.5" customHeight="1" outlineLevel="2">
      <c r="A101" s="18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119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42194.78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2813.262957967343</v>
      </c>
      <c r="L103" s="170"/>
      <c r="O103" s="1" t="s">
        <v>122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47371.109999999993</v>
      </c>
      <c r="L104" s="170"/>
      <c r="O104" s="1" t="s">
        <v>123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70"/>
      <c r="O105" s="1" t="s">
        <v>124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42194.78</v>
      </c>
      <c r="L106" s="170"/>
      <c r="O106" s="1" t="s">
        <v>125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42194.78</v>
      </c>
      <c r="L107" s="170"/>
      <c r="O107" s="1" t="s">
        <v>126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127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128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77078.580000000031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4630.8475440448183</v>
      </c>
      <c r="L111" s="170"/>
      <c r="O111" s="1" t="s">
        <v>130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88945.290000000052</v>
      </c>
      <c r="L112" s="170"/>
      <c r="O112" s="1" t="s">
        <v>131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0"/>
      <c r="O113" s="1" t="s">
        <v>132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77078.580000000031</v>
      </c>
      <c r="L114" s="170"/>
      <c r="O114" s="1" t="s">
        <v>133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77078.580000000031</v>
      </c>
      <c r="L115" s="170"/>
      <c r="O115" s="1" t="s">
        <v>134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135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136</v>
      </c>
    </row>
    <row r="118" spans="1:15" ht="32.25" customHeight="1" outlineLevel="1">
      <c r="A118" s="165" t="str">
        <f>IF(VLOOKUP("тко",АО,3,FALSE)&gt;0,"Обращение с ТКО",0)</f>
        <v>Обращение с ТКО</v>
      </c>
      <c r="B118" s="165"/>
      <c r="C118" s="165"/>
      <c r="D118" s="166" t="str">
        <f>IF(VLOOKUP("тко",АО,3,FALSE)&gt;0,VLOOKUP("тко",АО,3,FALSE),0)</f>
        <v>Предоставляется</v>
      </c>
      <c r="E118" s="166"/>
      <c r="F118" s="13" t="str">
        <f>IF(VLOOKUP("тко",АО,3,FALSE)&gt;0,VLOOKUP("тко",АО,4,FALSE),0)</f>
        <v>куб.м.</v>
      </c>
      <c r="G118" s="167">
        <f>VLOOKUP("тко",АО,5,FALSE)</f>
        <v>101689.09000000004</v>
      </c>
      <c r="H118" s="166"/>
      <c r="I118" s="166"/>
      <c r="J118" s="166"/>
      <c r="L118" s="47"/>
    </row>
    <row r="119" spans="1:15" ht="32.25" customHeight="1" outlineLevel="2">
      <c r="A119" s="161" t="str">
        <f t="shared" ref="A119:A125" si="8">IF(VLOOKUP("тко",АО,3,FALSE)&gt;0,VLOOKUP(O119,АО,2,FALSE),0)</f>
        <v>Общий объем потребления, нат. показ.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200.07891100889537</v>
      </c>
      <c r="L119" s="47"/>
      <c r="O119" s="1" t="s">
        <v>138</v>
      </c>
    </row>
    <row r="120" spans="1:15" ht="32.25" customHeight="1" outlineLevel="2">
      <c r="A120" s="161" t="str">
        <f t="shared" si="8"/>
        <v>Оплачено потребителями, руб.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100822.33</v>
      </c>
      <c r="L120" s="47"/>
      <c r="O120" s="1" t="s">
        <v>139</v>
      </c>
    </row>
    <row r="121" spans="1:15" ht="32.25" customHeight="1" outlineLevel="2">
      <c r="A121" s="161" t="str">
        <f t="shared" si="8"/>
        <v>Задолженность потребителей, руб.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866.76000000003842</v>
      </c>
      <c r="L121" s="47"/>
      <c r="O121" s="1" t="s">
        <v>140</v>
      </c>
    </row>
    <row r="122" spans="1:15" ht="32.25" customHeight="1" outlineLevel="2">
      <c r="A122" s="161" t="str">
        <f t="shared" si="8"/>
        <v>Начислено поставщиком (поставщиками) коммунального ресурса, руб.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101689.09000000004</v>
      </c>
      <c r="L122" s="47"/>
      <c r="O122" s="1" t="s">
        <v>141</v>
      </c>
    </row>
    <row r="123" spans="1:15" ht="32.25" customHeight="1" outlineLevel="2">
      <c r="A123" s="161" t="str">
        <f t="shared" si="8"/>
        <v>Оплачено поставщику (поставщикам) коммунального ресурса, руб.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101689.09000000004</v>
      </c>
      <c r="L123" s="47"/>
      <c r="O123" s="1" t="s">
        <v>142</v>
      </c>
    </row>
    <row r="124" spans="1:15" ht="32.25" customHeight="1" outlineLevel="2">
      <c r="A124" s="161" t="str">
        <f t="shared" si="8"/>
        <v>Задолженность перед поставщиком (поставщиками) коммунального ресурса, руб.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61" t="str">
        <f t="shared" si="8"/>
        <v>Размер пени и штрафов, уплаченных поставщику (поставщикам) коммунального ресурса, руб.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7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7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61" t="s">
        <v>44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170</v>
      </c>
    </row>
    <row r="145" spans="1:15" ht="18.75" customHeight="1" outlineLevel="1">
      <c r="A145" s="161" t="s">
        <v>45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2</v>
      </c>
      <c r="L145" s="15"/>
      <c r="O145" t="s">
        <v>171</v>
      </c>
    </row>
    <row r="146" spans="1:15" ht="30" customHeight="1" outlineLevel="1">
      <c r="A146" s="161" t="s">
        <v>173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172</v>
      </c>
    </row>
    <row r="149" spans="1:15" ht="52.5" customHeight="1">
      <c r="A149" s="186" t="s">
        <v>178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183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88" t="s">
        <v>193</v>
      </c>
      <c r="B154" s="188"/>
      <c r="C154" s="188"/>
      <c r="D154" s="188"/>
      <c r="E154" s="27">
        <f>ПТО!G1</f>
        <v>-221609.13</v>
      </c>
    </row>
    <row r="155" spans="1:15" ht="34.5" customHeight="1">
      <c r="A155" s="187" t="s">
        <v>194</v>
      </c>
      <c r="B155" s="187"/>
      <c r="C155" s="187"/>
      <c r="D155" s="187"/>
      <c r="E155" s="28">
        <f>J13</f>
        <v>153419.4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18</v>
      </c>
      <c r="B157" s="171"/>
      <c r="C157" s="171"/>
      <c r="D157" s="171"/>
      <c r="E157" s="171"/>
      <c r="F157" s="171" t="s">
        <v>19</v>
      </c>
      <c r="G157" s="171"/>
      <c r="H157" s="20" t="s">
        <v>56</v>
      </c>
      <c r="I157" s="171" t="s">
        <v>20</v>
      </c>
      <c r="J157" s="171"/>
    </row>
    <row r="158" spans="1:15" ht="29.25" customHeight="1">
      <c r="A158" s="163" t="str">
        <f t="shared" ref="A158:A163" si="14">IF(N158&gt;0,N158,0)</f>
        <v>Техническое освидетельствование лифта.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4100</v>
      </c>
      <c r="G158" s="168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3" t="str">
        <f t="shared" si="14"/>
        <v>Замена тяговых канатов для лифта.</v>
      </c>
      <c r="B159" s="163"/>
      <c r="C159" s="163"/>
      <c r="D159" s="163"/>
      <c r="E159" s="163"/>
      <c r="F159" s="168">
        <f t="shared" si="15"/>
        <v>28863</v>
      </c>
      <c r="G159" s="168"/>
      <c r="H159" s="24" t="str">
        <f t="shared" si="16"/>
        <v>разово</v>
      </c>
      <c r="I159" s="164">
        <f t="shared" si="17"/>
        <v>1</v>
      </c>
      <c r="J159" s="164"/>
      <c r="M159" s="22" t="s">
        <v>71</v>
      </c>
      <c r="N159" s="1" t="str">
        <v>Замена тяговых канатов для лифта.</v>
      </c>
    </row>
    <row r="160" spans="1:15" ht="28.5" customHeight="1">
      <c r="A160" s="163" t="str">
        <f t="shared" si="14"/>
        <v>Ремонт и установка контроллера.</v>
      </c>
      <c r="B160" s="163"/>
      <c r="C160" s="163"/>
      <c r="D160" s="163"/>
      <c r="E160" s="163"/>
      <c r="F160" s="168">
        <f t="shared" si="15"/>
        <v>2496</v>
      </c>
      <c r="G160" s="168"/>
      <c r="H160" s="24" t="str">
        <f t="shared" si="16"/>
        <v>разово</v>
      </c>
      <c r="I160" s="164">
        <f t="shared" si="17"/>
        <v>1</v>
      </c>
      <c r="J160" s="164"/>
      <c r="M160" s="22" t="s">
        <v>71</v>
      </c>
      <c r="N160" s="1" t="str">
        <v>Ремонт и установка контроллера.</v>
      </c>
    </row>
    <row r="161" spans="1:14" ht="28.5" customHeight="1">
      <c r="A161" s="163" t="str">
        <f>IF(N161&gt;0,N161,0)</f>
        <v>Замена блока питания на термодатчик в тепловом пункте.</v>
      </c>
      <c r="B161" s="163"/>
      <c r="C161" s="163"/>
      <c r="D161" s="163"/>
      <c r="E161" s="163"/>
      <c r="F161" s="168">
        <f t="shared" si="15"/>
        <v>2220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71</v>
      </c>
      <c r="N161" s="1" t="str">
        <v>Замена блока питания на термодатчик в тепловом пункте.</v>
      </c>
    </row>
    <row r="162" spans="1:14" ht="28.5" customHeight="1">
      <c r="A162" s="163" t="str">
        <f t="shared" si="14"/>
        <v>Приобретение и замена АКБ для пассажирского лифта.</v>
      </c>
      <c r="B162" s="163"/>
      <c r="C162" s="163"/>
      <c r="D162" s="163"/>
      <c r="E162" s="163"/>
      <c r="F162" s="168">
        <f t="shared" si="15"/>
        <v>2650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71</v>
      </c>
      <c r="N162" s="1" t="str">
        <v>Приобретение и замена АКБ для пассажирского лифта.</v>
      </c>
    </row>
    <row r="163" spans="1:14" ht="28.5" customHeight="1">
      <c r="A163" s="163" t="str">
        <f t="shared" si="14"/>
        <v>Ремонт подъезда (лестничные клетки 1 и 2 этажей).</v>
      </c>
      <c r="B163" s="163"/>
      <c r="C163" s="163"/>
      <c r="D163" s="163"/>
      <c r="E163" s="163"/>
      <c r="F163" s="168">
        <f t="shared" si="15"/>
        <v>287771</v>
      </c>
      <c r="G163" s="168"/>
      <c r="H163" s="24" t="str">
        <f t="shared" si="16"/>
        <v>разово</v>
      </c>
      <c r="I163" s="164">
        <f>VLOOKUP(A163,$A$28:$J$72,9,FALSE)</f>
        <v>1</v>
      </c>
      <c r="J163" s="164"/>
      <c r="M163" s="22" t="s">
        <v>71</v>
      </c>
      <c r="N163" s="1" t="str">
        <v>Ремонт подъезда (лестничные клетки 1 и 2 этажей).</v>
      </c>
    </row>
    <row r="164" spans="1:14" ht="28.5" customHeight="1">
      <c r="A164" s="163" t="str">
        <f t="shared" ref="A164:A187" si="18">IF(N164&gt;0,N164,0)</f>
        <v>Приобретение и замена обратного клапана в ИТП.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3626</v>
      </c>
      <c r="G164" s="168"/>
      <c r="H164" s="29" t="str">
        <f t="shared" si="16"/>
        <v>разово</v>
      </c>
      <c r="I164" s="164">
        <f t="shared" ref="I164:I187" si="20">VLOOKUP(A164,$A$28:$J$72,9,FALSE)</f>
        <v>1</v>
      </c>
      <c r="J164" s="164"/>
      <c r="M164" s="22" t="s">
        <v>71</v>
      </c>
      <c r="N164" s="1" t="str">
        <v>Приобретение и замена обратного клапана в ИТП.</v>
      </c>
    </row>
    <row r="165" spans="1:14" ht="28.5" customHeight="1">
      <c r="A165" s="163" t="str">
        <f t="shared" si="18"/>
        <v>Ремонт лифта (замена освещения и кнопки вызова).</v>
      </c>
      <c r="B165" s="163"/>
      <c r="C165" s="163"/>
      <c r="D165" s="163"/>
      <c r="E165" s="163"/>
      <c r="F165" s="168">
        <f t="shared" si="19"/>
        <v>8610</v>
      </c>
      <c r="G165" s="168"/>
      <c r="H165" s="29" t="str">
        <f t="shared" si="16"/>
        <v>разово</v>
      </c>
      <c r="I165" s="164">
        <f t="shared" si="20"/>
        <v>1</v>
      </c>
      <c r="J165" s="164"/>
      <c r="M165" s="22" t="s">
        <v>71</v>
      </c>
      <c r="N165" s="1" t="str">
        <v>Ремонт лифта (замена освещения и кнопки вызова).</v>
      </c>
    </row>
    <row r="166" spans="1:14" ht="28.5" customHeight="1">
      <c r="A166" s="163" t="str">
        <f t="shared" si="18"/>
        <v>Ремонт подъезда (частичная замена плитки на полах подъезда).</v>
      </c>
      <c r="B166" s="163"/>
      <c r="C166" s="163"/>
      <c r="D166" s="163"/>
      <c r="E166" s="163"/>
      <c r="F166" s="168">
        <f t="shared" si="19"/>
        <v>21624</v>
      </c>
      <c r="G166" s="168"/>
      <c r="H166" s="29" t="str">
        <f t="shared" si="16"/>
        <v>разово</v>
      </c>
      <c r="I166" s="164">
        <f t="shared" si="20"/>
        <v>1</v>
      </c>
      <c r="J166" s="164"/>
      <c r="M166" s="22" t="s">
        <v>71</v>
      </c>
      <c r="N166" s="1" t="str">
        <v>Ремонт подъезда (частичная замена плитки на полах подъезда).</v>
      </c>
    </row>
    <row r="167" spans="1:14" ht="28.5" customHeight="1">
      <c r="A167" s="163" t="str">
        <f t="shared" si="18"/>
        <v>Приобретение и замена входной двери в подъезд.</v>
      </c>
      <c r="B167" s="163"/>
      <c r="C167" s="163"/>
      <c r="D167" s="163"/>
      <c r="E167" s="163"/>
      <c r="F167" s="168">
        <f t="shared" si="19"/>
        <v>39000</v>
      </c>
      <c r="G167" s="168"/>
      <c r="H167" s="29" t="str">
        <f t="shared" si="16"/>
        <v>разово</v>
      </c>
      <c r="I167" s="164">
        <f t="shared" si="20"/>
        <v>1</v>
      </c>
      <c r="J167" s="164"/>
      <c r="M167" s="22" t="s">
        <v>71</v>
      </c>
      <c r="N167" s="1" t="str">
        <v>Приобретение и замена входной двери в подъезд.</v>
      </c>
    </row>
    <row r="168" spans="1:14" ht="28.5" customHeight="1">
      <c r="A168" s="163" t="str">
        <f t="shared" si="18"/>
        <v>Приобретение и укладка грязезащитного покрытия в подъезд.</v>
      </c>
      <c r="B168" s="163"/>
      <c r="C168" s="163"/>
      <c r="D168" s="163"/>
      <c r="E168" s="163"/>
      <c r="F168" s="168">
        <f t="shared" si="19"/>
        <v>4162.8</v>
      </c>
      <c r="G168" s="168"/>
      <c r="H168" s="29" t="str">
        <f t="shared" si="16"/>
        <v>разово</v>
      </c>
      <c r="I168" s="164">
        <f t="shared" si="20"/>
        <v>1</v>
      </c>
      <c r="J168" s="164"/>
      <c r="M168" s="22" t="s">
        <v>71</v>
      </c>
      <c r="N168" s="1" t="str">
        <v>Приобретение и укладка грязезащитного покрытия в подъезд.</v>
      </c>
    </row>
    <row r="169" spans="1:14" ht="28.5" customHeight="1">
      <c r="A169" s="163" t="str">
        <f t="shared" si="18"/>
        <v>Замена прибора учета ХВС.</v>
      </c>
      <c r="B169" s="163"/>
      <c r="C169" s="163"/>
      <c r="D169" s="163"/>
      <c r="E169" s="163"/>
      <c r="F169" s="168">
        <f t="shared" si="19"/>
        <v>4198.3</v>
      </c>
      <c r="G169" s="168"/>
      <c r="H169" s="29" t="str">
        <f t="shared" si="16"/>
        <v>разово</v>
      </c>
      <c r="I169" s="164">
        <f t="shared" si="20"/>
        <v>1</v>
      </c>
      <c r="J169" s="164"/>
      <c r="M169" s="22" t="s">
        <v>71</v>
      </c>
      <c r="N169" s="1" t="str">
        <v>Замена прибора учета ХВС.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71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71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71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71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71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71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71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71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71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71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71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71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71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71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71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71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71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88" t="s">
        <v>195</v>
      </c>
      <c r="B190" s="188"/>
      <c r="C190" s="188"/>
      <c r="D190" s="188"/>
      <c r="E190" s="27">
        <f>SUM(F158:G187)</f>
        <v>409321.1</v>
      </c>
    </row>
    <row r="191" spans="1:14" ht="51.75" customHeight="1">
      <c r="A191" s="188" t="s">
        <v>196</v>
      </c>
      <c r="B191" s="188"/>
      <c r="C191" s="188"/>
      <c r="D191" s="188"/>
      <c r="E191" s="27">
        <f>E190+E154-E155</f>
        <v>34292.569999999978</v>
      </c>
    </row>
    <row r="192" spans="1:14">
      <c r="A192" s="104" t="s">
        <v>174</v>
      </c>
    </row>
    <row r="193" spans="1:10" ht="62.25" customHeight="1">
      <c r="A193" s="162" t="s">
        <v>197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9">
        <f>ПТО!G12</f>
        <v>1200</v>
      </c>
      <c r="I194" s="50" t="s">
        <v>74</v>
      </c>
    </row>
    <row r="195" spans="1:10" ht="18.75" customHeight="1">
      <c r="A195" s="160" t="str">
        <f>ПТО!F13</f>
        <v xml:space="preserve">  -  техническое освидетельствование лифта</v>
      </c>
      <c r="B195" s="160"/>
      <c r="C195" s="160"/>
      <c r="D195" s="160"/>
      <c r="E195" s="160"/>
      <c r="F195" s="160"/>
      <c r="G195" s="160"/>
      <c r="H195" s="49">
        <f>ПТО!G13</f>
        <v>4100</v>
      </c>
      <c r="I195" s="50" t="s">
        <v>74</v>
      </c>
    </row>
    <row r="196" spans="1:10" ht="18.75" customHeight="1">
      <c r="A196" s="160" t="str">
        <f>ПТО!F14</f>
        <v xml:space="preserve">  -  монтаж дополнительных камер видеонаблюдения</v>
      </c>
      <c r="B196" s="160"/>
      <c r="C196" s="160"/>
      <c r="D196" s="160"/>
      <c r="E196" s="160"/>
      <c r="F196" s="160"/>
      <c r="G196" s="160"/>
      <c r="H196" s="49">
        <f>ПТО!G14</f>
        <v>30000</v>
      </c>
      <c r="I196" s="50" t="s">
        <v>74</v>
      </c>
    </row>
    <row r="197" spans="1:10" ht="18.75" customHeight="1">
      <c r="A197" s="160" t="str">
        <f>ПТО!F15</f>
        <v xml:space="preserve">  -  благоустройство придомовой территории</v>
      </c>
      <c r="B197" s="160"/>
      <c r="C197" s="160"/>
      <c r="D197" s="160"/>
      <c r="E197" s="160"/>
      <c r="F197" s="160"/>
      <c r="G197" s="160"/>
      <c r="H197" s="49">
        <f>ПТО!G15</f>
        <v>5000</v>
      </c>
      <c r="I197" s="50" t="s">
        <v>74</v>
      </c>
    </row>
    <row r="198" spans="1:10" ht="18.75" customHeight="1">
      <c r="A198" s="160" t="str">
        <f>ПТО!F16</f>
        <v xml:space="preserve">  -  монтаж дополнительных камер видеонаблюдения</v>
      </c>
      <c r="B198" s="160"/>
      <c r="C198" s="160"/>
      <c r="D198" s="160"/>
      <c r="E198" s="160"/>
      <c r="F198" s="160"/>
      <c r="G198" s="160"/>
      <c r="H198" s="49">
        <f>ПТО!G16</f>
        <v>50000</v>
      </c>
      <c r="I198" s="52" t="s">
        <v>74</v>
      </c>
    </row>
    <row r="199" spans="1:10" ht="18.75" hidden="1" customHeight="1">
      <c r="A199" s="160">
        <f>ПТО!F17</f>
        <v>0</v>
      </c>
      <c r="B199" s="160"/>
      <c r="C199" s="160"/>
      <c r="D199" s="160"/>
      <c r="E199" s="160"/>
      <c r="F199" s="160"/>
      <c r="G199" s="160"/>
      <c r="H199" s="49">
        <f>ПТО!G17</f>
        <v>0</v>
      </c>
      <c r="I199" s="50" t="s">
        <v>74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49">
        <f>ПТО!G18</f>
        <v>0</v>
      </c>
      <c r="I200" s="50" t="s">
        <v>74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49">
        <f>ПТО!G19</f>
        <v>0</v>
      </c>
      <c r="I201" s="50" t="s">
        <v>74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49">
        <f>ПТО!G20</f>
        <v>0</v>
      </c>
      <c r="I202" s="50" t="s">
        <v>74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49">
        <f>ПТО!G21</f>
        <v>0</v>
      </c>
      <c r="I203" s="50" t="s">
        <v>74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9">
        <f>ПТО!G22</f>
        <v>0</v>
      </c>
      <c r="I204" s="50" t="s">
        <v>74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9">
        <f>ПТО!G23</f>
        <v>0</v>
      </c>
      <c r="I205" s="50" t="s">
        <v>74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9">
        <f>ПТО!G24</f>
        <v>0</v>
      </c>
      <c r="I206" s="50" t="s">
        <v>74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9">
        <f>ПТО!G25</f>
        <v>0</v>
      </c>
      <c r="I207" s="50" t="s">
        <v>74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9">
        <f>ПТО!G26</f>
        <v>0</v>
      </c>
      <c r="I208" s="50" t="s">
        <v>74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9">
        <f>ПТО!G27</f>
        <v>0</v>
      </c>
      <c r="I209" s="50" t="s">
        <v>74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9">
        <f>ПТО!G28</f>
        <v>0</v>
      </c>
      <c r="I210" s="50" t="s">
        <v>74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9">
        <f>ПТО!G29</f>
        <v>0</v>
      </c>
      <c r="I211" s="50" t="s">
        <v>74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9">
        <f>ПТО!G30</f>
        <v>0</v>
      </c>
      <c r="I212" s="50" t="s">
        <v>74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90300</v>
      </c>
      <c r="I214" s="56" t="s">
        <v>77</v>
      </c>
    </row>
  </sheetData>
  <sheetProtection algorithmName="SHA-512" hashValue="JNl95DykLluCszGHOUvXvhtq8ZCGFRpFF6yiamwRnk/23uDQ+jB7N04TrEa4G9v9asc70UFYvGrFimlJYXF2Nw==" saltValue="Vz884f4UHazoG6cWjftRf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15748031496062992" bottom="0.15748031496062992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E14" sqref="E14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193</v>
      </c>
      <c r="G1" s="101">
        <f>-221609.13</f>
        <v>-221609.13</v>
      </c>
    </row>
    <row r="2" spans="1:12" s="119" customFormat="1" ht="18.75" customHeight="1">
      <c r="A2" s="140" t="s">
        <v>72</v>
      </c>
      <c r="B2" s="141" t="s">
        <v>179</v>
      </c>
      <c r="C2" s="141">
        <v>1</v>
      </c>
      <c r="D2" s="142">
        <v>4100</v>
      </c>
      <c r="E2" s="128" t="s">
        <v>207</v>
      </c>
      <c r="F2" s="32"/>
      <c r="G2" s="32"/>
      <c r="H2" s="128"/>
      <c r="I2" s="128"/>
      <c r="J2" s="128"/>
      <c r="K2" s="128"/>
      <c r="L2" s="143" t="str">
        <f t="shared" ref="L2:L22" si="0">IF(A2&gt;0,"ТР",0)</f>
        <v>ТР</v>
      </c>
    </row>
    <row r="3" spans="1:12" ht="18.75" customHeight="1">
      <c r="A3" s="129" t="s">
        <v>185</v>
      </c>
      <c r="B3" s="130" t="s">
        <v>184</v>
      </c>
      <c r="C3" s="118">
        <v>1</v>
      </c>
      <c r="D3" s="46">
        <v>28863</v>
      </c>
      <c r="E3" s="119" t="s">
        <v>198</v>
      </c>
      <c r="F3" s="30"/>
      <c r="G3" s="30"/>
      <c r="L3" s="33" t="str">
        <f t="shared" si="0"/>
        <v>ТР</v>
      </c>
    </row>
    <row r="4" spans="1:12" ht="18.75" customHeight="1">
      <c r="A4" s="121" t="s">
        <v>199</v>
      </c>
      <c r="B4" s="122" t="s">
        <v>184</v>
      </c>
      <c r="C4" s="123">
        <v>1</v>
      </c>
      <c r="D4" s="124">
        <v>2496</v>
      </c>
      <c r="E4" s="119" t="s">
        <v>200</v>
      </c>
      <c r="F4" s="30"/>
      <c r="G4" s="30"/>
      <c r="L4" s="33" t="str">
        <f t="shared" si="0"/>
        <v>ТР</v>
      </c>
    </row>
    <row r="5" spans="1:12" ht="29.25" customHeight="1">
      <c r="A5" s="131" t="s">
        <v>202</v>
      </c>
      <c r="B5" s="132" t="s">
        <v>184</v>
      </c>
      <c r="C5" s="133">
        <v>1</v>
      </c>
      <c r="D5" s="134">
        <v>2220</v>
      </c>
      <c r="E5" s="119" t="s">
        <v>201</v>
      </c>
      <c r="F5" s="44"/>
      <c r="G5" s="44"/>
      <c r="K5" s="46"/>
      <c r="L5" s="33" t="str">
        <f t="shared" si="0"/>
        <v>ТР</v>
      </c>
    </row>
    <row r="6" spans="1:12" ht="18.75" customHeight="1">
      <c r="A6" s="135" t="s">
        <v>205</v>
      </c>
      <c r="B6" s="136" t="s">
        <v>184</v>
      </c>
      <c r="C6" s="137">
        <v>1</v>
      </c>
      <c r="D6" s="138">
        <v>2650</v>
      </c>
      <c r="E6" s="139" t="s">
        <v>206</v>
      </c>
      <c r="F6" s="44"/>
      <c r="G6" s="44"/>
      <c r="K6" s="46"/>
      <c r="L6" s="33" t="str">
        <f t="shared" si="0"/>
        <v>ТР</v>
      </c>
    </row>
    <row r="7" spans="1:12" ht="18.75" customHeight="1">
      <c r="A7" s="144" t="s">
        <v>203</v>
      </c>
      <c r="B7" s="145" t="s">
        <v>184</v>
      </c>
      <c r="C7" s="118">
        <v>1</v>
      </c>
      <c r="D7" s="46">
        <v>287771</v>
      </c>
      <c r="E7" s="146" t="s">
        <v>208</v>
      </c>
      <c r="F7" s="45"/>
      <c r="G7" s="45"/>
      <c r="K7" s="46"/>
      <c r="L7" s="33" t="str">
        <f t="shared" si="0"/>
        <v>ТР</v>
      </c>
    </row>
    <row r="8" spans="1:12" ht="18.75" customHeight="1">
      <c r="A8" s="157" t="s">
        <v>218</v>
      </c>
      <c r="B8" s="136" t="s">
        <v>184</v>
      </c>
      <c r="C8" s="136">
        <v>1</v>
      </c>
      <c r="D8" s="147">
        <v>3626</v>
      </c>
      <c r="E8" s="148" t="s">
        <v>209</v>
      </c>
      <c r="F8" s="45"/>
      <c r="G8" s="45"/>
      <c r="K8" s="43"/>
      <c r="L8" s="33" t="str">
        <f t="shared" si="0"/>
        <v>ТР</v>
      </c>
    </row>
    <row r="9" spans="1:12">
      <c r="A9" s="149" t="s">
        <v>204</v>
      </c>
      <c r="B9" s="150" t="s">
        <v>184</v>
      </c>
      <c r="C9" s="118">
        <v>1</v>
      </c>
      <c r="D9" s="46">
        <v>8610</v>
      </c>
      <c r="E9" s="119" t="s">
        <v>210</v>
      </c>
      <c r="F9" s="44"/>
      <c r="G9" s="44"/>
      <c r="K9" s="43"/>
      <c r="L9" s="33" t="str">
        <f t="shared" si="0"/>
        <v>ТР</v>
      </c>
    </row>
    <row r="10" spans="1:12">
      <c r="A10" s="151" t="s">
        <v>211</v>
      </c>
      <c r="B10" s="136" t="s">
        <v>184</v>
      </c>
      <c r="C10" s="136">
        <v>1</v>
      </c>
      <c r="D10" s="46">
        <v>21624</v>
      </c>
      <c r="E10" s="128" t="s">
        <v>212</v>
      </c>
      <c r="L10" s="33" t="str">
        <f t="shared" si="0"/>
        <v>ТР</v>
      </c>
    </row>
    <row r="11" spans="1:12" ht="94.5">
      <c r="A11" s="152" t="s">
        <v>213</v>
      </c>
      <c r="B11" s="153" t="s">
        <v>184</v>
      </c>
      <c r="C11" s="136">
        <v>1</v>
      </c>
      <c r="D11" s="46">
        <v>39000</v>
      </c>
      <c r="E11" s="128" t="s">
        <v>216</v>
      </c>
      <c r="F11" s="111" t="s">
        <v>197</v>
      </c>
      <c r="G11" s="111"/>
      <c r="L11" s="33" t="str">
        <f t="shared" si="0"/>
        <v>ТР</v>
      </c>
    </row>
    <row r="12" spans="1:12" ht="31.5">
      <c r="A12" s="154" t="s">
        <v>215</v>
      </c>
      <c r="B12" s="136" t="s">
        <v>184</v>
      </c>
      <c r="C12" s="136">
        <v>1</v>
      </c>
      <c r="D12" s="148">
        <v>4162.8</v>
      </c>
      <c r="E12" s="128" t="s">
        <v>217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58" t="s">
        <v>214</v>
      </c>
      <c r="B13" s="136" t="s">
        <v>184</v>
      </c>
      <c r="C13" s="137">
        <v>1</v>
      </c>
      <c r="D13" s="138">
        <v>4198.3</v>
      </c>
      <c r="E13" s="159" t="s">
        <v>219</v>
      </c>
      <c r="F13" s="112" t="s">
        <v>75</v>
      </c>
      <c r="G13" s="113">
        <v>4100</v>
      </c>
      <c r="L13" s="33" t="str">
        <f t="shared" si="0"/>
        <v>ТР</v>
      </c>
    </row>
    <row r="14" spans="1:12" ht="31.5">
      <c r="A14" s="30"/>
      <c r="F14" s="112" t="s">
        <v>181</v>
      </c>
      <c r="G14" s="114">
        <v>30000</v>
      </c>
      <c r="L14" s="33">
        <f t="shared" si="0"/>
        <v>0</v>
      </c>
    </row>
    <row r="15" spans="1:12" ht="31.5">
      <c r="A15" s="30"/>
      <c r="F15" s="120" t="s">
        <v>182</v>
      </c>
      <c r="G15" s="113">
        <v>5000</v>
      </c>
      <c r="L15" s="33">
        <f t="shared" si="0"/>
        <v>0</v>
      </c>
    </row>
    <row r="16" spans="1:12" ht="15.75">
      <c r="A16" s="30"/>
      <c r="F16" s="7" t="s">
        <v>181</v>
      </c>
      <c r="G16" s="156">
        <v>50000</v>
      </c>
      <c r="L16" s="33">
        <f t="shared" si="0"/>
        <v>0</v>
      </c>
    </row>
    <row r="17" spans="1:12">
      <c r="A17" s="30"/>
      <c r="F17" s="10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146600.76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146600.76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53867.28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53867.28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42957.48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42957.48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40911.839999999997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40911.839999999997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13296.36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13296.36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76027.8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76027.8</v>
      </c>
      <c r="O45" s="41" t="str">
        <f t="shared" si="5"/>
        <v>В соответствии с графиком</v>
      </c>
      <c r="P45">
        <f t="shared" si="6"/>
        <v>12</v>
      </c>
    </row>
    <row r="46" spans="1:16" ht="63.75">
      <c r="A46" s="37" t="s">
        <v>176</v>
      </c>
      <c r="B46" s="38">
        <v>136031.88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учета, истребование задолженности по оплате</v>
      </c>
      <c r="N46" s="41">
        <f t="shared" si="4"/>
        <v>136031.88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5"/>
      <c r="C47" s="126"/>
      <c r="D47" s="48"/>
      <c r="E47" s="125">
        <v>550.79999999999995</v>
      </c>
      <c r="F47" s="125">
        <v>352.3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7" t="s">
        <v>186</v>
      </c>
      <c r="F52" s="127" t="s">
        <v>187</v>
      </c>
      <c r="G52" s="127" t="s">
        <v>188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7">
        <v>35.896999999999998</v>
      </c>
      <c r="F53" s="125">
        <v>2860.7</v>
      </c>
      <c r="G53" s="127">
        <v>3.48</v>
      </c>
      <c r="H53" s="127">
        <f>G53*E47/F53</f>
        <v>0.6700401999510609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7"/>
      <c r="F54" s="127" t="s">
        <v>189</v>
      </c>
      <c r="G54" s="127" t="s">
        <v>190</v>
      </c>
      <c r="H54" s="127">
        <f>H53*G56</f>
        <v>57.355441115810812</v>
      </c>
    </row>
    <row r="55" spans="5:16">
      <c r="E55" s="127"/>
      <c r="F55" s="127">
        <v>1.17</v>
      </c>
      <c r="G55" s="127">
        <v>1.23</v>
      </c>
      <c r="H55" s="127"/>
    </row>
    <row r="56" spans="5:16">
      <c r="E56" s="127"/>
      <c r="F56" s="127"/>
      <c r="G56" s="127">
        <v>85.6</v>
      </c>
      <c r="H56" s="127"/>
    </row>
    <row r="57" spans="5:16">
      <c r="E57" s="127"/>
      <c r="F57" s="127"/>
      <c r="G57" s="127"/>
      <c r="H57" s="127"/>
    </row>
    <row r="58" spans="5:16">
      <c r="E58" s="127" t="s">
        <v>191</v>
      </c>
      <c r="F58" s="127"/>
      <c r="G58" s="127"/>
      <c r="H58" s="127"/>
    </row>
    <row r="59" spans="5:16">
      <c r="E59" s="127">
        <v>0.59599999999999997</v>
      </c>
      <c r="F59" s="125">
        <v>2860.7</v>
      </c>
      <c r="G59" s="127">
        <v>7.4999999999999997E-2</v>
      </c>
      <c r="H59" s="127">
        <f>G59*F47</f>
        <v>26.422499999999999</v>
      </c>
    </row>
    <row r="60" spans="5:16">
      <c r="E60" s="127"/>
      <c r="F60" s="127" t="s">
        <v>189</v>
      </c>
      <c r="G60" s="127" t="s">
        <v>190</v>
      </c>
      <c r="H60" s="127">
        <f>H59/F59</f>
        <v>9.236375712238263E-3</v>
      </c>
    </row>
    <row r="61" spans="5:16">
      <c r="E61" s="127"/>
      <c r="F61" s="127">
        <v>12.94</v>
      </c>
      <c r="G61" s="127">
        <v>13.45</v>
      </c>
      <c r="H61" s="127">
        <f>H60*G56</f>
        <v>0.7906337609675953</v>
      </c>
    </row>
    <row r="62" spans="5:16">
      <c r="E62" s="127" t="s">
        <v>192</v>
      </c>
      <c r="F62" s="127"/>
      <c r="G62" s="127"/>
      <c r="H62" s="127"/>
    </row>
    <row r="63" spans="5:16">
      <c r="E63" s="127">
        <v>0.59599999999999997</v>
      </c>
      <c r="F63" s="125">
        <v>2860.7</v>
      </c>
      <c r="G63" s="127">
        <v>7.4999999999999997E-2</v>
      </c>
      <c r="H63" s="127">
        <f>G63*F47</f>
        <v>26.422499999999999</v>
      </c>
    </row>
    <row r="64" spans="5:16">
      <c r="E64" s="127"/>
      <c r="F64" s="127" t="s">
        <v>189</v>
      </c>
      <c r="G64" s="127" t="s">
        <v>190</v>
      </c>
      <c r="H64" s="127">
        <f>H63/F63</f>
        <v>9.236375712238263E-3</v>
      </c>
    </row>
    <row r="65" spans="4:13" ht="18.75" customHeight="1">
      <c r="E65" s="127"/>
      <c r="F65" s="127">
        <v>15.73</v>
      </c>
      <c r="G65" s="127">
        <v>16.350000000000001</v>
      </c>
      <c r="H65" s="127">
        <f>H64*G56</f>
        <v>0.7906337609675953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Gl+dpWLw568f/f0dEf/oOuLace89kiL/5ZOobfd4bNxKKrmni2/RfJPfwTZK10vf/lgT3WvaL2hf3cwATp7mSA==" saltValue="VQnzRD9OCBCPDu6tGTI1A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B28" sqref="B2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180</v>
      </c>
      <c r="F1" s="60">
        <v>2841.1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131922.67000000004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663112.73999999987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f>14.95*12*F1</f>
        <v>509693.33999999991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F1*4.5*12</f>
        <v>153419.4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632399.63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632399.63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632399.63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162635.77999999991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91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91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91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91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0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0"/>
      <c r="N26" s="63"/>
    </row>
    <row r="27" spans="1:15" ht="18.75" customHeight="1">
      <c r="A27" s="70" t="s">
        <v>105</v>
      </c>
      <c r="B27" s="75" t="s">
        <v>3</v>
      </c>
      <c r="C27" s="86">
        <v>79794.210000000006</v>
      </c>
      <c r="D27" s="81" t="s">
        <v>59</v>
      </c>
      <c r="E27" s="64"/>
      <c r="F27" s="64"/>
      <c r="G27" s="64"/>
      <c r="H27" s="64"/>
      <c r="I27" s="64"/>
      <c r="J27" s="64"/>
      <c r="M27" s="190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0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0"/>
      <c r="N29" s="63"/>
    </row>
    <row r="30" spans="1:15" ht="18.75" customHeight="1">
      <c r="A30" s="70" t="s">
        <v>108</v>
      </c>
      <c r="B30" s="75" t="s">
        <v>17</v>
      </c>
      <c r="C30" s="86">
        <f>C27-18115.05</f>
        <v>61679.16</v>
      </c>
      <c r="D30" s="81" t="s">
        <v>65</v>
      </c>
      <c r="E30" s="64"/>
      <c r="F30" s="64"/>
      <c r="G30" s="64"/>
      <c r="H30" s="64"/>
      <c r="I30" s="64"/>
      <c r="J30" s="64"/>
      <c r="M30" s="190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0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0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0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0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162532.80000000002</v>
      </c>
      <c r="F37" s="94" t="s">
        <v>167</v>
      </c>
      <c r="G37" s="66"/>
      <c r="H37" s="66"/>
      <c r="I37" s="66"/>
      <c r="L37" s="63"/>
      <c r="M37" s="189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128582.85928705442</v>
      </c>
      <c r="D38" s="94" t="s">
        <v>165</v>
      </c>
      <c r="E38" s="68"/>
      <c r="G38" s="67"/>
      <c r="H38" s="67"/>
      <c r="L38" s="63"/>
      <c r="M38" s="189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164471.57</v>
      </c>
      <c r="D39" s="94" t="s">
        <v>166</v>
      </c>
      <c r="E39" s="155"/>
      <c r="G39" s="67"/>
      <c r="H39" s="67"/>
      <c r="L39" s="63"/>
      <c r="M39" s="189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155"/>
      <c r="G40" s="67"/>
      <c r="H40" s="67"/>
      <c r="L40" s="63"/>
      <c r="M40" s="189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162532.80000000002</v>
      </c>
      <c r="D41" s="80" t="s">
        <v>58</v>
      </c>
      <c r="E41" s="155"/>
      <c r="G41" s="67"/>
      <c r="H41" s="67"/>
      <c r="L41" s="63"/>
      <c r="M41" s="189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162532.80000000002</v>
      </c>
      <c r="D42" s="80" t="s">
        <v>58</v>
      </c>
      <c r="E42" s="68"/>
      <c r="G42" s="67"/>
      <c r="H42" s="67"/>
      <c r="L42" s="63"/>
      <c r="M42" s="189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89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89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42194.78</v>
      </c>
      <c r="F45" s="94" t="s">
        <v>167</v>
      </c>
      <c r="G45" s="66"/>
      <c r="H45" s="66"/>
      <c r="L45" s="63"/>
      <c r="M45" s="189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2813.262957967343</v>
      </c>
      <c r="D46" s="94" t="s">
        <v>168</v>
      </c>
      <c r="E46" s="68"/>
      <c r="G46" s="67"/>
      <c r="H46" s="67"/>
      <c r="L46" s="63"/>
      <c r="M46" s="189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47371.109999999993</v>
      </c>
      <c r="D47" s="94" t="s">
        <v>166</v>
      </c>
      <c r="E47" s="68"/>
      <c r="G47" s="67"/>
      <c r="H47" s="67"/>
      <c r="L47" s="63"/>
      <c r="M47" s="189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89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42194.78</v>
      </c>
      <c r="D49" s="80" t="s">
        <v>58</v>
      </c>
      <c r="E49" s="68"/>
      <c r="G49" s="67"/>
      <c r="H49" s="67"/>
      <c r="L49" s="63"/>
      <c r="M49" s="189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42194.78</v>
      </c>
      <c r="D50" s="80" t="s">
        <v>58</v>
      </c>
      <c r="E50" s="68"/>
      <c r="G50" s="67"/>
      <c r="H50" s="67"/>
      <c r="L50" s="63"/>
      <c r="M50" s="189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89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89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77078.580000000031</v>
      </c>
      <c r="F53" s="94" t="s">
        <v>167</v>
      </c>
      <c r="G53" s="66"/>
      <c r="H53" s="66"/>
      <c r="L53" s="63"/>
      <c r="M53" s="189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4630.8475440448183</v>
      </c>
      <c r="D54" s="94" t="s">
        <v>168</v>
      </c>
      <c r="E54" s="69"/>
      <c r="F54" s="89"/>
      <c r="G54" s="64"/>
      <c r="H54" s="64"/>
      <c r="L54" s="63"/>
      <c r="M54" s="189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88945.290000000052</v>
      </c>
      <c r="D55" s="94" t="s">
        <v>166</v>
      </c>
      <c r="E55" s="69"/>
      <c r="G55" s="64"/>
      <c r="H55" s="64"/>
      <c r="L55" s="63"/>
      <c r="M55" s="189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89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77078.580000000031</v>
      </c>
      <c r="D57" s="80" t="s">
        <v>58</v>
      </c>
      <c r="E57" s="69"/>
      <c r="G57" s="64"/>
      <c r="H57" s="64"/>
      <c r="L57" s="63"/>
      <c r="M57" s="189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77078.580000000031</v>
      </c>
      <c r="D58" s="80" t="s">
        <v>58</v>
      </c>
      <c r="E58" s="69"/>
      <c r="G58" s="64"/>
      <c r="H58" s="64"/>
      <c r="L58" s="63"/>
      <c r="M58" s="189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89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89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101689.09000000004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200.07891100889537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100822.33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866.76000000003842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101689.09000000004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101689.09000000004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2" sqref="D12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2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2023-03-30T08:36:00Z</dcterms:modified>
</cp:coreProperties>
</file>