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B42" i="2"/>
  <c r="B44" i="2"/>
  <c r="B40" i="2"/>
  <c r="B45" i="2"/>
  <c r="B41" i="2"/>
  <c r="B39" i="2"/>
  <c r="C8" i="3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G94" i="1"/>
  <c r="A94" i="1"/>
  <c r="K94" i="1"/>
  <c r="A95" i="1" l="1"/>
  <c r="A111" i="1"/>
  <c r="A116" i="1"/>
  <c r="A117" i="1"/>
  <c r="A112" i="1"/>
  <c r="A110" i="1"/>
  <c r="A113" i="1"/>
  <c r="A105" i="1"/>
  <c r="D110" i="1"/>
  <c r="A114" i="1"/>
  <c r="A109" i="1"/>
  <c r="F110" i="1"/>
  <c r="F118" i="1"/>
  <c r="A122" i="1"/>
  <c r="F102" i="1"/>
  <c r="A123" i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0" i="1" l="1"/>
  <c r="H177" i="1"/>
  <c r="H167" i="1"/>
  <c r="F167" i="1"/>
  <c r="H186" i="1"/>
  <c r="F182" i="1"/>
  <c r="F175" i="1"/>
  <c r="H171" i="1"/>
  <c r="F180" i="1"/>
  <c r="F173" i="1"/>
  <c r="F171" i="1"/>
  <c r="H176" i="1"/>
  <c r="H174" i="1"/>
  <c r="F169" i="1"/>
  <c r="H182" i="1"/>
  <c r="F174" i="1"/>
  <c r="F183" i="1"/>
  <c r="H185" i="1"/>
  <c r="H183" i="1"/>
  <c r="H169" i="1"/>
  <c r="H164" i="1"/>
  <c r="H166" i="1"/>
  <c r="F187" i="1"/>
  <c r="H179" i="1"/>
  <c r="F165" i="1"/>
  <c r="H175" i="1"/>
  <c r="H181" i="1"/>
  <c r="H187" i="1"/>
  <c r="F177" i="1"/>
  <c r="F181" i="1"/>
  <c r="F166" i="1"/>
  <c r="H172" i="1"/>
  <c r="F179" i="1"/>
  <c r="F178" i="1"/>
  <c r="H178" i="1"/>
  <c r="H168" i="1"/>
  <c r="F168" i="1"/>
  <c r="H184" i="1"/>
  <c r="H173" i="1"/>
  <c r="F18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<sst xmlns="http://schemas.openxmlformats.org/spreadsheetml/2006/main" count="573" uniqueCount="217">
  <si>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</si>
  <si>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</si>
  <si>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</si>
  <si>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</si>
  <si>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</si>
  <si>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</si>
  <si>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</si>
  <si>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</si>
  <si>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</si>
  <si>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</si>
  <si>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</si>
  <si>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</si>
  <si>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</si>
  <si>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</si>
  <si>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</si>
  <si>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</si>
  <si>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</si>
  <si>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</si>
  <si>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</si>
  <si>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</si>
  <si>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</si>
  <si>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</si>
  <si>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</si>
  <si>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</si>
  <si>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</si>
  <si>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</si>
  <si>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</si>
  <si>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</si>
  <si>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</si>
  <si>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</si>
  <si>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</si>
  <si>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</si>
  <si>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</si>
  <si>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</si>
  <si>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</si>
  <si>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</si>
  <si>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</si>
  <si>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</si>
  <si>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</si>
  <si>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</si>
  <si>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</si>
  <si>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</si>
  <si>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</si>
  <si>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</si>
  <si>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</si>
  <si>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</si>
  <si>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</si>
  <si>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</si>
  <si>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</si>
  <si>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</si>
  <si>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</si>
  <si>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</si>
  <si>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</si>
  <si>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</si>
  <si>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</si>
  <si>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</si>
  <si>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</si>
  <si>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</si>
  <si>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</si>
  <si>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</si>
  <si>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</si>
  <si>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</si>
  <si>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</si>
  <si>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</si>
  <si>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</si>
  <si>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</si>
  <si>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</si>
  <si>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</si>
  <si>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</si>
  <si>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</si>
  <si>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</si>
  <si>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</si>
  <si>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</si>
  <si>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</si>
  <si>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</si>
  <si>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</si>
  <si>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</si>
  <si>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</si>
  <si>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</si>
  <si>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</si>
  <si>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</si>
  <si>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</si>
  <si>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</si>
  <si>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</si>
  <si>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</si>
  <si>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</si>
  <si>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</si>
  <si>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</si>
  <si>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</si>
  <si>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</si>
  <si>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</si>
  <si>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</si>
  <si>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</si>
  <si>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</si>
  <si>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</si>
  <si>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</si>
  <si>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</si>
  <si>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</si>
  <si>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</si>
  <si>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</si>
  <si>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</si>
  <si>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</si>
  <si>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</si>
  <si>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</si>
  <si>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</si>
  <si>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</si>
  <si>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</si>
  <si>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</si>
  <si>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</si>
  <si>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</si>
  <si>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</si>
  <si>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</si>
  <si>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</si>
  <si>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</si>
  <si>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</si>
  <si>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</si>
  <si>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</si>
  <si>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</si>
  <si>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</si>
  <si>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</si>
  <si>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</si>
  <si>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</si>
  <si>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</si>
  <si>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</si>
  <si>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</si>
  <si>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</si>
  <si>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</si>
  <si>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</si>
  <si>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</si>
  <si>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</si>
  <si>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</si>
  <si>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</si>
  <si>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</si>
  <si>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</si>
  <si>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</si>
  <si>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</si>
  <si>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</si>
  <si>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</si>
  <si>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</si>
  <si>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</si>
  <si>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</si>
  <si>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</si>
  <si>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</si>
  <si>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</si>
  <si>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</si>
  <si>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</si>
  <si>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</si>
  <si>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</si>
  <si>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</si>
  <si>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</si>
  <si>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</si>
  <si>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</si>
  <si>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</si>
  <si>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</si>
  <si>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</si>
  <si>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</si>
  <si>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</si>
  <si>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</si>
  <si>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</si>
  <si>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</si>
  <si>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</si>
  <si>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</si>
  <si>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</si>
  <si>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</si>
  <si>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</si>
  <si>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</si>
  <si>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</si>
  <si>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</si>
  <si>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</si>
  <si>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</si>
  <si>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</si>
  <si>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</si>
  <si>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</si>
  <si>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</si>
  <si>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</si>
  <si>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</si>
  <si>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</si>
  <si>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</si>
  <si>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</si>
  <si>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ежемесячно</t>
  </si>
  <si>
    <t>разово</t>
  </si>
  <si>
    <t>ежегодно</t>
  </si>
  <si>
    <t>площадь дома</t>
  </si>
  <si>
    <t>с 01.09.2019 приказ №62 от 26.08.2019 Протокол №1-2 от 22.07.2019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</si>
  <si>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</si>
  <si>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</si>
  <si>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Диспетчеризация откатных ворот.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</si>
  <si>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</si>
  <si>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</si>
  <si>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</si>
  <si>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</si>
  <si>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</si>
  <si>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</si>
  <si>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</si>
  <si>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</si>
  <si>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</si>
  <si>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</si>
  <si>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</si>
  <si>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</si>
  <si>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</si>
  <si>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Механизированная уборка наледи с проезжей части двора.</t>
  </si>
  <si>
    <t>АВР 1/22 от 01.02.2022</t>
  </si>
  <si>
    <t>Установка фотоэлементов на откатные ворота.</t>
  </si>
  <si>
    <t>АВР 2/22 от 15.02.2022</t>
  </si>
  <si>
    <t>Ремонт ворот (замена блока питания).</t>
  </si>
  <si>
    <t>АВР 3/22 от 30.06.2022, Решение, счет №1329 от 01.06.2022</t>
  </si>
  <si>
    <t>АВР 4/22 от 30.06.2022, Решение</t>
  </si>
  <si>
    <t>Ремонт кровли (приобретение ленты-герметика).</t>
  </si>
  <si>
    <t>АВР 5/22 от 30.07.2022</t>
  </si>
  <si>
    <t>Диагностика автоматики откатных ворот.</t>
  </si>
  <si>
    <t>АВР 6/22 от 30.07.2022</t>
  </si>
  <si>
    <t>Замена прибора учета ХВС.</t>
  </si>
  <si>
    <t>АВР 7/22 от 29.08.2022, Решение, счет №6862 от 21.07.2022</t>
  </si>
  <si>
    <t>Приобретение и замена обратного клапана в ИТП.</t>
  </si>
  <si>
    <t>АВР 9/22 от 25.11.2022, счет №12281 от 23.11.2022</t>
  </si>
  <si>
    <t>АВР 10/22 от 27.12.2022</t>
  </si>
  <si>
    <t>АВР 11/22 от 28.12.2022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</si>
</sst>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86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9" fillId="0" borderId="0" xfId="5" applyNumberFormat="1" applyFont="1" applyFill="1" applyBorder="1" applyAlignment="1"/>
    <xf numFmtId="2" fontId="29" fillId="4" borderId="0" xfId="6" applyNumberFormat="1" applyFont="1" applyFill="1" applyBorder="1"/>
    <xf numFmtId="0" fontId="0" fillId="6" borderId="0" xfId="0" applyFill="1" applyBorder="1"/>
    <xf numFmtId="0" fontId="22" fillId="0" borderId="0" xfId="6" applyFont="1"/>
    <xf numFmtId="0" fontId="29" fillId="0" borderId="0" xfId="5" applyFont="1" applyFill="1" applyBorder="1" applyAlignment="1">
      <alignment horizontal="center"/>
    </xf>
    <xf numFmtId="0" fontId="0" fillId="0" borderId="0" xfId="0" applyFill="1" applyBorder="1"/>
    <xf numFmtId="0" fontId="16" fillId="0" borderId="0" xfId="4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29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5" fillId="0" borderId="0" xfId="5" applyFill="1" applyBorder="1" applyAlignment="1">
      <alignment horizontal="center"/>
    </xf>
    <xf numFmtId="4" fontId="15" fillId="0" borderId="0" xfId="5" applyNumberFormat="1" applyFont="1" applyFill="1" applyBorder="1" applyAlignment="1"/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0" fillId="0" borderId="0" xfId="0" applyFill="1"/>
    <xf numFmtId="0" fontId="10" fillId="0" borderId="0" xfId="14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39" fillId="0" borderId="0" xfId="0" applyNumberFormat="1" applyFo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5" fillId="0" borderId="0" xfId="5" applyFont="1" applyFill="1" applyBorder="1" applyAlignment="1"/>
    <xf numFmtId="0" fontId="4" fillId="0" borderId="0" xfId="5" applyFont="1" applyFill="1" applyBorder="1" applyAlignment="1"/>
    <xf numFmtId="0" fontId="6" fillId="0" borderId="0" xfId="5" applyFont="1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3" fillId="0" borderId="0" xfId="5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4" applyFont="1" applyFill="1" applyBorder="1" applyAlignment="1"/>
    <xf numFmtId="0" fontId="9" fillId="0" borderId="0" xfId="5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1"/>
    <cellStyle name="Обычный 2 4" xfId="16"/>
    <cellStyle name="Обычный 2 5" xfId="7"/>
    <cellStyle name="Обычный 3" xfId="2"/>
    <cellStyle name="Обычный 3 2" xfId="12"/>
    <cellStyle name="Обычный 3 3" xfId="17"/>
    <cellStyle name="Обычный 3 4" xfId="8"/>
    <cellStyle name="Обычный 4" xfId="4"/>
    <cellStyle name="Обычный 4 2" xfId="13"/>
    <cellStyle name="Обычный 4 3" xfId="18"/>
    <cellStyle name="Обычный 4 4" xfId="9"/>
    <cellStyle name="Обычный 5" xfId="5"/>
    <cellStyle name="Обычный 5 2" xfId="14"/>
    <cellStyle name="Обычный 5 3" xfId="19"/>
    <cellStyle name="Обычный 5 4" xfId="10"/>
    <cellStyle name="Обычный 6" xfId="6"/>
    <cellStyle name="Обычный 6 2" xfId="20"/>
    <cellStyle name="Обычный 6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2" t="s">
        <v>177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3"/>
      <c r="M8" s="109"/>
      <c r="N8" s="109"/>
      <c r="O8" s="70" t="s">
        <v>83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3"/>
      <c r="M9" s="109"/>
      <c r="N9" s="109"/>
      <c r="O9" s="70" t="s">
        <v>84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692169.53</v>
      </c>
      <c r="K10" s="109"/>
      <c r="L10" s="173"/>
      <c r="M10" s="109"/>
      <c r="N10" s="109"/>
      <c r="O10" s="70" t="s">
        <v>85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637007.04</v>
      </c>
      <c r="K11" s="109"/>
      <c r="L11" s="173"/>
      <c r="M11" s="109"/>
      <c r="N11" s="109"/>
      <c r="O11" s="70" t="s">
        <v>86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297915.84000000008</v>
      </c>
      <c r="K12" s="109"/>
      <c r="L12" s="173"/>
      <c r="M12" s="109"/>
      <c r="N12" s="109"/>
      <c r="O12" s="70" t="s">
        <v>87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242208</v>
      </c>
      <c r="K13" s="109"/>
      <c r="L13" s="173"/>
      <c r="M13" s="109"/>
      <c r="N13" s="109"/>
      <c r="O13" s="70" t="s">
        <v>88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96883.200000000012</v>
      </c>
      <c r="K14" s="109"/>
      <c r="L14" s="173"/>
      <c r="M14" s="109"/>
      <c r="N14" s="109"/>
      <c r="O14" s="70" t="s">
        <v>89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600591.6100000001</v>
      </c>
      <c r="K15" s="109"/>
      <c r="L15" s="173"/>
      <c r="M15" s="109"/>
      <c r="N15" s="109"/>
      <c r="O15" s="70" t="s">
        <v>90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600591.6100000001</v>
      </c>
      <c r="K16" s="109"/>
      <c r="L16" s="173"/>
      <c r="M16" s="109"/>
      <c r="N16" s="109"/>
      <c r="O16" s="70" t="s">
        <v>91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3"/>
      <c r="M17" s="109"/>
      <c r="N17" s="109"/>
      <c r="O17" s="70" t="s">
        <v>92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3"/>
      <c r="M18" s="109"/>
      <c r="N18" s="109"/>
      <c r="O18" s="70" t="s">
        <v>93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3"/>
      <c r="M19" s="109"/>
      <c r="N19" s="109"/>
      <c r="O19" s="70" t="s">
        <v>94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3"/>
      <c r="M20" s="109"/>
      <c r="N20" s="109"/>
      <c r="O20" s="70" t="s">
        <v>95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600591.6100000001</v>
      </c>
      <c r="K21" s="109"/>
      <c r="L21" s="173"/>
      <c r="M21" s="109"/>
      <c r="N21" s="109"/>
      <c r="O21" s="70" t="s">
        <v>96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3"/>
      <c r="M22" s="109"/>
      <c r="N22" s="109"/>
      <c r="O22" s="70" t="s">
        <v>97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3"/>
      <c r="M23" s="109"/>
      <c r="N23" s="109"/>
      <c r="O23" s="70" t="s">
        <v>98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728584.96</v>
      </c>
      <c r="K24" s="109"/>
      <c r="L24" s="173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57</v>
      </c>
      <c r="I27" s="165" t="s">
        <v>21</v>
      </c>
      <c r="J27" s="165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104876.06400000001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62">
        <f>VLOOKUP(A29,ПТО!$A$39:$D$53,2,FALSE)</f>
        <v>53285.760000000009</v>
      </c>
      <c r="G29" s="162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09"/>
      <c r="L29" s="174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62">
        <f>VLOOKUP(A30,ПТО!$A$39:$D$53,2,FALSE)</f>
        <v>41659.776000000005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29064.959999999999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9"/>
      <c r="L32" s="17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9688.3200000000015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59340.960000000006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7">
        <f>ПТО!A46</f>
        <v>0</v>
      </c>
      <c r="B35" s="157"/>
      <c r="C35" s="157"/>
      <c r="D35" s="157"/>
      <c r="E35" s="157"/>
      <c r="F35" s="162" t="e">
        <f>VLOOKUP(A35,ПТО!$A$39:$D$53,2,FALSE)</f>
        <v>#N/A</v>
      </c>
      <c r="G35" s="162"/>
      <c r="H35" s="42" t="e">
        <f>VLOOKUP(A35,ПТО!$A$39:$D$53,3,FALSE)</f>
        <v>#N/A</v>
      </c>
      <c r="I35" s="158" t="e">
        <f>VLOOKUP(A35,ПТО!$A$39:$D$53,4,FALSE)</f>
        <v>#N/A</v>
      </c>
      <c r="J35" s="158"/>
      <c r="K35" s="109"/>
      <c r="L35" s="174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62" t="e">
        <f>VLOOKUP(A36,ПТО!$A$39:$D$53,2,FALSE)</f>
        <v>#N/A</v>
      </c>
      <c r="G36" s="162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09"/>
      <c r="L36" s="174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9"/>
      <c r="L37" s="174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9"/>
      <c r="L38" s="174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9"/>
      <c r="L39" s="174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9"/>
      <c r="L40" s="174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9"/>
      <c r="L41" s="174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9"/>
      <c r="L42" s="174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09"/>
      <c r="L43" s="174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7" t="str">
        <f>ПТО!A3</f>
        <v>Техническое обслуживание охранной сигнализации.</v>
      </c>
      <c r="B44" s="157"/>
      <c r="C44" s="157"/>
      <c r="D44" s="157"/>
      <c r="E44" s="157"/>
      <c r="F44" s="162">
        <f>VLOOKUP(A44,ПТО!$A$2:$D$31,4,FALSE)</f>
        <v>18000</v>
      </c>
      <c r="G44" s="162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09"/>
      <c r="L44" s="174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7" t="str">
        <f>ПТО!A4</f>
        <v>Диспетчеризация откатных ворот.</v>
      </c>
      <c r="B45" s="157"/>
      <c r="C45" s="157"/>
      <c r="D45" s="157"/>
      <c r="E45" s="157"/>
      <c r="F45" s="162">
        <f>VLOOKUP(A45,ПТО!$A$2:$D$31,4,FALSE)</f>
        <v>30000</v>
      </c>
      <c r="G45" s="162"/>
      <c r="H45" s="25" t="str">
        <f>VLOOKUP(A45,ПТО!$A$2:$D$31,2,FALSE)</f>
        <v>ежемесячно</v>
      </c>
      <c r="I45" s="158">
        <f>VLOOKUP(A45,ПТО!$A$2:$D$31,3,FALSE)</f>
        <v>12</v>
      </c>
      <c r="J45" s="158"/>
      <c r="K45" s="109"/>
      <c r="L45" s="174"/>
      <c r="M45" s="116"/>
      <c r="N45" s="109"/>
      <c r="O45" s="23" t="str">
        <f t="shared" si="1"/>
        <v>Диспетчеризация откатных ворот.</v>
      </c>
      <c r="R45" s="22" t="s">
        <v>72</v>
      </c>
    </row>
    <row r="46" spans="1:18" ht="51" customHeight="1" outlineLevel="1">
      <c r="A46" s="157" t="str">
        <f>ПТО!A5</f>
        <v>Механизированная уборка наледи с проезжей части двора.</v>
      </c>
      <c r="B46" s="157"/>
      <c r="C46" s="157"/>
      <c r="D46" s="157"/>
      <c r="E46" s="157"/>
      <c r="F46" s="162">
        <f>VLOOKUP(A46,ПТО!$A$2:$D$31,4,FALSE)</f>
        <v>3000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9"/>
      <c r="L46" s="174"/>
      <c r="M46" s="116"/>
      <c r="N46" s="109"/>
      <c r="O46" s="23" t="str">
        <f t="shared" si="1"/>
        <v>Механизированная уборка наледи с проезжей части двора.</v>
      </c>
      <c r="R46" s="22" t="s">
        <v>72</v>
      </c>
    </row>
    <row r="47" spans="1:18" ht="51" customHeight="1" outlineLevel="1">
      <c r="A47" s="157" t="str">
        <f>ПТО!A6</f>
        <v>Установка фотоэлементов на откатные ворота.</v>
      </c>
      <c r="B47" s="157"/>
      <c r="C47" s="157"/>
      <c r="D47" s="157"/>
      <c r="E47" s="157"/>
      <c r="F47" s="162">
        <f>VLOOKUP(A47,ПТО!$A$2:$D$31,4,FALSE)</f>
        <v>1800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9"/>
      <c r="L47" s="174"/>
      <c r="M47" s="116"/>
      <c r="N47" s="109"/>
      <c r="O47" s="23" t="str">
        <f t="shared" si="1"/>
        <v>Установка фотоэлементов на откатные ворота.</v>
      </c>
      <c r="R47" s="22" t="s">
        <v>72</v>
      </c>
    </row>
    <row r="48" spans="1:18" ht="51" customHeight="1" outlineLevel="1">
      <c r="A48" s="157" t="str">
        <f>ПТО!A7</f>
        <v>Ремонт ворот (замена блока питания).</v>
      </c>
      <c r="B48" s="157"/>
      <c r="C48" s="157"/>
      <c r="D48" s="157"/>
      <c r="E48" s="157"/>
      <c r="F48" s="162">
        <f>VLOOKUP(A48,ПТО!$A$2:$D$31,4,FALSE)</f>
        <v>14000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9"/>
      <c r="L48" s="174"/>
      <c r="M48" s="116"/>
      <c r="N48" s="109"/>
      <c r="O48" s="23" t="str">
        <f t="shared" si="1"/>
        <v>Ремонт ворот (замена блока питания).</v>
      </c>
      <c r="R48" s="22" t="s">
        <v>72</v>
      </c>
    </row>
    <row r="49" spans="1:18" ht="51" customHeight="1" outlineLevel="1">
      <c r="A49" s="157" t="str">
        <f>ПТО!A8</f>
        <v>Ремонт кровли (приобретение ленты-герметика).</v>
      </c>
      <c r="B49" s="157"/>
      <c r="C49" s="157"/>
      <c r="D49" s="157"/>
      <c r="E49" s="157"/>
      <c r="F49" s="162">
        <f>VLOOKUP(A49,ПТО!$A$2:$D$31,4,FALSE)</f>
        <v>2141</v>
      </c>
      <c r="G49" s="162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9"/>
      <c r="L49" s="174"/>
      <c r="M49" s="116"/>
      <c r="N49" s="109"/>
      <c r="O49" s="23" t="str">
        <f t="shared" si="1"/>
        <v>Ремонт кровли (приобретение ленты-герметика).</v>
      </c>
      <c r="R49" s="22" t="s">
        <v>72</v>
      </c>
    </row>
    <row r="50" spans="1:18" ht="51" customHeight="1" outlineLevel="1">
      <c r="A50" s="157" t="str">
        <f>ПТО!A9</f>
        <v>Диагностика автоматики откатных ворот.</v>
      </c>
      <c r="B50" s="157"/>
      <c r="C50" s="157"/>
      <c r="D50" s="157"/>
      <c r="E50" s="157"/>
      <c r="F50" s="162">
        <f>VLOOKUP(A50,ПТО!$A$2:$D$31,4,FALSE)</f>
        <v>1500</v>
      </c>
      <c r="G50" s="162"/>
      <c r="H50" s="25" t="str">
        <f>VLOOKUP(A50,ПТО!$A$2:$D$31,2,FALSE)</f>
        <v>разово</v>
      </c>
      <c r="I50" s="158">
        <f>VLOOKUP(A50,ПТО!$A$2:$D$31,3,FALSE)</f>
        <v>1</v>
      </c>
      <c r="J50" s="158"/>
      <c r="K50" s="109"/>
      <c r="L50" s="174"/>
      <c r="M50" s="116"/>
      <c r="N50" s="109"/>
      <c r="O50" s="23" t="str">
        <f t="shared" si="1"/>
        <v>Диагностика автоматики откатных ворот.</v>
      </c>
      <c r="R50" s="22" t="s">
        <v>72</v>
      </c>
    </row>
    <row r="51" spans="1:18" ht="51" customHeight="1" outlineLevel="1">
      <c r="A51" s="157" t="str">
        <f>ПТО!A10</f>
        <v>Приобретение и замена обратного клапана в ИТП.</v>
      </c>
      <c r="B51" s="157"/>
      <c r="C51" s="157"/>
      <c r="D51" s="157"/>
      <c r="E51" s="157"/>
      <c r="F51" s="162">
        <f>VLOOKUP(A51,ПТО!$A$2:$D$31,4,FALSE)</f>
        <v>1003.55</v>
      </c>
      <c r="G51" s="162"/>
      <c r="H51" s="25" t="str">
        <f>VLOOKUP(A51,ПТО!$A$2:$D$31,2,FALSE)</f>
        <v>разово</v>
      </c>
      <c r="I51" s="158">
        <f>VLOOKUP(A51,ПТО!$A$2:$D$31,3,FALSE)</f>
        <v>1</v>
      </c>
      <c r="J51" s="158"/>
      <c r="K51" s="109"/>
      <c r="L51" s="174"/>
      <c r="M51" s="116"/>
      <c r="N51" s="109"/>
      <c r="O51" s="23" t="str">
        <f t="shared" si="1"/>
        <v>Приобретение и замена обратного клапана в ИТП.</v>
      </c>
      <c r="R51" s="22" t="s">
        <v>72</v>
      </c>
    </row>
    <row r="52" spans="1:18" ht="51" customHeight="1" outlineLevel="1">
      <c r="A52" s="157" t="str">
        <f>ПТО!A11</f>
        <v>Замена прибора учета ХВС.</v>
      </c>
      <c r="B52" s="157"/>
      <c r="C52" s="157"/>
      <c r="D52" s="157"/>
      <c r="E52" s="157"/>
      <c r="F52" s="162">
        <f>VLOOKUP(A52,ПТО!$A$2:$D$31,4,FALSE)</f>
        <v>1419.18</v>
      </c>
      <c r="G52" s="162"/>
      <c r="H52" s="25" t="str">
        <f>VLOOKUP(A52,ПТО!$A$2:$D$31,2,FALSE)</f>
        <v>разово</v>
      </c>
      <c r="I52" s="158">
        <f>VLOOKUP(A52,ПТО!$A$2:$D$31,3,FALSE)</f>
        <v>1</v>
      </c>
      <c r="J52" s="158"/>
      <c r="K52" s="109"/>
      <c r="L52" s="174"/>
      <c r="M52" s="116"/>
      <c r="N52" s="109"/>
      <c r="O52" s="23" t="str">
        <f t="shared" si="1"/>
        <v>Замена прибора учета ХВС.</v>
      </c>
      <c r="R52" s="22" t="s">
        <v>72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9"/>
      <c r="L53" s="174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9"/>
      <c r="L54" s="174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9"/>
      <c r="L55" s="174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9"/>
      <c r="L56" s="174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9"/>
      <c r="L57" s="174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9"/>
      <c r="L58" s="174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9"/>
      <c r="L59" s="174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9"/>
      <c r="L60" s="174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9"/>
      <c r="L61" s="174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9"/>
      <c r="L62" s="174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9"/>
      <c r="L63" s="174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9"/>
      <c r="L64" s="174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9"/>
      <c r="L65" s="174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9"/>
      <c r="L66" s="174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9"/>
      <c r="L67" s="174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9"/>
      <c r="L68" s="174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9"/>
      <c r="L69" s="174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9"/>
      <c r="L70" s="174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6"/>
      <c r="L71" s="174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9"/>
      <c r="L72" s="174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5" t="s">
        <v>27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77"/>
      <c r="M75" s="109"/>
      <c r="N75" s="109"/>
      <c r="O75" s="70" t="s">
        <v>100</v>
      </c>
    </row>
    <row r="76" spans="1:16384" ht="18.75" customHeight="1" outlineLevel="1">
      <c r="A76" s="175" t="s">
        <v>28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77"/>
      <c r="M76" s="109"/>
      <c r="N76" s="109"/>
      <c r="O76" s="70" t="s">
        <v>101</v>
      </c>
    </row>
    <row r="77" spans="1:16384" ht="21.75" customHeight="1" outlineLevel="1">
      <c r="A77" s="175" t="s">
        <v>29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77"/>
      <c r="M77" s="109"/>
      <c r="N77" s="109"/>
      <c r="O77" s="70" t="s">
        <v>102</v>
      </c>
    </row>
    <row r="78" spans="1:16384" ht="18.75" customHeight="1" outlineLevel="1">
      <c r="A78" s="175" t="s">
        <v>30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77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63"/>
      <c r="M81" s="109"/>
      <c r="N81" s="109"/>
      <c r="O81" s="70" t="s">
        <v>104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63"/>
      <c r="M82" s="109"/>
      <c r="N82" s="109"/>
      <c r="O82" s="70" t="s">
        <v>105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10440.66</v>
      </c>
      <c r="K83" s="109"/>
      <c r="L83" s="163"/>
      <c r="M83" s="109"/>
      <c r="N83" s="109"/>
      <c r="O83" s="70" t="s">
        <v>106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63"/>
      <c r="M84" s="109"/>
      <c r="N84" s="109"/>
      <c r="O84" s="70" t="s">
        <v>107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63"/>
      <c r="M85" s="109"/>
      <c r="N85" s="109"/>
      <c r="O85" s="70" t="s">
        <v>108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16114.189999999999</v>
      </c>
      <c r="K86" s="109"/>
      <c r="L86" s="163"/>
      <c r="M86" s="109"/>
      <c r="N86" s="109"/>
      <c r="O86" s="70" t="s">
        <v>109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63"/>
      <c r="M87" s="109"/>
      <c r="N87" s="109"/>
      <c r="O87" s="70" t="s">
        <v>110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63"/>
      <c r="M88" s="109"/>
      <c r="N88" s="109"/>
      <c r="O88" s="70" t="s">
        <v>111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63"/>
      <c r="M89" s="109"/>
      <c r="N89" s="109"/>
      <c r="O89" s="70" t="s">
        <v>112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63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8" t="s">
        <v>48</v>
      </c>
      <c r="B93" s="178"/>
      <c r="C93" s="178"/>
      <c r="D93" s="179" t="s">
        <v>49</v>
      </c>
      <c r="E93" s="179"/>
      <c r="F93" s="10" t="s">
        <v>50</v>
      </c>
      <c r="G93" s="178" t="s">
        <v>51</v>
      </c>
      <c r="H93" s="178"/>
      <c r="I93" s="178"/>
      <c r="J93" s="178"/>
      <c r="K93" s="109"/>
      <c r="L93" s="109"/>
      <c r="M93" s="109"/>
      <c r="N93" s="109"/>
    </row>
    <row r="94" spans="1:15" hidden="1" outlineLevel="1">
      <c r="A94" s="159">
        <f>IF(VLOOKUP("эл",АО,3,FALSE)&gt;0,"Электроснабжение",0)</f>
        <v>0</v>
      </c>
      <c r="B94" s="159"/>
      <c r="C94" s="159"/>
      <c r="D94" s="160">
        <f>IF(VLOOKUP("эл",АО,3,FALSE)&gt;0,VLOOKUP("эл",АО,3,FALSE),0)</f>
        <v>0</v>
      </c>
      <c r="E94" s="160"/>
      <c r="F94" s="13">
        <f>IF(VLOOKUP("эл",АО,3,FALSE)&gt;0,VLOOKUP("эл",АО,4,FALSE),0)</f>
        <v>0</v>
      </c>
      <c r="G94" s="161">
        <f>VLOOKUP("эл",АО,5,FALSE)</f>
        <v>0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hidden="1" outlineLevel="2">
      <c r="A95" s="176">
        <f>IF(VLOOKUP("эл",АО,3,FALSE)&gt;0,VLOOKUP("эл1",АО,2,FALSE),0)</f>
        <v>0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0</v>
      </c>
      <c r="L95" s="164"/>
      <c r="O95" s="1" t="s">
        <v>114</v>
      </c>
    </row>
    <row r="96" spans="1:15" hidden="1" outlineLevel="2">
      <c r="A96" s="176">
        <f>IF(VLOOKUP("эл",АО,3,FALSE)&gt;0,VLOOKUP("эл2",АО,2,FALSE),0)</f>
        <v>0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0</v>
      </c>
      <c r="L96" s="164"/>
      <c r="O96" s="1" t="s">
        <v>115</v>
      </c>
    </row>
    <row r="97" spans="1:15" hidden="1" outlineLevel="2">
      <c r="A97" s="176">
        <f>IF(VLOOKUP("эл",АО,3,FALSE)&gt;0,VLOOKUP("эл3",АО,2,FALSE),0)</f>
        <v>0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64"/>
      <c r="O97" s="1" t="s">
        <v>116</v>
      </c>
    </row>
    <row r="98" spans="1:15" ht="37.5" hidden="1" customHeight="1" outlineLevel="2">
      <c r="A98" s="176">
        <f>IF(VLOOKUP("эл",АО,3,FALSE)&gt;0,VLOOKUP("эл4",АО,2,FALSE),0)</f>
        <v>0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0</v>
      </c>
      <c r="L98" s="164"/>
      <c r="O98" s="1" t="s">
        <v>117</v>
      </c>
    </row>
    <row r="99" spans="1:15" hidden="1" outlineLevel="2">
      <c r="A99" s="176">
        <f>IF(VLOOKUP("эл",АО,3,FALSE)&gt;0,VLOOKUP("эл5",АО,2,FALSE),0)</f>
        <v>0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0</v>
      </c>
      <c r="L99" s="164"/>
      <c r="O99" s="1" t="s">
        <v>118</v>
      </c>
    </row>
    <row r="100" spans="1:15" ht="39" hidden="1" customHeight="1" outlineLevel="2">
      <c r="A100" s="176">
        <f>IF(VLOOKUP("эл",АО,3,FALSE)&gt;0,VLOOKUP("эл6",АО,2,FALSE),0)</f>
        <v>0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119</v>
      </c>
    </row>
    <row r="101" spans="1:15" ht="34.5" hidden="1" customHeight="1" outlineLevel="2">
      <c r="A101" s="176">
        <f>IF(VLOOKUP("эл",АО,3,FALSE)&gt;0,VLOOKUP("эл7",АО,2,FALSE),0)</f>
        <v>0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120</v>
      </c>
    </row>
    <row r="102" spans="1:15" ht="28.5" hidden="1" customHeight="1" outlineLevel="1">
      <c r="A102" s="159">
        <f>IF(VLOOKUP("хвс",АО,3,FALSE)&gt;0,"Холодное водоснабжение",0)</f>
        <v>0</v>
      </c>
      <c r="B102" s="159"/>
      <c r="C102" s="159"/>
      <c r="D102" s="160">
        <f>IF(VLOOKUP("хвс",АО,3,FALSE)&gt;0,VLOOKUP("хвс",АО,3,FALSE),0)</f>
        <v>0</v>
      </c>
      <c r="E102" s="160"/>
      <c r="F102" s="13">
        <f>IF(VLOOKUP("хвс",АО,3,FALSE)&gt;0,VLOOKUP("хвс",АО,4,FALSE),0)</f>
        <v>0</v>
      </c>
      <c r="G102" s="161">
        <f>VLOOKUP("хвс",АО,5,FALSE)</f>
        <v>0</v>
      </c>
      <c r="H102" s="160"/>
      <c r="I102" s="160"/>
      <c r="J102" s="160"/>
      <c r="L102" s="164"/>
    </row>
    <row r="103" spans="1:15" hidden="1" outlineLevel="2">
      <c r="A103" s="176">
        <f t="shared" ref="A103:A109" si="4">IF(VLOOKUP("хвс",АО,3,FALSE)&gt;0,VLOOKUP(O103,АО,2,FALSE),0)</f>
        <v>0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0</v>
      </c>
      <c r="L103" s="164"/>
      <c r="O103" s="1" t="s">
        <v>123</v>
      </c>
    </row>
    <row r="104" spans="1:15" ht="18.75" hidden="1" customHeight="1" outlineLevel="2">
      <c r="A104" s="176">
        <f t="shared" si="4"/>
        <v>0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0</v>
      </c>
      <c r="L104" s="164"/>
      <c r="O104" s="1" t="s">
        <v>124</v>
      </c>
    </row>
    <row r="105" spans="1:15" ht="18.75" hidden="1" customHeight="1" outlineLevel="2">
      <c r="A105" s="176">
        <f t="shared" si="4"/>
        <v>0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125</v>
      </c>
    </row>
    <row r="106" spans="1:15" ht="36.75" hidden="1" customHeight="1" outlineLevel="2">
      <c r="A106" s="176">
        <f t="shared" si="4"/>
        <v>0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0</v>
      </c>
      <c r="L106" s="164"/>
      <c r="O106" s="1" t="s">
        <v>126</v>
      </c>
    </row>
    <row r="107" spans="1:15" ht="18.75" hidden="1" customHeight="1" outlineLevel="2">
      <c r="A107" s="176">
        <f t="shared" si="4"/>
        <v>0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0</v>
      </c>
      <c r="L107" s="164"/>
      <c r="O107" s="1" t="s">
        <v>127</v>
      </c>
    </row>
    <row r="108" spans="1:15" ht="37.5" hidden="1" customHeight="1" outlineLevel="2">
      <c r="A108" s="176">
        <f t="shared" si="4"/>
        <v>0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128</v>
      </c>
    </row>
    <row r="109" spans="1:15" ht="39.75" hidden="1" customHeight="1" outlineLevel="2">
      <c r="A109" s="176">
        <f t="shared" si="4"/>
        <v>0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129</v>
      </c>
    </row>
    <row r="110" spans="1:15" ht="27" hidden="1" customHeight="1" outlineLevel="1">
      <c r="A110" s="159">
        <f>IF(VLOOKUP("воо",АО,3,FALSE)&gt;0,"Водоотведение",0)</f>
        <v>0</v>
      </c>
      <c r="B110" s="159"/>
      <c r="C110" s="159"/>
      <c r="D110" s="160">
        <f>IF(VLOOKUP("воо",АО,3,FALSE)&gt;0,VLOOKUP("воо",АО,3,FALSE),0)</f>
        <v>0</v>
      </c>
      <c r="E110" s="160"/>
      <c r="F110" s="13">
        <f>IF(VLOOKUP("воо",АО,3,FALSE)&gt;0,VLOOKUP("воо",АО,4,FALSE),0)</f>
        <v>0</v>
      </c>
      <c r="G110" s="161">
        <f>VLOOKUP("воо",АО,5,FALSE)</f>
        <v>0</v>
      </c>
      <c r="H110" s="160"/>
      <c r="I110" s="160"/>
      <c r="J110" s="160"/>
      <c r="L110" s="164"/>
    </row>
    <row r="111" spans="1:15" hidden="1" outlineLevel="2">
      <c r="A111" s="155">
        <f t="shared" ref="A111:A117" si="6">IF(VLOOKUP("воо",АО,3,FALSE)&gt;0,VLOOKUP(O111,АО,2,FALSE),0)</f>
        <v>0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0</v>
      </c>
      <c r="L111" s="164"/>
      <c r="O111" s="1" t="s">
        <v>131</v>
      </c>
    </row>
    <row r="112" spans="1:15" ht="18.75" hidden="1" customHeight="1" outlineLevel="2">
      <c r="A112" s="155">
        <f t="shared" si="6"/>
        <v>0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0</v>
      </c>
      <c r="L112" s="164"/>
      <c r="O112" s="1" t="s">
        <v>132</v>
      </c>
    </row>
    <row r="113" spans="1:15" ht="19.5" hidden="1" customHeight="1" outlineLevel="2">
      <c r="A113" s="155">
        <f t="shared" si="6"/>
        <v>0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64"/>
      <c r="O113" s="1" t="s">
        <v>133</v>
      </c>
    </row>
    <row r="114" spans="1:15" ht="33" hidden="1" customHeight="1" outlineLevel="2">
      <c r="A114" s="155">
        <f t="shared" si="6"/>
        <v>0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0</v>
      </c>
      <c r="L114" s="164"/>
      <c r="O114" s="1" t="s">
        <v>134</v>
      </c>
    </row>
    <row r="115" spans="1:15" ht="18.75" hidden="1" customHeight="1" outlineLevel="2">
      <c r="A115" s="155">
        <f t="shared" si="6"/>
        <v>0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0</v>
      </c>
      <c r="L115" s="164"/>
      <c r="O115" s="1" t="s">
        <v>135</v>
      </c>
    </row>
    <row r="116" spans="1:15" ht="33.75" hidden="1" customHeight="1" outlineLevel="2">
      <c r="A116" s="155">
        <f t="shared" si="6"/>
        <v>0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136</v>
      </c>
    </row>
    <row r="117" spans="1:15" ht="32.25" hidden="1" customHeight="1" outlineLevel="2">
      <c r="A117" s="155">
        <f t="shared" si="6"/>
        <v>0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137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60">
        <f>IF(VLOOKUP("тко",АО,3,FALSE)&gt;0,VLOOKUP("тко",АО,3,FALSE),0)</f>
        <v>0</v>
      </c>
      <c r="E118" s="160"/>
      <c r="F118" s="13">
        <f>IF(VLOOKUP("тко",АО,3,FALSE)&gt;0,VLOOKUP("тко",АО,4,FALSE),0)</f>
        <v>0</v>
      </c>
      <c r="G118" s="161">
        <f>VLOOKUP("тко",АО,5,FALSE)</f>
        <v>0</v>
      </c>
      <c r="H118" s="160"/>
      <c r="I118" s="160"/>
      <c r="J118" s="160"/>
      <c r="L118" s="47"/>
    </row>
    <row r="119" spans="1:15" ht="32.25" hidden="1" customHeight="1" outlineLevel="2">
      <c r="A119" s="155">
        <f t="shared" ref="A119:A125" si="8">IF(VLOOKUP("тко",АО,3,FALSE)&gt;0,VLOOKUP(O119,АО,2,FALSE),0)</f>
        <v>0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55">
        <f t="shared" si="8"/>
        <v>0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55">
        <f t="shared" si="8"/>
        <v>0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55">
        <f t="shared" si="8"/>
        <v>0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55">
        <f t="shared" si="8"/>
        <v>0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55">
        <f t="shared" si="8"/>
        <v>0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55">
        <f t="shared" si="8"/>
        <v>0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5" t="s">
        <v>45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171</v>
      </c>
    </row>
    <row r="145" spans="1:15" ht="18.75" customHeight="1" outlineLevel="1">
      <c r="A145" s="155" t="s">
        <v>46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3</v>
      </c>
      <c r="L145" s="15"/>
      <c r="O145" t="s">
        <v>172</v>
      </c>
    </row>
    <row r="146" spans="1:15" ht="30" customHeight="1" outlineLevel="1">
      <c r="A146" s="155" t="s">
        <v>174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173</v>
      </c>
    </row>
    <row r="149" spans="1:15" ht="52.5" customHeight="1">
      <c r="A149" s="180" t="s">
        <v>178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2" t="s">
        <v>199</v>
      </c>
      <c r="B154" s="182"/>
      <c r="C154" s="182"/>
      <c r="D154" s="182"/>
      <c r="E154" s="27">
        <f>ПТО!G1</f>
        <v>120866.01</v>
      </c>
    </row>
    <row r="155" spans="1:15" ht="34.5" customHeight="1">
      <c r="A155" s="181" t="s">
        <v>198</v>
      </c>
      <c r="B155" s="181"/>
      <c r="C155" s="181"/>
      <c r="D155" s="181"/>
      <c r="E155" s="28">
        <f>J13</f>
        <v>242208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57</v>
      </c>
      <c r="I157" s="165" t="s">
        <v>21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охранной сигнализации.</v>
      </c>
      <c r="B159" s="157"/>
      <c r="C159" s="157"/>
      <c r="D159" s="157"/>
      <c r="E159" s="157"/>
      <c r="F159" s="162">
        <f t="shared" si="15"/>
        <v>18000</v>
      </c>
      <c r="G159" s="162"/>
      <c r="H159" s="24" t="str">
        <f t="shared" si="16"/>
        <v>ежемесячно</v>
      </c>
      <c r="I159" s="158">
        <f t="shared" si="17"/>
        <v>12</v>
      </c>
      <c r="J159" s="158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7" t="str">
        <f t="shared" si="14"/>
        <v>Диспетчеризация откатных ворот.</v>
      </c>
      <c r="B160" s="157"/>
      <c r="C160" s="157"/>
      <c r="D160" s="157"/>
      <c r="E160" s="157"/>
      <c r="F160" s="162">
        <f t="shared" si="15"/>
        <v>30000</v>
      </c>
      <c r="G160" s="162"/>
      <c r="H160" s="24" t="str">
        <f t="shared" si="16"/>
        <v>ежемесячно</v>
      </c>
      <c r="I160" s="158">
        <f t="shared" si="17"/>
        <v>12</v>
      </c>
      <c r="J160" s="158"/>
      <c r="M160" s="22" t="s">
        <v>72</v>
      </c>
      <c r="N160" s="1" t="str">
        <v>Диспетчеризация откатных ворот.</v>
      </c>
    </row>
    <row r="161" spans="1:14" ht="28.5" customHeight="1">
      <c r="A161" s="157" t="str">
        <f>IF(N161&gt;0,N161,0)</f>
        <v>Механизированная уборка наледи с проезжей части двора.</v>
      </c>
      <c r="B161" s="157"/>
      <c r="C161" s="157"/>
      <c r="D161" s="157"/>
      <c r="E161" s="157"/>
      <c r="F161" s="162">
        <f t="shared" si="15"/>
        <v>3000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72</v>
      </c>
      <c r="N161" s="1" t="str">
        <v>Механизированная уборка наледи с проезжей части двора.</v>
      </c>
    </row>
    <row r="162" spans="1:14" ht="28.5" customHeight="1">
      <c r="A162" s="157" t="str">
        <f t="shared" si="14"/>
        <v>Установка фотоэлементов на откатные ворота.</v>
      </c>
      <c r="B162" s="157"/>
      <c r="C162" s="157"/>
      <c r="D162" s="157"/>
      <c r="E162" s="157"/>
      <c r="F162" s="162">
        <f t="shared" si="15"/>
        <v>1800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72</v>
      </c>
      <c r="N162" s="1" t="str">
        <v>Установка фотоэлементов на откатные ворота.</v>
      </c>
    </row>
    <row r="163" spans="1:14" ht="28.5" customHeight="1">
      <c r="A163" s="157" t="str">
        <f t="shared" si="14"/>
        <v>Ремонт ворот (замена блока питания).</v>
      </c>
      <c r="B163" s="157"/>
      <c r="C163" s="157"/>
      <c r="D163" s="157"/>
      <c r="E163" s="157"/>
      <c r="F163" s="162">
        <f t="shared" si="15"/>
        <v>14000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72</v>
      </c>
      <c r="N163" s="1" t="str">
        <v>Ремонт ворот (замена блока питания).</v>
      </c>
    </row>
    <row r="164" spans="1:14" ht="28.5" customHeight="1">
      <c r="A164" s="157" t="str">
        <f t="shared" ref="A164:A187" si="18">IF(N164&gt;0,N164,0)</f>
        <v>Ремонт кровли (приобретение ленты-герметика).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2141</v>
      </c>
      <c r="G164" s="162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72</v>
      </c>
      <c r="N164" s="1" t="str">
        <v>Ремонт кровли (приобретение ленты-герметика).</v>
      </c>
    </row>
    <row r="165" spans="1:14" ht="28.5" customHeight="1">
      <c r="A165" s="157" t="str">
        <f t="shared" si="18"/>
        <v>Диагностика автоматики откатных ворот.</v>
      </c>
      <c r="B165" s="157"/>
      <c r="C165" s="157"/>
      <c r="D165" s="157"/>
      <c r="E165" s="157"/>
      <c r="F165" s="162">
        <f t="shared" si="19"/>
        <v>1500</v>
      </c>
      <c r="G165" s="162"/>
      <c r="H165" s="29" t="str">
        <f t="shared" si="16"/>
        <v>разово</v>
      </c>
      <c r="I165" s="158">
        <f t="shared" si="20"/>
        <v>1</v>
      </c>
      <c r="J165" s="158"/>
      <c r="M165" s="22" t="s">
        <v>72</v>
      </c>
      <c r="N165" s="1" t="str">
        <v>Диагностика автоматики откатных ворот.</v>
      </c>
    </row>
    <row r="166" spans="1:14" ht="28.5" customHeight="1">
      <c r="A166" s="157" t="str">
        <f t="shared" si="18"/>
        <v>Приобретение и замена обратного клапана в ИТП.</v>
      </c>
      <c r="B166" s="157"/>
      <c r="C166" s="157"/>
      <c r="D166" s="157"/>
      <c r="E166" s="157"/>
      <c r="F166" s="162">
        <f t="shared" si="19"/>
        <v>1003.55</v>
      </c>
      <c r="G166" s="162"/>
      <c r="H166" s="29" t="str">
        <f t="shared" si="16"/>
        <v>разово</v>
      </c>
      <c r="I166" s="158">
        <f t="shared" si="20"/>
        <v>1</v>
      </c>
      <c r="J166" s="158"/>
      <c r="M166" s="22" t="s">
        <v>72</v>
      </c>
      <c r="N166" s="1" t="str">
        <v>Приобретение и замена обратного клапана в ИТП.</v>
      </c>
    </row>
    <row r="167" spans="1:14" ht="28.5" customHeight="1">
      <c r="A167" s="157" t="str">
        <f t="shared" si="18"/>
        <v>Замена прибора учета ХВС.</v>
      </c>
      <c r="B167" s="157"/>
      <c r="C167" s="157"/>
      <c r="D167" s="157"/>
      <c r="E167" s="157"/>
      <c r="F167" s="162">
        <f t="shared" si="19"/>
        <v>1419.18</v>
      </c>
      <c r="G167" s="162"/>
      <c r="H167" s="29" t="str">
        <f t="shared" si="16"/>
        <v>разово</v>
      </c>
      <c r="I167" s="158">
        <f t="shared" si="20"/>
        <v>1</v>
      </c>
      <c r="J167" s="158"/>
      <c r="M167" s="22" t="s">
        <v>72</v>
      </c>
      <c r="N167" s="1" t="str">
        <v>Замена прибора учета ХВС.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72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72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72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72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72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72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72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72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72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72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72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72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72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72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72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72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72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72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72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2" t="s">
        <v>197</v>
      </c>
      <c r="B190" s="182"/>
      <c r="C190" s="182"/>
      <c r="D190" s="182"/>
      <c r="E190" s="27">
        <f>SUM(F158:G187)</f>
        <v>80963.73</v>
      </c>
    </row>
    <row r="191" spans="1:14" ht="51.75" customHeight="1">
      <c r="A191" s="182" t="s">
        <v>196</v>
      </c>
      <c r="B191" s="182"/>
      <c r="C191" s="182"/>
      <c r="D191" s="182"/>
      <c r="E191" s="27">
        <f>E190+E154-E155</f>
        <v>-40378.260000000009</v>
      </c>
    </row>
    <row r="192" spans="1:14">
      <c r="A192" s="104" t="s">
        <v>175</v>
      </c>
    </row>
    <row r="193" spans="1:10" ht="62.25" customHeight="1">
      <c r="A193" s="156" t="s">
        <v>195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9">
        <f>ПТО!G12</f>
        <v>1200</v>
      </c>
      <c r="I194" s="50" t="s">
        <v>75</v>
      </c>
    </row>
    <row r="195" spans="1:10" ht="18.75" customHeight="1">
      <c r="A195" s="154" t="str">
        <f>ПТО!F13</f>
        <v xml:space="preserve">  -  техническое освидетельствование лифта</v>
      </c>
      <c r="B195" s="154"/>
      <c r="C195" s="154"/>
      <c r="D195" s="154"/>
      <c r="E195" s="154"/>
      <c r="F195" s="154"/>
      <c r="G195" s="154"/>
      <c r="H195" s="49">
        <f>ПТО!G13</f>
        <v>8100</v>
      </c>
      <c r="I195" s="50" t="s">
        <v>75</v>
      </c>
    </row>
    <row r="196" spans="1:10" ht="18.75" customHeight="1">
      <c r="A196" s="154" t="str">
        <f>ПТО!F14</f>
        <v xml:space="preserve">  -  техническое обслуживание охранной сигнализации</v>
      </c>
      <c r="B196" s="154"/>
      <c r="C196" s="154"/>
      <c r="D196" s="154"/>
      <c r="E196" s="154"/>
      <c r="F196" s="154"/>
      <c r="G196" s="154"/>
      <c r="H196" s="49">
        <f>ПТО!G14</f>
        <v>18000</v>
      </c>
      <c r="I196" s="50" t="s">
        <v>75</v>
      </c>
    </row>
    <row r="197" spans="1:10" ht="18.75" customHeight="1">
      <c r="A197" s="154" t="str">
        <f>ПТО!F15</f>
        <v xml:space="preserve">  -  ремонт подъезда</v>
      </c>
      <c r="B197" s="154"/>
      <c r="C197" s="154"/>
      <c r="D197" s="154"/>
      <c r="E197" s="154"/>
      <c r="F197" s="154"/>
      <c r="G197" s="154"/>
      <c r="H197" s="49">
        <f>ПТО!G15</f>
        <v>550000</v>
      </c>
      <c r="I197" s="50" t="s">
        <v>75</v>
      </c>
    </row>
    <row r="198" spans="1:10" ht="18.75" hidden="1" customHeight="1">
      <c r="A198" s="154">
        <f>ПТО!F16</f>
        <v>0</v>
      </c>
      <c r="B198" s="154"/>
      <c r="C198" s="154"/>
      <c r="D198" s="154"/>
      <c r="E198" s="154"/>
      <c r="F198" s="154"/>
      <c r="G198" s="154"/>
      <c r="H198" s="49">
        <f>ПТО!G16</f>
        <v>0</v>
      </c>
      <c r="I198" s="52" t="s">
        <v>75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49">
        <f>ПТО!G17</f>
        <v>0</v>
      </c>
      <c r="I199" s="50" t="s">
        <v>75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9">
        <f>ПТО!G18</f>
        <v>0</v>
      </c>
      <c r="I200" s="50" t="s">
        <v>75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9">
        <f>ПТО!G19</f>
        <v>0</v>
      </c>
      <c r="I201" s="50" t="s">
        <v>75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9">
        <f>ПТО!G20</f>
        <v>0</v>
      </c>
      <c r="I202" s="50" t="s">
        <v>75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9">
        <f>ПТО!G21</f>
        <v>0</v>
      </c>
      <c r="I203" s="50" t="s">
        <v>75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9">
        <f>ПТО!G22</f>
        <v>0</v>
      </c>
      <c r="I204" s="50" t="s">
        <v>75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9">
        <f>ПТО!G23</f>
        <v>0</v>
      </c>
      <c r="I205" s="50" t="s">
        <v>75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9">
        <f>ПТО!G24</f>
        <v>0</v>
      </c>
      <c r="I206" s="50" t="s">
        <v>75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9">
        <f>ПТО!G25</f>
        <v>0</v>
      </c>
      <c r="I207" s="50" t="s">
        <v>75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9">
        <f>ПТО!G26</f>
        <v>0</v>
      </c>
      <c r="I208" s="50" t="s">
        <v>75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9">
        <f>ПТО!G27</f>
        <v>0</v>
      </c>
      <c r="I209" s="50" t="s">
        <v>75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9">
        <f>ПТО!G28</f>
        <v>0</v>
      </c>
      <c r="I210" s="50" t="s">
        <v>75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9">
        <f>ПТО!G29</f>
        <v>0</v>
      </c>
      <c r="I211" s="50" t="s">
        <v>75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9">
        <f>ПТО!G30</f>
        <v>0</v>
      </c>
      <c r="I212" s="50" t="s">
        <v>75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577300</v>
      </c>
      <c r="I214" s="56" t="s">
        <v>78</v>
      </c>
    </row>
  </sheetData>
  <sheetProtection algorithmName="SHA-512" hashValue="ktOgMZX8YLySiQMKxCYXzx9nJIwpVcFlFxZmuTO554yU0xOtoVB/Ro8LvN//DjklVYZPfk/cukcmwn5nm2P8VA==" saltValue="Z3a0/HdJCQcrGRMoWT0LL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4" sqref="A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120866.01</f>
        <v>120866.01</v>
      </c>
    </row>
    <row r="2" spans="1:12" ht="18.75" customHeight="1">
      <c r="A2" s="126" t="s">
        <v>73</v>
      </c>
      <c r="B2" s="128" t="s">
        <v>181</v>
      </c>
      <c r="C2" s="128">
        <v>1</v>
      </c>
      <c r="D2" s="118">
        <v>8100</v>
      </c>
      <c r="E2" s="132" t="s">
        <v>208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184</v>
      </c>
      <c r="B3" s="128" t="s">
        <v>179</v>
      </c>
      <c r="C3" s="128">
        <v>12</v>
      </c>
      <c r="D3" s="118">
        <v>18000</v>
      </c>
      <c r="E3" s="132" t="s">
        <v>215</v>
      </c>
      <c r="F3" s="30"/>
      <c r="G3" s="30"/>
      <c r="L3" s="33" t="str">
        <f t="shared" si="0"/>
        <v>ТР</v>
      </c>
    </row>
    <row r="4" spans="1:12" ht="18.75" customHeight="1">
      <c r="A4" s="153" t="s">
        <v>186</v>
      </c>
      <c r="B4" s="128" t="s">
        <v>179</v>
      </c>
      <c r="C4" s="122">
        <v>12</v>
      </c>
      <c r="D4" s="118">
        <v>30000</v>
      </c>
      <c r="E4" s="132" t="s">
        <v>216</v>
      </c>
      <c r="F4" s="30"/>
      <c r="G4" s="30"/>
      <c r="L4" s="33" t="str">
        <f t="shared" si="0"/>
        <v>ТР</v>
      </c>
    </row>
    <row r="5" spans="1:12" ht="18.75" customHeight="1">
      <c r="A5" s="138" t="s">
        <v>200</v>
      </c>
      <c r="B5" s="125" t="s">
        <v>180</v>
      </c>
      <c r="C5" s="122">
        <v>1</v>
      </c>
      <c r="D5" s="118">
        <v>3000</v>
      </c>
      <c r="E5" s="132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202</v>
      </c>
      <c r="B6" s="139" t="s">
        <v>180</v>
      </c>
      <c r="C6" s="122">
        <v>1</v>
      </c>
      <c r="D6" s="118">
        <v>1800</v>
      </c>
      <c r="E6" s="132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204</v>
      </c>
      <c r="B7" s="141" t="s">
        <v>180</v>
      </c>
      <c r="C7" s="122">
        <v>1</v>
      </c>
      <c r="D7" s="118">
        <v>14000</v>
      </c>
      <c r="E7" s="132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43" t="s">
        <v>207</v>
      </c>
      <c r="B8" s="142" t="s">
        <v>180</v>
      </c>
      <c r="C8" s="122">
        <v>1</v>
      </c>
      <c r="D8" s="118">
        <v>2141</v>
      </c>
      <c r="E8" s="132" t="s">
        <v>206</v>
      </c>
      <c r="F8" s="45"/>
      <c r="G8" s="45"/>
      <c r="K8" s="43"/>
      <c r="L8" s="33" t="str">
        <f t="shared" si="0"/>
        <v>ТР</v>
      </c>
    </row>
    <row r="9" spans="1:12">
      <c r="A9" s="144" t="s">
        <v>209</v>
      </c>
      <c r="B9" s="142" t="s">
        <v>180</v>
      </c>
      <c r="C9" s="122">
        <v>1</v>
      </c>
      <c r="D9" s="118">
        <v>1500</v>
      </c>
      <c r="E9" s="132" t="s">
        <v>210</v>
      </c>
      <c r="F9" s="44"/>
      <c r="G9" s="44"/>
      <c r="K9" s="43"/>
      <c r="L9" s="33" t="str">
        <f t="shared" si="0"/>
        <v>ТР</v>
      </c>
    </row>
    <row r="10" spans="1:12">
      <c r="A10" s="146" t="s">
        <v>213</v>
      </c>
      <c r="B10" s="147" t="s">
        <v>180</v>
      </c>
      <c r="C10" s="147">
        <v>1</v>
      </c>
      <c r="D10" s="123">
        <v>1003.55</v>
      </c>
      <c r="E10" s="148" t="s">
        <v>212</v>
      </c>
      <c r="F10" s="123"/>
      <c r="L10" s="33" t="str">
        <f t="shared" si="0"/>
        <v>ТР</v>
      </c>
    </row>
    <row r="11" spans="1:12" ht="94.5">
      <c r="A11" s="149" t="s">
        <v>211</v>
      </c>
      <c r="B11" s="147" t="s">
        <v>180</v>
      </c>
      <c r="C11" s="150">
        <v>1</v>
      </c>
      <c r="D11" s="151">
        <v>1419.18</v>
      </c>
      <c r="E11" s="152" t="s">
        <v>214</v>
      </c>
      <c r="F11" s="111" t="s">
        <v>195</v>
      </c>
      <c r="G11" s="111"/>
      <c r="L11" s="33" t="str">
        <f t="shared" si="0"/>
        <v>ТР</v>
      </c>
    </row>
    <row r="12" spans="1:12" ht="31.5">
      <c r="A12" s="145"/>
      <c r="B12" s="142"/>
      <c r="C12" s="122"/>
      <c r="D12" s="118"/>
      <c r="E12" s="132"/>
      <c r="F12" s="112" t="s">
        <v>74</v>
      </c>
      <c r="G12" s="113">
        <v>1200</v>
      </c>
      <c r="L12" s="33">
        <f t="shared" si="0"/>
        <v>0</v>
      </c>
    </row>
    <row r="13" spans="1:12" ht="31.5">
      <c r="A13" s="145"/>
      <c r="B13" s="142"/>
      <c r="C13" s="122"/>
      <c r="D13" s="118"/>
      <c r="E13" s="132"/>
      <c r="F13" s="112" t="s">
        <v>76</v>
      </c>
      <c r="G13" s="113">
        <v>8100</v>
      </c>
      <c r="L13" s="33">
        <f t="shared" si="0"/>
        <v>0</v>
      </c>
    </row>
    <row r="14" spans="1:12" ht="31.5">
      <c r="A14" s="126"/>
      <c r="B14" s="127"/>
      <c r="C14" s="128"/>
      <c r="D14" s="129"/>
      <c r="E14" s="132"/>
      <c r="F14" s="112" t="s">
        <v>185</v>
      </c>
      <c r="G14" s="113">
        <v>18000</v>
      </c>
      <c r="L14" s="33">
        <f t="shared" si="0"/>
        <v>0</v>
      </c>
    </row>
    <row r="15" spans="1:12" ht="15.75">
      <c r="A15" s="130"/>
      <c r="B15" s="131"/>
      <c r="C15" s="124"/>
      <c r="D15" s="43"/>
      <c r="E15" s="123"/>
      <c r="F15" s="112" t="s">
        <v>194</v>
      </c>
      <c r="G15" s="113">
        <v>550000</v>
      </c>
      <c r="L15" s="33">
        <f t="shared" si="0"/>
        <v>0</v>
      </c>
    </row>
    <row r="16" spans="1:12" ht="15.75">
      <c r="A16" s="133"/>
      <c r="B16" s="127"/>
      <c r="C16" s="128"/>
      <c r="D16" s="129"/>
      <c r="E16" s="132"/>
      <c r="F16" s="112"/>
      <c r="G16" s="113"/>
      <c r="L16" s="33">
        <f t="shared" si="0"/>
        <v>0</v>
      </c>
    </row>
    <row r="17" spans="1:12" ht="15.75">
      <c r="A17" s="126"/>
      <c r="B17" s="127"/>
      <c r="C17" s="128"/>
      <c r="D17" s="129"/>
      <c r="E17" s="132"/>
      <c r="F17" s="112"/>
      <c r="G17" s="114"/>
      <c r="L17" s="33">
        <f t="shared" si="0"/>
        <v>0</v>
      </c>
    </row>
    <row r="18" spans="1:12" ht="15.75">
      <c r="A18" s="30"/>
      <c r="F18" s="121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37">
        <f>4.33*D39*'Абонентский отдел'!F1</f>
        <v>104876.06400000001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104876.06400000001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f>2.2*D39*'Абонентский отдел'!F1</f>
        <v>53285.760000000009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53285.760000000009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1.72*D39*'Абонентский отдел'!F1</f>
        <v>41659.776000000005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41659.776000000005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1.2*D39*'Абонентский отдел'!F1</f>
        <v>29064.959999999999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29064.959999999999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0.4*D39*'Абонентский отдел'!F1</f>
        <v>9688.3200000000015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9688.3200000000015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2.45*D39*'Абонентский отдел'!F1</f>
        <v>59340.960000000006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59340.960000000006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34"/>
      <c r="C47" s="135"/>
      <c r="D47" s="48"/>
      <c r="E47" s="134">
        <v>738.5</v>
      </c>
      <c r="F47" s="134">
        <v>449.2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187</v>
      </c>
      <c r="F52" s="136" t="s">
        <v>188</v>
      </c>
      <c r="G52" s="136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34">
        <v>2048.4</v>
      </c>
      <c r="G53" s="136">
        <v>3.48</v>
      </c>
      <c r="H53" s="136">
        <f>G53*E47/F53</f>
        <v>1.2546280023432923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190</v>
      </c>
      <c r="G54" s="136" t="s">
        <v>191</v>
      </c>
      <c r="H54" s="136">
        <f>H53*G56</f>
        <v>121.07160222612771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96.5</v>
      </c>
      <c r="H56" s="136"/>
    </row>
    <row r="57" spans="5:16">
      <c r="E57" s="136"/>
      <c r="F57" s="136"/>
      <c r="G57" s="136"/>
      <c r="H57" s="136"/>
    </row>
    <row r="58" spans="5:16">
      <c r="E58" s="136" t="s">
        <v>192</v>
      </c>
      <c r="F58" s="136"/>
      <c r="G58" s="136"/>
      <c r="H58" s="136"/>
    </row>
    <row r="59" spans="5:16">
      <c r="E59" s="136">
        <v>0.59599999999999997</v>
      </c>
      <c r="F59" s="134">
        <v>2048.4</v>
      </c>
      <c r="G59" s="136">
        <v>7.4999999999999997E-2</v>
      </c>
      <c r="H59" s="136">
        <f>G59*F47</f>
        <v>33.69</v>
      </c>
    </row>
    <row r="60" spans="5:16">
      <c r="E60" s="136"/>
      <c r="F60" s="136" t="s">
        <v>190</v>
      </c>
      <c r="G60" s="136" t="s">
        <v>191</v>
      </c>
      <c r="H60" s="136">
        <f>H59/F59</f>
        <v>1.6446983011130636E-2</v>
      </c>
    </row>
    <row r="61" spans="5:16">
      <c r="E61" s="136"/>
      <c r="F61" s="136">
        <v>12.94</v>
      </c>
      <c r="G61" s="136">
        <v>13.45</v>
      </c>
      <c r="H61" s="136">
        <f>H60*G56</f>
        <v>1.5871338605741063</v>
      </c>
    </row>
    <row r="62" spans="5:16">
      <c r="E62" s="136" t="s">
        <v>193</v>
      </c>
      <c r="F62" s="136"/>
      <c r="G62" s="136"/>
      <c r="H62" s="136"/>
    </row>
    <row r="63" spans="5:16">
      <c r="E63" s="136">
        <v>0.59599999999999997</v>
      </c>
      <c r="F63" s="134">
        <v>2048.4</v>
      </c>
      <c r="G63" s="136">
        <v>7.4999999999999997E-2</v>
      </c>
      <c r="H63" s="136">
        <f>G63*F47</f>
        <v>33.69</v>
      </c>
    </row>
    <row r="64" spans="5:16">
      <c r="E64" s="136"/>
      <c r="F64" s="136" t="s">
        <v>190</v>
      </c>
      <c r="G64" s="136" t="s">
        <v>191</v>
      </c>
      <c r="H64" s="136">
        <f>H63/F63</f>
        <v>1.6446983011130636E-2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1.5871338605741063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uvSqtO94YBKTdxwU8OftEurIPRJHKtMwE3kWD7iORMb7s8MGTGaGIXe176xnwcQN4mbCPGR5yuXOZC446TVWA==" saltValue="zXDGi7D9C3slGK1uUs9B3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6" sqref="E1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2018.4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119">
        <v>10</v>
      </c>
      <c r="F2" s="120" t="s">
        <v>183</v>
      </c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692169.53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637007.04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12.3*12*F1</f>
        <v>297915.84000000008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F1*10*12</f>
        <v>242208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f>4*12*F1</f>
        <v>96883.200000000012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600591.6100000001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600591.6100000001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600591.6100000001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728584.96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106</v>
      </c>
      <c r="B27" s="75" t="s">
        <v>4</v>
      </c>
      <c r="C27" s="86">
        <v>10440.66</v>
      </c>
      <c r="D27" s="81" t="s">
        <v>60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109</v>
      </c>
      <c r="B30" s="75" t="s">
        <v>18</v>
      </c>
      <c r="C30" s="86">
        <f>C27+5673.53</f>
        <v>16114.189999999999</v>
      </c>
      <c r="D30" s="81" t="s">
        <v>66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122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168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123</v>
      </c>
      <c r="B46" s="78" t="s">
        <v>37</v>
      </c>
      <c r="C46" s="90"/>
      <c r="D46" s="94" t="s">
        <v>169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124</v>
      </c>
      <c r="B47" s="78" t="s">
        <v>38</v>
      </c>
      <c r="C47" s="91"/>
      <c r="D47" s="94" t="s">
        <v>167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130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168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131</v>
      </c>
      <c r="B54" s="75" t="s">
        <v>37</v>
      </c>
      <c r="C54" s="98"/>
      <c r="D54" s="94" t="s">
        <v>169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132</v>
      </c>
      <c r="B55" s="75" t="s">
        <v>38</v>
      </c>
      <c r="C55" s="86"/>
      <c r="D55" s="94" t="s">
        <v>167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2023-03-30T08:29:58Z</dcterms:modified>
</cp:coreProperties>
</file>