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F94" i="1"/>
  <c r="K94" i="1"/>
  <c r="A117" i="1" l="1"/>
  <c r="A119" i="1"/>
  <c r="F110" i="1"/>
  <c r="A105" i="1"/>
  <c r="F102" i="1"/>
  <c r="D110" i="1"/>
  <c r="A116" i="1"/>
  <c r="A112" i="1"/>
  <c r="A113" i="1"/>
  <c r="A114" i="1"/>
  <c r="A122" i="1"/>
  <c r="A118" i="1"/>
  <c r="A123" i="1"/>
  <c r="A141" i="1"/>
  <c r="F134" i="1"/>
  <c r="A97" i="1"/>
  <c r="D118" i="1"/>
  <c r="A120" i="1"/>
  <c r="A124" i="1"/>
  <c r="A101" i="1"/>
  <c r="F118" i="1"/>
  <c r="A121" i="1"/>
  <c r="A137" i="1"/>
  <c r="A110" i="1"/>
  <c r="A111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0" i="1"/>
  <c r="A16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7" i="1"/>
  <c r="F174" i="1"/>
  <c r="H169" i="1"/>
  <c r="F169" i="1"/>
  <c r="F166" i="1"/>
  <c r="H168" i="1"/>
  <c r="H186" i="1"/>
  <c r="H174" i="1"/>
  <c r="F183" i="1"/>
  <c r="F179" i="1"/>
  <c r="H183" i="1"/>
  <c r="F177" i="1"/>
  <c r="H167" i="1"/>
  <c r="F167" i="1"/>
  <c r="F168" i="1"/>
  <c r="H173" i="1"/>
  <c r="F165" i="1"/>
  <c r="H175" i="1"/>
  <c r="H184" i="1"/>
  <c r="F164" i="1"/>
  <c r="H166" i="1"/>
  <c r="H180" i="1"/>
  <c r="H172" i="1"/>
  <c r="F172" i="1"/>
  <c r="F170" i="1"/>
  <c r="H176" i="1"/>
  <c r="H170" i="1"/>
  <c r="F178" i="1"/>
  <c r="H178" i="1"/>
  <c r="H164" i="1"/>
  <c r="F180" i="1"/>
  <c r="F176" i="1"/>
  <c r="F185" i="1"/>
  <c r="F175" i="1"/>
  <c r="H165" i="1"/>
  <c r="F184" i="1"/>
  <c r="F186" i="1"/>
  <c r="H17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<sst xmlns="http://schemas.openxmlformats.org/spreadsheetml/2006/main" count="560" uniqueCount="210">
  <si>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</si>
  <si>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</si>
  <si>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</si>
  <si>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</si>
  <si>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</si>
  <si>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</si>
  <si>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</si>
  <si>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</si>
  <si>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</si>
  <si>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</si>
  <si>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</si>
  <si>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</si>
  <si>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</si>
  <si>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</si>
  <si>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</si>
  <si>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</si>
  <si>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</si>
  <si>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</si>
  <si>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</si>
  <si>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</si>
  <si>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</si>
  <si>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</si>
  <si>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</si>
  <si>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</si>
  <si>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</si>
  <si>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</si>
  <si>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</si>
  <si>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</si>
  <si>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</si>
  <si>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</si>
  <si>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</si>
  <si>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</si>
  <si>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</si>
  <si>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</si>
  <si>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</si>
  <si>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</si>
  <si>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</si>
  <si>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</si>
  <si>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</si>
  <si>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</si>
  <si>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</si>
  <si>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</si>
  <si>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</si>
  <si>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</si>
  <si>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</si>
  <si>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</si>
  <si>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</si>
  <si>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</si>
  <si>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</si>
  <si>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</si>
  <si>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</si>
  <si>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</si>
  <si>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</si>
  <si>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</si>
  <si>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</si>
  <si>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</si>
  <si>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</si>
  <si>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</si>
  <si>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</si>
  <si>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</si>
  <si>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</si>
  <si>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</si>
  <si>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</si>
  <si>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</si>
  <si>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</si>
  <si>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</si>
  <si>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</si>
  <si>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</si>
  <si>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</si>
  <si>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</si>
  <si>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</si>
  <si>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</si>
  <si>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</si>
  <si>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</si>
  <si>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</si>
  <si>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</si>
  <si>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</si>
  <si>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</si>
  <si>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</si>
  <si>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</si>
  <si>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</si>
  <si>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</si>
  <si>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</si>
  <si>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</si>
  <si>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</si>
  <si>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</si>
  <si>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</si>
  <si>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</si>
  <si>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</si>
  <si>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</si>
  <si>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</si>
  <si>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</si>
  <si>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</si>
  <si>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</si>
  <si>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</si>
  <si>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</si>
  <si>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</si>
  <si>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</si>
  <si>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</si>
  <si>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</si>
  <si>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</si>
  <si>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</si>
  <si>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</si>
  <si>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</si>
  <si>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</si>
  <si>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</si>
  <si>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</si>
  <si>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</si>
  <si>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</si>
  <si>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</si>
  <si>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</si>
  <si>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</si>
  <si>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</si>
  <si>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</si>
  <si>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</si>
  <si>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</si>
  <si>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</si>
  <si>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</si>
  <si>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</si>
  <si>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</si>
  <si>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</si>
  <si>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</si>
  <si>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</si>
  <si>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</si>
  <si>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</si>
  <si>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</si>
  <si>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</si>
  <si>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</si>
  <si>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</si>
  <si>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</si>
  <si>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</si>
  <si>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</si>
  <si>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</si>
  <si>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</si>
  <si>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</si>
  <si>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</si>
  <si>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</si>
  <si>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</si>
  <si>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</si>
  <si>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</si>
  <si>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</si>
  <si>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</si>
  <si>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</si>
  <si>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</si>
  <si>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</si>
  <si>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</si>
  <si>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</si>
  <si>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</si>
  <si>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</si>
  <si>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</si>
  <si>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</si>
  <si>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</si>
  <si>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</si>
  <si>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</si>
  <si>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</si>
  <si>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</si>
  <si>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</si>
  <si>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</si>
  <si>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</si>
  <si>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</si>
  <si>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</si>
  <si>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</si>
  <si>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</si>
  <si>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</si>
  <si>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</si>
  <si>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</si>
  <si>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</si>
  <si>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</si>
  <si>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</si>
  <si>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</si>
  <si>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</si>
  <si>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</si>
  <si>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</si>
  <si>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</si>
  <si>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</si>
  <si>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</si>
  <si>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12/1</t>
  </si>
  <si>
    <t>Отчет об исполнении договора управления многоквартирного дома 
Мамина-Сибиряка, 12/1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</si>
  <si>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</si>
  <si>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</si>
  <si>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</si>
  <si>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</si>
  <si>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</si>
  <si>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</si>
  <si>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</si>
  <si>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</si>
  <si>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</si>
  <si>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</si>
  <si>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</si>
  <si>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</si>
  <si>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</si>
  <si>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</si>
  <si>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платы управления для пассажирского лифта.</t>
  </si>
  <si>
    <t>Замена процессора для платы управления пассажирского лифта.</t>
  </si>
  <si>
    <t>АВР 2/23 от 12.04.2023, Решение, счет №31 от 09.03.2023</t>
  </si>
  <si>
    <t>АВР 3/23 от 12.04.2023, Решение, счет №32 от 10.03.2023</t>
  </si>
  <si>
    <t>АВР 1/23  от 20.02.2023, Решение</t>
  </si>
  <si>
    <t>Комплексная диагностика системы видеонаблюдения.</t>
  </si>
  <si>
    <t>лифты и охрана</t>
  </si>
  <si>
    <t>в содержании с 01.02.2024 Протокол 1 от 17.01.2024</t>
  </si>
  <si>
    <t>АВР 4/23 от 02.10.2023, Решение, счет №83 от 02.10.2023, акт</t>
  </si>
  <si>
    <t>АВР 5/23 от 29.04.2023, Решение</t>
  </si>
  <si>
    <t>АВР 6/23 от 31.12.2023, Решение</t>
  </si>
  <si>
    <t>тариф 5 руб</t>
  </si>
  <si>
    <t>с 01.02.2024 Протокол 1 от 17.01.2024</t>
  </si>
  <si>
    <t>в содержании с 01.02.2024</t>
  </si>
  <si>
    <t xml:space="preserve">  -  ремонт подъезда (1 этаж)</t>
  </si>
  <si>
    <t xml:space="preserve">  -  укладка грязезащитного покрытия в кабину лифта</t>
  </si>
  <si>
    <t xml:space="preserve">  -  укладка грязезащитного покрытия в тамбур</t>
  </si>
  <si>
    <t xml:space="preserve">  -  проведение ремонта асфальтного покрытия на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</si>
</sst>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86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0" fillId="0" borderId="0" xfId="0" applyNumberFormat="1" applyFill="1" applyBorder="1" applyAlignment="1"/>
    <xf numFmtId="0" fontId="0" fillId="0" borderId="0" xfId="0" applyBorder="1"/>
    <xf numFmtId="0" fontId="0" fillId="0" borderId="0" xfId="0" applyFill="1"/>
    <xf numFmtId="49" fontId="16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25" fillId="3" borderId="0" xfId="11" applyNumberFormat="1" applyFont="1" applyFill="1" applyBorder="1" applyAlignment="1">
      <alignment horizontal="left" vertical="center" wrapText="1"/>
    </xf>
    <xf numFmtId="4" fontId="15" fillId="0" borderId="0" xfId="1" applyNumberFormat="1" applyFont="1" applyBorder="1" applyAlignment="1" applyProtection="1">
      <alignment horizontal="center" vertical="center" wrapText="1"/>
      <protection locked="0"/>
    </xf>
    <xf numFmtId="4" fontId="15" fillId="0" borderId="0" xfId="0" applyNumberFormat="1" applyFont="1" applyFill="1" applyBorder="1"/>
    <xf numFmtId="0" fontId="3" fillId="0" borderId="0" xfId="15" applyFont="1" applyFill="1" applyBorder="1" applyAlignment="1"/>
    <xf numFmtId="0" fontId="3" fillId="0" borderId="0" xfId="15" applyFont="1" applyFill="1" applyBorder="1" applyAlignment="1">
      <alignment horizontal="center"/>
    </xf>
    <xf numFmtId="0" fontId="23" fillId="0" borderId="0" xfId="15" applyNumberFormat="1" applyFont="1" applyFill="1" applyBorder="1" applyAlignment="1">
      <alignment horizontal="center" vertical="center"/>
    </xf>
    <xf numFmtId="4" fontId="4" fillId="0" borderId="0" xfId="15" applyNumberFormat="1" applyFill="1" applyBorder="1" applyAlignment="1"/>
    <xf numFmtId="0" fontId="2" fillId="0" borderId="0" xfId="15" applyFont="1" applyFill="1" applyBorder="1"/>
    <xf numFmtId="0" fontId="3" fillId="0" borderId="0" xfId="4" applyFont="1" applyFill="1" applyBorder="1" applyAlignment="1">
      <alignment horizontal="center"/>
    </xf>
    <xf numFmtId="0" fontId="10" fillId="0" borderId="0" xfId="4" applyFill="1" applyBorder="1" applyAlignment="1">
      <alignment horizontal="center"/>
    </xf>
    <xf numFmtId="0" fontId="4" fillId="0" borderId="0" xfId="15" applyFont="1" applyFill="1" applyBorder="1" applyAlignment="1"/>
    <xf numFmtId="0" fontId="4" fillId="0" borderId="0" xfId="15" applyFont="1" applyFill="1" applyBorder="1" applyAlignment="1">
      <alignment horizontal="center"/>
    </xf>
    <xf numFmtId="0" fontId="15" fillId="6" borderId="0" xfId="0" applyFont="1" applyFill="1" applyBorder="1" applyAlignment="1" applyProtection="1">
      <alignment wrapText="1"/>
      <protection locked="0"/>
    </xf>
    <xf numFmtId="0" fontId="15" fillId="4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8" fillId="0" borderId="0" xfId="5" applyFill="1" applyBorder="1" applyAlignment="1"/>
    <xf numFmtId="0" fontId="8" fillId="0" borderId="0" xfId="5" applyFill="1" applyBorder="1" applyAlignment="1">
      <alignment horizontal="center"/>
    </xf>
    <xf numFmtId="4" fontId="23" fillId="0" borderId="0" xfId="5" applyNumberFormat="1" applyFont="1" applyFill="1" applyBorder="1" applyAlignment="1"/>
    <xf numFmtId="0" fontId="0" fillId="0" borderId="0" xfId="0" applyFill="1" applyBorder="1"/>
    <xf numFmtId="0" fontId="6" fillId="0" borderId="0" xfId="5" applyFont="1" applyFill="1" applyBorder="1" applyAlignment="1"/>
    <xf numFmtId="0" fontId="8" fillId="0" borderId="0" xfId="5" applyNumberFormat="1" applyFill="1" applyBorder="1" applyAlignment="1">
      <alignment horizontal="center"/>
    </xf>
    <xf numFmtId="4" fontId="8" fillId="0" borderId="0" xfId="5" applyNumberFormat="1" applyFill="1" applyBorder="1" applyAlignment="1">
      <alignment vertical="center"/>
    </xf>
    <xf numFmtId="0" fontId="23" fillId="6" borderId="0" xfId="2" applyFont="1" applyFill="1" applyBorder="1" applyAlignment="1"/>
    <xf numFmtId="0" fontId="11" fillId="6" borderId="0" xfId="2" applyFill="1" applyBorder="1" applyAlignment="1"/>
    <xf numFmtId="0" fontId="16" fillId="0" borderId="0" xfId="0" applyFont="1" applyBorder="1" applyAlignment="1">
      <alignment wrapText="1"/>
    </xf>
    <xf numFmtId="0" fontId="1" fillId="0" borderId="0" xfId="10" applyFont="1" applyFill="1" applyBorder="1" applyAlignment="1"/>
    <xf numFmtId="0" fontId="7" fillId="0" borderId="0" xfId="10" applyFont="1" applyFill="1" applyBorder="1" applyAlignment="1">
      <alignment horizontal="center"/>
    </xf>
    <xf numFmtId="1" fontId="7" fillId="0" borderId="0" xfId="10" applyNumberFormat="1" applyFill="1" applyBorder="1" applyAlignment="1">
      <alignment horizontal="center"/>
    </xf>
    <xf numFmtId="4" fontId="7" fillId="0" borderId="0" xfId="10" applyNumberFormat="1" applyFill="1" applyBorder="1" applyAlignment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6"/>
    <cellStyle name="Обычный 2 4" xfId="12"/>
    <cellStyle name="Обычный 2 5" xfId="11"/>
    <cellStyle name="Обычный 2 5 2" xfId="17"/>
    <cellStyle name="Обычный 3" xfId="2"/>
    <cellStyle name="Обычный 3 2" xfId="7"/>
    <cellStyle name="Обычный 3 3" xfId="13"/>
    <cellStyle name="Обычный 4" xfId="4"/>
    <cellStyle name="Обычный 4 2" xfId="8"/>
    <cellStyle name="Обычный 4 3" xfId="14"/>
    <cellStyle name="Обычный 5" xfId="5"/>
    <cellStyle name="Обычный 5 2" xfId="10"/>
    <cellStyle name="Обычный 5 3" xfId="9"/>
    <cellStyle name="Обычный 5 4" xfId="15"/>
    <cellStyle name="Обычный 6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" sqref="K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2" t="s">
        <v>176</v>
      </c>
      <c r="B2" s="172"/>
      <c r="C2" s="172"/>
      <c r="D2" s="172"/>
      <c r="E2" s="172"/>
      <c r="F2" s="172"/>
      <c r="G2" s="172"/>
      <c r="H2" s="172"/>
      <c r="I2" s="172"/>
      <c r="J2" s="172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182</v>
      </c>
      <c r="E4" s="117">
        <v>44927</v>
      </c>
      <c r="K4" s="110"/>
      <c r="L4" s="110"/>
      <c r="M4" s="110"/>
      <c r="N4" s="110"/>
    </row>
    <row r="5" spans="1:18">
      <c r="A5" s="1" t="s">
        <v>0</v>
      </c>
      <c r="E5" s="117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6" t="s">
        <v>1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10"/>
      <c r="L8" s="173"/>
      <c r="M8" s="110"/>
      <c r="N8" s="110"/>
      <c r="O8" s="70" t="s">
        <v>81</v>
      </c>
      <c r="R8" s="16"/>
    </row>
    <row r="9" spans="1:18" ht="18.75" customHeight="1" outlineLevel="1">
      <c r="A9" s="166" t="s">
        <v>2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10"/>
      <c r="L9" s="173"/>
      <c r="M9" s="110"/>
      <c r="N9" s="110"/>
      <c r="O9" s="70" t="s">
        <v>82</v>
      </c>
    </row>
    <row r="10" spans="1:18" ht="18.75" customHeight="1" outlineLevel="1">
      <c r="A10" s="166" t="s">
        <v>3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90175.039999999994</v>
      </c>
      <c r="K10" s="110"/>
      <c r="L10" s="173"/>
      <c r="M10" s="110"/>
      <c r="N10" s="110"/>
      <c r="O10" s="70" t="s">
        <v>83</v>
      </c>
    </row>
    <row r="11" spans="1:18" outlineLevel="1">
      <c r="A11" s="166" t="s">
        <v>4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451277.95200000005</v>
      </c>
      <c r="K11" s="110"/>
      <c r="L11" s="173"/>
      <c r="M11" s="110"/>
      <c r="N11" s="110"/>
      <c r="O11" s="70" t="s">
        <v>84</v>
      </c>
    </row>
    <row r="12" spans="1:18" ht="18.75" customHeight="1" outlineLevel="1">
      <c r="A12" s="166" t="s">
        <v>5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344804.28</v>
      </c>
      <c r="K12" s="110"/>
      <c r="L12" s="173"/>
      <c r="M12" s="110"/>
      <c r="N12" s="110"/>
      <c r="O12" s="70" t="s">
        <v>85</v>
      </c>
    </row>
    <row r="13" spans="1:18" ht="18.75" customHeight="1" outlineLevel="1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106473.67200000001</v>
      </c>
      <c r="K13" s="110"/>
      <c r="L13" s="173"/>
      <c r="M13" s="110"/>
      <c r="N13" s="110"/>
      <c r="O13" s="70" t="s">
        <v>86</v>
      </c>
    </row>
    <row r="14" spans="1:18" ht="18.75" customHeight="1" outlineLevel="1">
      <c r="A14" s="166" t="s">
        <v>7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10"/>
      <c r="L14" s="173"/>
      <c r="M14" s="110"/>
      <c r="N14" s="110"/>
      <c r="O14" s="70" t="s">
        <v>87</v>
      </c>
    </row>
    <row r="15" spans="1:18" ht="18.75" customHeight="1" outlineLevel="1">
      <c r="A15" s="166" t="s">
        <v>8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451385.14</v>
      </c>
      <c r="K15" s="110"/>
      <c r="L15" s="173"/>
      <c r="M15" s="110"/>
      <c r="N15" s="110"/>
      <c r="O15" s="70" t="s">
        <v>88</v>
      </c>
    </row>
    <row r="16" spans="1:18" ht="18.75" customHeight="1" outlineLevel="1">
      <c r="A16" s="166" t="s">
        <v>9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451385.14</v>
      </c>
      <c r="K16" s="110"/>
      <c r="L16" s="173"/>
      <c r="M16" s="110"/>
      <c r="N16" s="110"/>
      <c r="O16" s="70" t="s">
        <v>89</v>
      </c>
    </row>
    <row r="17" spans="1:23" ht="18.75" customHeight="1" outlineLevel="1">
      <c r="A17" s="166" t="s">
        <v>10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10"/>
      <c r="L17" s="173"/>
      <c r="M17" s="110"/>
      <c r="N17" s="110"/>
      <c r="O17" s="70" t="s">
        <v>90</v>
      </c>
    </row>
    <row r="18" spans="1:23" ht="18.75" customHeight="1" outlineLevel="1">
      <c r="A18" s="166" t="s">
        <v>11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10"/>
      <c r="L18" s="173"/>
      <c r="M18" s="110"/>
      <c r="N18" s="110"/>
      <c r="O18" s="70" t="s">
        <v>91</v>
      </c>
    </row>
    <row r="19" spans="1:23" ht="18.75" customHeight="1" outlineLevel="1">
      <c r="A19" s="166" t="s">
        <v>12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10"/>
      <c r="L19" s="173"/>
      <c r="M19" s="110"/>
      <c r="N19" s="110"/>
      <c r="O19" s="70" t="s">
        <v>92</v>
      </c>
    </row>
    <row r="20" spans="1:23" ht="18.75" customHeight="1" outlineLevel="1">
      <c r="A20" s="166" t="s">
        <v>13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10"/>
      <c r="L20" s="173"/>
      <c r="M20" s="110"/>
      <c r="N20" s="110"/>
      <c r="O20" s="70" t="s">
        <v>93</v>
      </c>
    </row>
    <row r="21" spans="1:23" ht="18.75" customHeight="1" outlineLevel="1">
      <c r="A21" s="166" t="s">
        <v>14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451385.14</v>
      </c>
      <c r="K21" s="110"/>
      <c r="L21" s="173"/>
      <c r="M21" s="110"/>
      <c r="N21" s="110"/>
      <c r="O21" s="70" t="s">
        <v>94</v>
      </c>
    </row>
    <row r="22" spans="1:23" ht="18.75" customHeight="1" outlineLevel="1">
      <c r="A22" s="166" t="s">
        <v>15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10"/>
      <c r="L22" s="173"/>
      <c r="M22" s="110"/>
      <c r="N22" s="110"/>
      <c r="O22" s="70" t="s">
        <v>95</v>
      </c>
    </row>
    <row r="23" spans="1:23" ht="18.75" customHeight="1" outlineLevel="1">
      <c r="A23" s="166" t="s">
        <v>16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10"/>
      <c r="L23" s="173"/>
      <c r="M23" s="110"/>
      <c r="N23" s="110"/>
      <c r="O23" s="70" t="s">
        <v>96</v>
      </c>
    </row>
    <row r="24" spans="1:23" ht="18.75" customHeight="1" outlineLevel="1">
      <c r="A24" s="166" t="s">
        <v>17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90067.852000000072</v>
      </c>
      <c r="K24" s="110"/>
      <c r="L24" s="173"/>
      <c r="M24" s="110"/>
      <c r="N24" s="110"/>
      <c r="O24" s="70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65" t="s">
        <v>18</v>
      </c>
      <c r="B27" s="165"/>
      <c r="C27" s="165"/>
      <c r="D27" s="165"/>
      <c r="E27" s="165"/>
      <c r="F27" s="165" t="s">
        <v>19</v>
      </c>
      <c r="G27" s="165"/>
      <c r="H27" s="5" t="s">
        <v>56</v>
      </c>
      <c r="I27" s="165" t="s">
        <v>20</v>
      </c>
      <c r="J27" s="165"/>
      <c r="K27" s="110"/>
      <c r="L27" s="174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79069.08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10"/>
      <c r="L28" s="174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7"/>
      <c r="C29" s="157"/>
      <c r="D29" s="157"/>
      <c r="E29" s="157"/>
      <c r="F29" s="162">
        <f>VLOOKUP(A29,ПТО!$A$39:$D$53,2,FALSE)</f>
        <v>89626.559999999998</v>
      </c>
      <c r="G29" s="162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10"/>
      <c r="L29" s="174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62">
        <f>VLOOKUP(A30,ПТО!$A$39:$D$53,2,FALSE)</f>
        <v>35940.479999999996</v>
      </c>
      <c r="G30" s="162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10"/>
      <c r="L30" s="174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26955.360000000001</v>
      </c>
      <c r="G31" s="162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10"/>
      <c r="L31" s="174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10"/>
      <c r="L32" s="174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8985.119999999999</v>
      </c>
      <c r="G33" s="162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10"/>
      <c r="L33" s="174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50316.72</v>
      </c>
      <c r="G34" s="162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10"/>
      <c r="L34" s="174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Работы по содержанию лифта (лифтов)</v>
      </c>
      <c r="B35" s="157"/>
      <c r="C35" s="157"/>
      <c r="D35" s="157"/>
      <c r="E35" s="157"/>
      <c r="F35" s="162">
        <f>VLOOKUP(A35,ПТО!$A$39:$D$53,2,FALSE)</f>
        <v>53910.720000000001</v>
      </c>
      <c r="G35" s="162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10"/>
      <c r="L35" s="174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62" t="e">
        <f>VLOOKUP(A36,ПТО!$A$39:$D$53,2,FALSE)</f>
        <v>#N/A</v>
      </c>
      <c r="G36" s="162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10"/>
      <c r="L36" s="174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10"/>
      <c r="L37" s="174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10"/>
      <c r="L38" s="174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10"/>
      <c r="L39" s="174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10"/>
      <c r="L40" s="174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10"/>
      <c r="L41" s="174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10"/>
      <c r="L42" s="174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10"/>
      <c r="L43" s="174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7" t="str">
        <f>ПТО!A3</f>
        <v>Техническое обслуживание охранной сигнализации.</v>
      </c>
      <c r="B44" s="157"/>
      <c r="C44" s="157"/>
      <c r="D44" s="157"/>
      <c r="E44" s="157"/>
      <c r="F44" s="162">
        <f>VLOOKUP(A44,ПТО!$A$2:$D$31,4,FALSE)</f>
        <v>9450</v>
      </c>
      <c r="G44" s="162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10"/>
      <c r="L44" s="174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7" t="str">
        <f>ПТО!A4</f>
        <v>Механизированная уборка и вывоз снега с придомовой территории.</v>
      </c>
      <c r="B45" s="157"/>
      <c r="C45" s="157"/>
      <c r="D45" s="157"/>
      <c r="E45" s="157"/>
      <c r="F45" s="162">
        <f>VLOOKUP(A45,ПТО!$A$2:$D$31,4,FALSE)</f>
        <v>23167</v>
      </c>
      <c r="G45" s="162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10"/>
      <c r="L45" s="174"/>
      <c r="M45" s="116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7" t="str">
        <f>ПТО!A5</f>
        <v>Замена платы управления для пассажирского лифта.</v>
      </c>
      <c r="B46" s="157"/>
      <c r="C46" s="157"/>
      <c r="D46" s="157"/>
      <c r="E46" s="157"/>
      <c r="F46" s="162">
        <f>VLOOKUP(A46,ПТО!$A$2:$D$31,4,FALSE)</f>
        <v>19800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10"/>
      <c r="L46" s="174"/>
      <c r="M46" s="116"/>
      <c r="N46" s="110"/>
      <c r="O46" s="23" t="str">
        <f t="shared" si="1"/>
        <v>Замена платы управления для пассажирского лифта.</v>
      </c>
      <c r="R46" s="22" t="s">
        <v>71</v>
      </c>
    </row>
    <row r="47" spans="1:18" ht="51" customHeight="1" outlineLevel="1">
      <c r="A47" s="157" t="str">
        <f>ПТО!A6</f>
        <v>Замена процессора для платы управления пассажирского лифта.</v>
      </c>
      <c r="B47" s="157"/>
      <c r="C47" s="157"/>
      <c r="D47" s="157"/>
      <c r="E47" s="157"/>
      <c r="F47" s="162">
        <f>VLOOKUP(A47,ПТО!$A$2:$D$31,4,FALSE)</f>
        <v>7200</v>
      </c>
      <c r="G47" s="162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10"/>
      <c r="L47" s="174"/>
      <c r="M47" s="116"/>
      <c r="N47" s="110"/>
      <c r="O47" s="23" t="str">
        <f t="shared" si="1"/>
        <v>Замена процессора для платы управления пассажирского лифта.</v>
      </c>
      <c r="R47" s="22" t="s">
        <v>71</v>
      </c>
    </row>
    <row r="48" spans="1:18" ht="51" customHeight="1" outlineLevel="1">
      <c r="A48" s="157" t="str">
        <f>ПТО!A7</f>
        <v>Комплексная диагностика системы видеонаблюдения.</v>
      </c>
      <c r="B48" s="157"/>
      <c r="C48" s="157"/>
      <c r="D48" s="157"/>
      <c r="E48" s="157"/>
      <c r="F48" s="162">
        <f>VLOOKUP(A48,ПТО!$A$2:$D$31,4,FALSE)</f>
        <v>2800</v>
      </c>
      <c r="G48" s="162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10"/>
      <c r="L48" s="174"/>
      <c r="M48" s="116"/>
      <c r="N48" s="110"/>
      <c r="O48" s="23" t="str">
        <f t="shared" si="1"/>
        <v>Комплексная диагностика системы видеонаблюдения.</v>
      </c>
      <c r="R48" s="22" t="s">
        <v>71</v>
      </c>
    </row>
    <row r="49" spans="1:18" ht="51" hidden="1" customHeight="1" outlineLevel="1">
      <c r="A49" s="157">
        <f>ПТО!A8</f>
        <v>0</v>
      </c>
      <c r="B49" s="157"/>
      <c r="C49" s="157"/>
      <c r="D49" s="157"/>
      <c r="E49" s="157"/>
      <c r="F49" s="162" t="e">
        <f>VLOOKUP(A49,ПТО!$A$2:$D$31,4,FALSE)</f>
        <v>#N/A</v>
      </c>
      <c r="G49" s="162"/>
      <c r="H49" s="25" t="e">
        <f>VLOOKUP(A49,ПТО!$A$2:$D$31,2,FALSE)</f>
        <v>#N/A</v>
      </c>
      <c r="I49" s="158" t="e">
        <f>VLOOKUP(A49,ПТО!$A$2:$D$31,3,FALSE)</f>
        <v>#N/A</v>
      </c>
      <c r="J49" s="158"/>
      <c r="K49" s="110"/>
      <c r="L49" s="174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10"/>
      <c r="L50" s="174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10"/>
      <c r="L51" s="174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10"/>
      <c r="L52" s="174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10"/>
      <c r="L53" s="174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10"/>
      <c r="L54" s="174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10"/>
      <c r="L55" s="174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10"/>
      <c r="L56" s="174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10"/>
      <c r="L57" s="174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10"/>
      <c r="L58" s="174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10"/>
      <c r="L59" s="174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10"/>
      <c r="L60" s="174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10"/>
      <c r="L61" s="174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10"/>
      <c r="L62" s="174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10"/>
      <c r="L63" s="174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10"/>
      <c r="L64" s="174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10"/>
      <c r="L65" s="174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10"/>
      <c r="L66" s="174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10"/>
      <c r="L67" s="174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10"/>
      <c r="L68" s="174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10"/>
      <c r="L69" s="174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10"/>
      <c r="L70" s="174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6"/>
      <c r="L71" s="174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10"/>
      <c r="L72" s="174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10"/>
      <c r="L75" s="177"/>
      <c r="M75" s="110"/>
      <c r="N75" s="110"/>
      <c r="O75" s="70" t="s">
        <v>98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10"/>
      <c r="L76" s="177"/>
      <c r="M76" s="110"/>
      <c r="N76" s="110"/>
      <c r="O76" s="70" t="s">
        <v>99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10"/>
      <c r="L77" s="177"/>
      <c r="M77" s="110"/>
      <c r="N77" s="110"/>
      <c r="O77" s="70" t="s">
        <v>100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10"/>
      <c r="L78" s="177"/>
      <c r="M78" s="110"/>
      <c r="N78" s="110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5" t="s">
        <v>1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10"/>
      <c r="L81" s="163"/>
      <c r="M81" s="110"/>
      <c r="N81" s="110"/>
      <c r="O81" s="70" t="s">
        <v>102</v>
      </c>
    </row>
    <row r="82" spans="1:15" outlineLevel="1">
      <c r="A82" s="155" t="s">
        <v>2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10"/>
      <c r="L82" s="163"/>
      <c r="M82" s="110"/>
      <c r="N82" s="110"/>
      <c r="O82" s="70" t="s">
        <v>103</v>
      </c>
    </row>
    <row r="83" spans="1:15" outlineLevel="1">
      <c r="A83" s="169" t="s">
        <v>3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46719.42</v>
      </c>
      <c r="K83" s="110"/>
      <c r="L83" s="163"/>
      <c r="M83" s="110"/>
      <c r="N83" s="110"/>
      <c r="O83" s="70" t="s">
        <v>104</v>
      </c>
    </row>
    <row r="84" spans="1:15" outlineLevel="1">
      <c r="A84" s="169" t="s">
        <v>15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10"/>
      <c r="L84" s="163"/>
      <c r="M84" s="110"/>
      <c r="N84" s="110"/>
      <c r="O84" s="70" t="s">
        <v>105</v>
      </c>
    </row>
    <row r="85" spans="1:15" outlineLevel="1">
      <c r="A85" s="169" t="s">
        <v>16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10"/>
      <c r="L85" s="163"/>
      <c r="M85" s="110"/>
      <c r="N85" s="110"/>
      <c r="O85" s="70" t="s">
        <v>106</v>
      </c>
    </row>
    <row r="86" spans="1:15" outlineLevel="1">
      <c r="A86" s="169" t="s">
        <v>17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45791.040000000001</v>
      </c>
      <c r="K86" s="110"/>
      <c r="L86" s="163"/>
      <c r="M86" s="110"/>
      <c r="N86" s="110"/>
      <c r="O86" s="70" t="s">
        <v>107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10"/>
      <c r="L87" s="163"/>
      <c r="M87" s="110"/>
      <c r="N87" s="110"/>
      <c r="O87" s="70" t="s">
        <v>108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10"/>
      <c r="L88" s="163"/>
      <c r="M88" s="110"/>
      <c r="N88" s="110"/>
      <c r="O88" s="70" t="s">
        <v>109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10"/>
      <c r="L89" s="163"/>
      <c r="M89" s="110"/>
      <c r="N89" s="110"/>
      <c r="O89" s="70" t="s">
        <v>110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10"/>
      <c r="L90" s="163"/>
      <c r="M90" s="110"/>
      <c r="N90" s="110"/>
      <c r="O90" s="70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78" t="s">
        <v>47</v>
      </c>
      <c r="B93" s="178"/>
      <c r="C93" s="178"/>
      <c r="D93" s="179" t="s">
        <v>48</v>
      </c>
      <c r="E93" s="179"/>
      <c r="F93" s="10" t="s">
        <v>49</v>
      </c>
      <c r="G93" s="178" t="s">
        <v>50</v>
      </c>
      <c r="H93" s="178"/>
      <c r="I93" s="178"/>
      <c r="J93" s="178"/>
      <c r="K93" s="110"/>
      <c r="L93" s="110"/>
      <c r="M93" s="110"/>
      <c r="N93" s="110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61">
        <f>VLOOKUP("эл",АО,5,FALSE)</f>
        <v>169456.08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124600.06</v>
      </c>
      <c r="L95" s="164"/>
      <c r="O95" s="1" t="s">
        <v>112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170320.4</v>
      </c>
      <c r="L96" s="164"/>
      <c r="O96" s="1" t="s">
        <v>113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64"/>
      <c r="O97" s="1" t="s">
        <v>114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169456.08</v>
      </c>
      <c r="L98" s="164"/>
      <c r="O98" s="1" t="s">
        <v>115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169456.08</v>
      </c>
      <c r="L99" s="164"/>
      <c r="O99" s="1" t="s">
        <v>116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117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118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61">
        <f>VLOOKUP("хвс",АО,5,FALSE)</f>
        <v>91458.82</v>
      </c>
      <c r="H102" s="160"/>
      <c r="I102" s="160"/>
      <c r="J102" s="160"/>
      <c r="L102" s="164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6277.2</v>
      </c>
      <c r="L103" s="164"/>
      <c r="O103" s="1" t="s">
        <v>121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91503.84</v>
      </c>
      <c r="L104" s="164"/>
      <c r="O104" s="1" t="s">
        <v>122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64"/>
      <c r="O105" s="1" t="s">
        <v>123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91458.82</v>
      </c>
      <c r="L106" s="164"/>
      <c r="O106" s="1" t="s">
        <v>124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91458.82</v>
      </c>
      <c r="L107" s="164"/>
      <c r="O107" s="1" t="s">
        <v>125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126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127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61">
        <f>VLOOKUP("воо",АО,5,FALSE)</f>
        <v>110873.13</v>
      </c>
      <c r="H110" s="160"/>
      <c r="I110" s="160"/>
      <c r="J110" s="160"/>
      <c r="L110" s="164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69260.479999999996</v>
      </c>
      <c r="L111" s="164"/>
      <c r="O111" s="1" t="s">
        <v>129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110943.05</v>
      </c>
      <c r="L112" s="164"/>
      <c r="O112" s="1" t="s">
        <v>130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0</v>
      </c>
      <c r="L113" s="164"/>
      <c r="O113" s="1" t="s">
        <v>131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110873.13</v>
      </c>
      <c r="L114" s="164"/>
      <c r="O114" s="1" t="s">
        <v>132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110873.13</v>
      </c>
      <c r="L115" s="164"/>
      <c r="O115" s="1" t="s">
        <v>133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134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135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61">
        <f>VLOOKUP("тко",АО,5,FALSE)</f>
        <v>89682.84</v>
      </c>
      <c r="H118" s="160"/>
      <c r="I118" s="160"/>
      <c r="J118" s="160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165.96</v>
      </c>
      <c r="L119" s="47"/>
      <c r="O119" s="1" t="s">
        <v>137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89631.96</v>
      </c>
      <c r="L120" s="47"/>
      <c r="O120" s="1" t="s">
        <v>138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50.879999999990105</v>
      </c>
      <c r="L121" s="47"/>
      <c r="O121" s="1" t="s">
        <v>139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89682.84</v>
      </c>
      <c r="L122" s="47"/>
      <c r="O122" s="1" t="s">
        <v>140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89682.84</v>
      </c>
      <c r="L123" s="47"/>
      <c r="O123" s="1" t="s">
        <v>141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61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169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9</v>
      </c>
      <c r="L145" s="15"/>
      <c r="O145" t="s">
        <v>170</v>
      </c>
    </row>
    <row r="146" spans="1:15" ht="30" customHeight="1" outlineLevel="1">
      <c r="A146" s="155" t="s">
        <v>172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68453</v>
      </c>
      <c r="O146" t="s">
        <v>171</v>
      </c>
    </row>
    <row r="149" spans="1:15" ht="52.5" customHeight="1">
      <c r="A149" s="180" t="s">
        <v>177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182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82" t="s">
        <v>191</v>
      </c>
      <c r="B154" s="182"/>
      <c r="C154" s="182"/>
      <c r="D154" s="182"/>
      <c r="E154" s="27">
        <f>ПТО!G1</f>
        <v>-80514.399999999994</v>
      </c>
    </row>
    <row r="155" spans="1:15" ht="34.5" customHeight="1">
      <c r="A155" s="181" t="s">
        <v>190</v>
      </c>
      <c r="B155" s="181"/>
      <c r="C155" s="181"/>
      <c r="D155" s="181"/>
      <c r="E155" s="28">
        <f>J13</f>
        <v>106473.67200000001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18</v>
      </c>
      <c r="B157" s="165"/>
      <c r="C157" s="165"/>
      <c r="D157" s="165"/>
      <c r="E157" s="165"/>
      <c r="F157" s="165" t="s">
        <v>19</v>
      </c>
      <c r="G157" s="165"/>
      <c r="H157" s="20" t="s">
        <v>56</v>
      </c>
      <c r="I157" s="165" t="s">
        <v>20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Техническое обслуживание охранной сигнализации.</v>
      </c>
      <c r="B159" s="157"/>
      <c r="C159" s="157"/>
      <c r="D159" s="157"/>
      <c r="E159" s="157"/>
      <c r="F159" s="162">
        <f t="shared" si="15"/>
        <v>9450</v>
      </c>
      <c r="G159" s="162"/>
      <c r="H159" s="24" t="str">
        <f t="shared" si="16"/>
        <v>ежемесячно</v>
      </c>
      <c r="I159" s="158">
        <f t="shared" si="17"/>
        <v>12</v>
      </c>
      <c r="J159" s="158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7" t="str">
        <f t="shared" si="14"/>
        <v>Механизированная уборка и вывоз снега с придомовой территории.</v>
      </c>
      <c r="B160" s="157"/>
      <c r="C160" s="157"/>
      <c r="D160" s="157"/>
      <c r="E160" s="157"/>
      <c r="F160" s="162">
        <f t="shared" si="15"/>
        <v>23167</v>
      </c>
      <c r="G160" s="162"/>
      <c r="H160" s="24" t="str">
        <f t="shared" si="16"/>
        <v>разово</v>
      </c>
      <c r="I160" s="158">
        <f t="shared" si="17"/>
        <v>1</v>
      </c>
      <c r="J160" s="158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7" t="str">
        <f>IF(N161&gt;0,N161,0)</f>
        <v>Замена платы управления для пассажирского лифта.</v>
      </c>
      <c r="B161" s="157"/>
      <c r="C161" s="157"/>
      <c r="D161" s="157"/>
      <c r="E161" s="157"/>
      <c r="F161" s="162">
        <f t="shared" si="15"/>
        <v>19800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Замена платы управления для пассажирского лифта.</v>
      </c>
    </row>
    <row r="162" spans="1:14" ht="28.5" customHeight="1">
      <c r="A162" s="157" t="str">
        <f t="shared" si="14"/>
        <v>Замена процессора для платы управления пассажирского лифта.</v>
      </c>
      <c r="B162" s="157"/>
      <c r="C162" s="157"/>
      <c r="D162" s="157"/>
      <c r="E162" s="157"/>
      <c r="F162" s="162">
        <f t="shared" si="15"/>
        <v>7200</v>
      </c>
      <c r="G162" s="162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71</v>
      </c>
      <c r="N162" s="1" t="str">
        <v>Замена процессора для платы управления пассажирского лифта.</v>
      </c>
    </row>
    <row r="163" spans="1:14" ht="28.5" customHeight="1">
      <c r="A163" s="157" t="str">
        <f t="shared" si="14"/>
        <v>Комплексная диагностика системы видеонаблюдения.</v>
      </c>
      <c r="B163" s="157"/>
      <c r="C163" s="157"/>
      <c r="D163" s="157"/>
      <c r="E163" s="157"/>
      <c r="F163" s="162">
        <f t="shared" si="15"/>
        <v>2800</v>
      </c>
      <c r="G163" s="162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71</v>
      </c>
      <c r="N163" s="1" t="str">
        <v>Комплексная диагностика системы видеонаблюдения.</v>
      </c>
    </row>
    <row r="164" spans="1:14" ht="28.5" hidden="1" customHeight="1">
      <c r="A164" s="157">
        <f t="shared" ref="A164:A187" si="18">IF(N164&gt;0,N164,0)</f>
        <v>0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0</v>
      </c>
      <c r="G164" s="162"/>
      <c r="H164" s="29" t="e">
        <f t="shared" si="16"/>
        <v>#N/A</v>
      </c>
      <c r="I164" s="158" t="e">
        <f t="shared" ref="I164:I187" si="20">VLOOKUP(A164,$A$28:$J$72,9,FALSE)</f>
        <v>#N/A</v>
      </c>
      <c r="J164" s="158"/>
      <c r="M164" s="22" t="s">
        <v>71</v>
      </c>
      <c r="N164" s="1">
        <v>0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62">
        <f t="shared" si="19"/>
        <v>0</v>
      </c>
      <c r="G165" s="162"/>
      <c r="H165" s="29" t="e">
        <f t="shared" si="16"/>
        <v>#N/A</v>
      </c>
      <c r="I165" s="158" t="e">
        <f t="shared" si="20"/>
        <v>#N/A</v>
      </c>
      <c r="J165" s="158"/>
      <c r="M165" s="22" t="s">
        <v>71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62">
        <f t="shared" si="19"/>
        <v>0</v>
      </c>
      <c r="G166" s="162"/>
      <c r="H166" s="29" t="e">
        <f t="shared" si="16"/>
        <v>#N/A</v>
      </c>
      <c r="I166" s="158" t="e">
        <f t="shared" si="20"/>
        <v>#N/A</v>
      </c>
      <c r="J166" s="158"/>
      <c r="M166" s="22" t="s">
        <v>71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62">
        <f t="shared" si="19"/>
        <v>0</v>
      </c>
      <c r="G167" s="162"/>
      <c r="H167" s="29" t="e">
        <f t="shared" si="16"/>
        <v>#N/A</v>
      </c>
      <c r="I167" s="158" t="e">
        <f t="shared" si="20"/>
        <v>#N/A</v>
      </c>
      <c r="J167" s="158"/>
      <c r="M167" s="22" t="s">
        <v>71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71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71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82" t="s">
        <v>189</v>
      </c>
      <c r="B190" s="182"/>
      <c r="C190" s="182"/>
      <c r="D190" s="182"/>
      <c r="E190" s="27">
        <f>SUM(F158:G187)</f>
        <v>70517</v>
      </c>
    </row>
    <row r="191" spans="1:14" ht="51.75" customHeight="1">
      <c r="A191" s="182" t="s">
        <v>188</v>
      </c>
      <c r="B191" s="182"/>
      <c r="C191" s="182"/>
      <c r="D191" s="182"/>
      <c r="E191" s="27">
        <f>E190+E154-E155</f>
        <v>-116471.072</v>
      </c>
    </row>
    <row r="192" spans="1:14">
      <c r="A192" s="105" t="s">
        <v>173</v>
      </c>
    </row>
    <row r="193" spans="1:10" ht="62.25" customHeight="1">
      <c r="A193" s="156" t="s">
        <v>187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9">
        <f>ПТО!G12</f>
        <v>2000</v>
      </c>
      <c r="I194" s="50" t="s">
        <v>74</v>
      </c>
    </row>
    <row r="195" spans="1:10" ht="18.75" customHeight="1">
      <c r="A195" s="154" t="str">
        <f>ПТО!F13</f>
        <v xml:space="preserve">  -  техническое обслуживание охранной сигнализации</v>
      </c>
      <c r="B195" s="154"/>
      <c r="C195" s="154"/>
      <c r="D195" s="154"/>
      <c r="E195" s="154"/>
      <c r="F195" s="154"/>
      <c r="G195" s="154"/>
      <c r="H195" s="49">
        <f>ПТО!G13</f>
        <v>790</v>
      </c>
      <c r="I195" s="50" t="s">
        <v>74</v>
      </c>
    </row>
    <row r="196" spans="1:10" ht="18.75" customHeight="1">
      <c r="A196" s="154" t="str">
        <f>ПТО!F14</f>
        <v xml:space="preserve">  -  ремонт подъезда (1 этаж)</v>
      </c>
      <c r="B196" s="154"/>
      <c r="C196" s="154"/>
      <c r="D196" s="154"/>
      <c r="E196" s="154"/>
      <c r="F196" s="154"/>
      <c r="G196" s="154"/>
      <c r="H196" s="49">
        <f>ПТО!G14</f>
        <v>200000</v>
      </c>
      <c r="I196" s="50" t="s">
        <v>74</v>
      </c>
    </row>
    <row r="197" spans="1:10" ht="18.75" customHeight="1">
      <c r="A197" s="154" t="str">
        <f>ПТО!F15</f>
        <v xml:space="preserve">  -  укладка грязезащитного покрытия в кабину лифта</v>
      </c>
      <c r="B197" s="154"/>
      <c r="C197" s="154"/>
      <c r="D197" s="154"/>
      <c r="E197" s="154"/>
      <c r="F197" s="154"/>
      <c r="G197" s="154"/>
      <c r="H197" s="49">
        <f>ПТО!G15</f>
        <v>3000</v>
      </c>
      <c r="I197" s="50" t="s">
        <v>74</v>
      </c>
    </row>
    <row r="198" spans="1:10" ht="18.75" customHeight="1">
      <c r="A198" s="154" t="str">
        <f>ПТО!F16</f>
        <v xml:space="preserve">  -  укладка грязезащитного покрытия в тамбур</v>
      </c>
      <c r="B198" s="154"/>
      <c r="C198" s="154"/>
      <c r="D198" s="154"/>
      <c r="E198" s="154"/>
      <c r="F198" s="154"/>
      <c r="G198" s="154"/>
      <c r="H198" s="49">
        <f>ПТО!G16</f>
        <v>3000</v>
      </c>
      <c r="I198" s="52" t="s">
        <v>74</v>
      </c>
    </row>
    <row r="199" spans="1:10" ht="36.75" customHeight="1">
      <c r="A199" s="154" t="str">
        <f>ПТО!F17</f>
        <v xml:space="preserve">  -  механизированная уборка и вывоз снега с придомовой территории</v>
      </c>
      <c r="B199" s="154"/>
      <c r="C199" s="154"/>
      <c r="D199" s="154"/>
      <c r="E199" s="154"/>
      <c r="F199" s="154"/>
      <c r="G199" s="154"/>
      <c r="H199" s="49">
        <f>ПТО!G17</f>
        <v>25000</v>
      </c>
      <c r="I199" s="50" t="s">
        <v>74</v>
      </c>
    </row>
    <row r="200" spans="1:10">
      <c r="A200" s="154" t="str">
        <f>ПТО!F18</f>
        <v xml:space="preserve">  -  проведение ремонта асфальтного покрытия на придомовой территории</v>
      </c>
      <c r="B200" s="154"/>
      <c r="C200" s="154"/>
      <c r="D200" s="154"/>
      <c r="E200" s="154"/>
      <c r="F200" s="154"/>
      <c r="G200" s="154"/>
      <c r="H200" s="49">
        <f>ПТО!G18</f>
        <v>47200</v>
      </c>
      <c r="I200" s="50" t="s">
        <v>74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9">
        <f>ПТО!G19</f>
        <v>0</v>
      </c>
      <c r="I201" s="50" t="s">
        <v>74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9">
        <f>ПТО!G20</f>
        <v>0</v>
      </c>
      <c r="I202" s="50" t="s">
        <v>74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9">
        <f>ПТО!G21</f>
        <v>0</v>
      </c>
      <c r="I203" s="50" t="s">
        <v>74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9">
        <f>ПТО!G22</f>
        <v>0</v>
      </c>
      <c r="I204" s="50" t="s">
        <v>74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9">
        <f>ПТО!G23</f>
        <v>0</v>
      </c>
      <c r="I205" s="50" t="s">
        <v>74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9">
        <f>ПТО!G24</f>
        <v>0</v>
      </c>
      <c r="I206" s="50" t="s">
        <v>74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9">
        <f>ПТО!G25</f>
        <v>0</v>
      </c>
      <c r="I207" s="50" t="s">
        <v>74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9">
        <f>ПТО!G26</f>
        <v>0</v>
      </c>
      <c r="I208" s="50" t="s">
        <v>74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9">
        <f>ПТО!G27</f>
        <v>0</v>
      </c>
      <c r="I209" s="50" t="s">
        <v>74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9">
        <f>ПТО!G28</f>
        <v>0</v>
      </c>
      <c r="I210" s="50" t="s">
        <v>74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9">
        <f>ПТО!G29</f>
        <v>0</v>
      </c>
      <c r="I211" s="50" t="s">
        <v>74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9">
        <f>ПТО!G30</f>
        <v>0</v>
      </c>
      <c r="I212" s="50" t="s">
        <v>74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280990</v>
      </c>
      <c r="I214" s="56" t="s">
        <v>76</v>
      </c>
    </row>
  </sheetData>
  <sheetProtection algorithmName="SHA-512" hashValue="iRrqAzTDJJbxEIGP5tBfxSauN/iqE2sceFAe0BDB+rodqp4cRJF/lZ2z0Ow+LgIOMdxUtvr8uVoti4IsT1n16w==" saltValue="xI6m3mWAmA2DBFoelLTKz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2" sqref="B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191</v>
      </c>
      <c r="G1" s="102">
        <f>-80514.4</f>
        <v>-80514.399999999994</v>
      </c>
    </row>
    <row r="2" spans="1:12" ht="18.75" customHeight="1">
      <c r="A2" s="140" t="s">
        <v>72</v>
      </c>
      <c r="B2" s="141" t="s">
        <v>179</v>
      </c>
      <c r="C2" s="141">
        <v>1</v>
      </c>
      <c r="D2" s="142">
        <v>8100</v>
      </c>
      <c r="E2" s="143" t="s">
        <v>201</v>
      </c>
      <c r="F2" s="147" t="s">
        <v>205</v>
      </c>
      <c r="G2" s="32"/>
      <c r="L2" s="33" t="str">
        <f t="shared" ref="L2:L22" si="0">IF(A2&gt;0,"ТР",0)</f>
        <v>ТР</v>
      </c>
    </row>
    <row r="3" spans="1:12" ht="18.75" customHeight="1">
      <c r="A3" s="144" t="s">
        <v>178</v>
      </c>
      <c r="B3" s="141" t="s">
        <v>180</v>
      </c>
      <c r="C3" s="145">
        <v>12</v>
      </c>
      <c r="D3" s="146">
        <f>1750*12*0.45</f>
        <v>9450</v>
      </c>
      <c r="E3" s="143" t="s">
        <v>202</v>
      </c>
      <c r="F3" s="148" t="s">
        <v>205</v>
      </c>
      <c r="G3" s="30"/>
      <c r="L3" s="33" t="str">
        <f t="shared" si="0"/>
        <v>ТР</v>
      </c>
    </row>
    <row r="4" spans="1:12" ht="18.75" customHeight="1">
      <c r="A4" s="133" t="s">
        <v>185</v>
      </c>
      <c r="B4" s="134" t="s">
        <v>184</v>
      </c>
      <c r="C4" s="128">
        <v>1</v>
      </c>
      <c r="D4" s="118">
        <v>23167</v>
      </c>
      <c r="E4" s="120" t="s">
        <v>196</v>
      </c>
      <c r="F4" s="30"/>
      <c r="G4" s="30"/>
      <c r="L4" s="33" t="str">
        <f t="shared" si="0"/>
        <v>ТР</v>
      </c>
    </row>
    <row r="5" spans="1:12" ht="18.75" customHeight="1">
      <c r="A5" s="126" t="s">
        <v>192</v>
      </c>
      <c r="B5" s="127" t="s">
        <v>184</v>
      </c>
      <c r="C5" s="128">
        <v>1</v>
      </c>
      <c r="D5" s="129">
        <v>19800</v>
      </c>
      <c r="E5" s="130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193</v>
      </c>
      <c r="B6" s="131" t="s">
        <v>184</v>
      </c>
      <c r="C6" s="132">
        <v>1</v>
      </c>
      <c r="D6" s="43">
        <v>7200</v>
      </c>
      <c r="E6" s="44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37" t="s">
        <v>197</v>
      </c>
      <c r="B7" s="138" t="s">
        <v>184</v>
      </c>
      <c r="C7" s="139">
        <v>1</v>
      </c>
      <c r="D7" s="118">
        <v>2800</v>
      </c>
      <c r="E7" s="120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50"/>
      <c r="B8" s="151"/>
      <c r="C8" s="152"/>
      <c r="D8" s="153"/>
      <c r="E8" s="120"/>
      <c r="F8" s="45"/>
      <c r="G8" s="45"/>
      <c r="K8" s="43"/>
      <c r="L8" s="33">
        <f t="shared" si="0"/>
        <v>0</v>
      </c>
    </row>
    <row r="9" spans="1:12">
      <c r="A9" s="98"/>
      <c r="B9" s="119"/>
      <c r="C9" s="119"/>
      <c r="D9" s="46"/>
      <c r="E9" s="119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187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2000</v>
      </c>
      <c r="L12" s="33">
        <f t="shared" si="0"/>
        <v>0</v>
      </c>
    </row>
    <row r="13" spans="1:12" ht="31.5">
      <c r="A13" s="30"/>
      <c r="F13" s="113" t="s">
        <v>183</v>
      </c>
      <c r="G13" s="114">
        <v>790</v>
      </c>
      <c r="L13" s="33">
        <f t="shared" si="0"/>
        <v>0</v>
      </c>
    </row>
    <row r="14" spans="1:12" ht="15.75">
      <c r="A14" s="30"/>
      <c r="F14" s="113" t="s">
        <v>206</v>
      </c>
      <c r="G14" s="114">
        <v>200000</v>
      </c>
      <c r="L14" s="33">
        <f t="shared" si="0"/>
        <v>0</v>
      </c>
    </row>
    <row r="15" spans="1:12" ht="31.5">
      <c r="A15" s="30"/>
      <c r="F15" s="121" t="s">
        <v>207</v>
      </c>
      <c r="G15" s="114">
        <v>3000</v>
      </c>
      <c r="L15" s="33">
        <f t="shared" si="0"/>
        <v>0</v>
      </c>
    </row>
    <row r="16" spans="1:12" ht="31.5">
      <c r="A16" s="30"/>
      <c r="F16" s="121" t="s">
        <v>208</v>
      </c>
      <c r="G16" s="114">
        <v>3000</v>
      </c>
      <c r="L16" s="33">
        <f t="shared" si="0"/>
        <v>0</v>
      </c>
    </row>
    <row r="17" spans="1:12" ht="31.5">
      <c r="A17" s="30"/>
      <c r="F17" s="113" t="s">
        <v>186</v>
      </c>
      <c r="G17" s="125">
        <v>25000</v>
      </c>
      <c r="L17" s="33">
        <f t="shared" si="0"/>
        <v>0</v>
      </c>
    </row>
    <row r="18" spans="1:12" ht="31.5">
      <c r="A18" s="30"/>
      <c r="F18" s="149" t="s">
        <v>209</v>
      </c>
      <c r="G18" s="125">
        <v>47200</v>
      </c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79069.08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79069.08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89626.559999999998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89626.559999999998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35940.479999999996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35940.479999999996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26955.360000000001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26955.360000000001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8985.119999999999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8985.119999999999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50316.72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50316.72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175</v>
      </c>
      <c r="B46" s="38">
        <v>53910.720000000001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53910.720000000001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48"/>
      <c r="E47" s="122">
        <v>577.1</v>
      </c>
      <c r="F47" s="122">
        <v>301.10000000000002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R2C5TY3tBrHDu4UAlF+3CLWIxlODOyYhiZAt0pYATq6IOjiIE2hrkfUjlxSZBewm/z3UssZBeiC0Rp446cRy5g==" saltValue="KWbFU++bl67WwguIYrAKB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1871.9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36" t="s">
        <v>198</v>
      </c>
      <c r="F2" s="135" t="s">
        <v>199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 t="s">
        <v>203</v>
      </c>
      <c r="F3" s="135" t="s">
        <v>204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90175.039999999994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451277.95200000005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344804.28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F1*4.74*12</f>
        <v>106473.67200000001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451385.14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451385.14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451385.14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90067.852000000072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104</v>
      </c>
      <c r="B27" s="75" t="s">
        <v>3</v>
      </c>
      <c r="C27" s="86">
        <v>46719.42</v>
      </c>
      <c r="D27" s="81" t="s">
        <v>59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107</v>
      </c>
      <c r="B30" s="75" t="s">
        <v>17</v>
      </c>
      <c r="C30" s="86">
        <v>45791.040000000001</v>
      </c>
      <c r="D30" s="81" t="s">
        <v>65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169456.08</v>
      </c>
      <c r="F37" s="94" t="s">
        <v>166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124600.06</v>
      </c>
      <c r="D38" s="94" t="s">
        <v>164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170320.4</v>
      </c>
      <c r="D39" s="94" t="s">
        <v>165</v>
      </c>
      <c r="E39" s="124"/>
      <c r="G39" s="67"/>
      <c r="H39" s="67"/>
      <c r="L39" s="63"/>
      <c r="M39" s="183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24"/>
      <c r="G40" s="67"/>
      <c r="H40" s="67"/>
      <c r="L40" s="63"/>
      <c r="M40" s="183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169456.08</v>
      </c>
      <c r="D41" s="80" t="s">
        <v>58</v>
      </c>
      <c r="E41" s="124"/>
      <c r="G41" s="67"/>
      <c r="H41" s="67"/>
      <c r="L41" s="63"/>
      <c r="M41" s="183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169456.08</v>
      </c>
      <c r="D42" s="80" t="s">
        <v>58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91458.82</v>
      </c>
      <c r="F45" s="94" t="s">
        <v>166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6277.2</v>
      </c>
      <c r="D46" s="94" t="s">
        <v>167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91503.84</v>
      </c>
      <c r="D47" s="94" t="s">
        <v>165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91458.82</v>
      </c>
      <c r="D49" s="80" t="s">
        <v>58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91458.82</v>
      </c>
      <c r="D50" s="80" t="s">
        <v>58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110873.13</v>
      </c>
      <c r="F53" s="94" t="s">
        <v>166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129</v>
      </c>
      <c r="B54" s="75" t="s">
        <v>36</v>
      </c>
      <c r="C54" s="99">
        <v>69260.479999999996</v>
      </c>
      <c r="D54" s="94" t="s">
        <v>167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110943.05</v>
      </c>
      <c r="D55" s="94" t="s">
        <v>165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110873.13</v>
      </c>
      <c r="D57" s="80" t="s">
        <v>58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110873.13</v>
      </c>
      <c r="D58" s="80" t="s">
        <v>58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54</v>
      </c>
      <c r="E61" s="95">
        <v>89682.84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9">
        <v>165.96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89631.96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50.879999999990105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89682.84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89682.84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9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9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ld80tEh3cO9BGpi/vJ7IIF3B0+0R+QDFfVyZiHD4r/oMVQVrezYKGYJ0voIr6QUdrRm8lqhynXdGJxzTeWPEaw==" saltValue="Jlm7jlRY2NXYDfT8Qazh4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J8" sqref="J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6"/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6">
        <v>9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7">
        <v>68453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2024-03-28T05:22:55Z</dcterms:modified>
</cp:coreProperties>
</file>