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externalReferences>
    <externalReference r:id="rId5"/>
  </externalReference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5" i="2" l="1"/>
  <c r="C7" i="3" l="1"/>
  <c r="B46" i="2" l="1"/>
  <c r="B45" i="2"/>
  <c r="B44" i="2"/>
  <c r="B42" i="2"/>
  <c r="B41" i="2"/>
  <c r="B40" i="2"/>
  <c r="B39" i="2"/>
  <c r="H63" i="2" l="1"/>
  <c r="H64" i="2" s="1"/>
  <c r="H65" i="2" s="1"/>
  <c r="H59" i="2"/>
  <c r="H60" i="2" s="1"/>
  <c r="H61" i="2" s="1"/>
  <c r="H53" i="2"/>
  <c r="H54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A94" i="1"/>
  <c r="K94" i="1"/>
  <c r="A99" i="1" l="1"/>
  <c r="A113" i="1"/>
  <c r="A114" i="1"/>
  <c r="A105" i="1"/>
  <c r="F110" i="1"/>
  <c r="A117" i="1"/>
  <c r="F118" i="1"/>
  <c r="A122" i="1"/>
  <c r="A110" i="1"/>
  <c r="A111" i="1"/>
  <c r="A115" i="1"/>
  <c r="D110" i="1"/>
  <c r="A112" i="1"/>
  <c r="F102" i="1"/>
  <c r="A95" i="1"/>
  <c r="A123" i="1"/>
  <c r="A119" i="1"/>
  <c r="A125" i="1"/>
  <c r="A118" i="1"/>
  <c r="A121" i="1"/>
  <c r="A141" i="1"/>
  <c r="F134" i="1"/>
  <c r="A137" i="1"/>
  <c r="A106" i="1"/>
  <c r="F94" i="1"/>
  <c r="A101" i="1"/>
  <c r="A102" i="1"/>
  <c r="A107" i="1"/>
  <c r="A134" i="1"/>
  <c r="A139" i="1"/>
  <c r="A138" i="1"/>
  <c r="A97" i="1"/>
  <c r="A103" i="1"/>
  <c r="A135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<sst xmlns="http://schemas.openxmlformats.org/spreadsheetml/2006/main" count="561" uniqueCount="208">
  <si>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</si>
  <si>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</si>
  <si>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</si>
  <si>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</si>
  <si>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</si>
  <si>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</si>
  <si>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</si>
  <si>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</si>
  <si>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</si>
  <si>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</si>
  <si>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</si>
  <si>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</si>
  <si>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</si>
  <si>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</si>
  <si>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</si>
  <si>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</si>
  <si>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</si>
  <si>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</si>
  <si>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</si>
  <si>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</si>
  <si>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</si>
  <si>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</si>
  <si>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</si>
  <si>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</si>
  <si>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</si>
  <si>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</si>
  <si>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</si>
  <si>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</si>
  <si>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</si>
  <si>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</si>
  <si>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</si>
  <si>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</si>
  <si>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</si>
  <si>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</si>
  <si>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</si>
  <si>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</si>
  <si>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</si>
  <si>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</si>
  <si>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</si>
  <si>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</si>
  <si>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</si>
  <si>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</si>
  <si>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</si>
  <si>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</si>
  <si>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</si>
  <si>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</si>
  <si>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</si>
  <si>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</si>
  <si>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</si>
  <si>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</si>
  <si>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</si>
  <si>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</si>
  <si>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</si>
  <si>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</si>
  <si>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</si>
  <si>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</si>
  <si>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</si>
  <si>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</si>
  <si>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</si>
  <si>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</si>
  <si>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</si>
  <si>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</si>
  <si>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</si>
  <si>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</si>
  <si>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</si>
  <si>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</si>
  <si>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</si>
  <si>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</si>
  <si>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</si>
  <si>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</si>
  <si>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</si>
  <si>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</si>
  <si>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</si>
  <si>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</si>
  <si>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</si>
  <si>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</si>
  <si>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</si>
  <si>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</si>
  <si>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</si>
  <si>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</si>
  <si>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</si>
  <si>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</si>
  <si>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</si>
  <si>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</si>
  <si>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</si>
  <si>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</si>
  <si>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</si>
  <si>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</si>
  <si>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</si>
  <si>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</si>
  <si>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</si>
  <si>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</si>
  <si>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</si>
  <si>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</si>
  <si>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</si>
  <si>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</si>
  <si>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</si>
  <si>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</si>
  <si>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</si>
  <si>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</si>
  <si>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</si>
  <si>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</si>
  <si>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</si>
  <si>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</si>
  <si>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</si>
  <si>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</si>
  <si>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</si>
  <si>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</si>
  <si>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</si>
  <si>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</si>
  <si>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</si>
  <si>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</si>
  <si>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</si>
  <si>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</si>
  <si>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</si>
  <si>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</si>
  <si>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</si>
  <si>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</si>
  <si>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</si>
  <si>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</si>
  <si>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</si>
  <si>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</si>
  <si>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</si>
  <si>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</si>
  <si>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</si>
  <si>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</si>
  <si>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</si>
  <si>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</si>
  <si>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</si>
  <si>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</si>
  <si>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</si>
  <si>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</si>
  <si>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</si>
  <si>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</si>
  <si>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</si>
  <si>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</si>
  <si>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</si>
  <si>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</si>
  <si>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</si>
  <si>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</si>
  <si>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</si>
  <si>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</si>
  <si>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</si>
  <si>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</si>
  <si>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</si>
  <si>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</si>
  <si>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</si>
  <si>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</si>
  <si>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</si>
  <si>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</si>
  <si>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</si>
  <si>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</si>
  <si>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</si>
  <si>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</si>
  <si>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</si>
  <si>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</si>
  <si>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</si>
  <si>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</si>
  <si>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</si>
  <si>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</si>
  <si>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</si>
  <si>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</si>
  <si>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</si>
  <si>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</si>
  <si>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</si>
  <si>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</si>
  <si>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</si>
  <si>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</si>
  <si>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</si>
  <si>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</si>
  <si>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</si>
  <si>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</si>
  <si>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</si>
  <si>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</si>
  <si>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</si>
  <si>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</si>
  <si>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</si>
  <si>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14</t>
  </si>
  <si>
    <t>Отчет об исполнении договора управления многоквартирного дома 
Профсоюзная, 14 в части текущего ремонта</t>
  </si>
  <si>
    <t>площадь дома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</si>
  <si>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</si>
  <si>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</si>
  <si>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</si>
  <si>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</si>
  <si>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</si>
  <si>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</si>
  <si>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</si>
  <si>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</si>
  <si>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минус Подв. 1, Городская строительная компания"</t>
  </si>
  <si>
    <t>минус П/п 9, Городская строительная компания"</t>
  </si>
  <si>
    <t>перерасчет по этим помещениям</t>
  </si>
  <si>
    <t xml:space="preserve">  -  ремонт подъезда</t>
  </si>
  <si>
    <t>Тех. обслуживание видеонаблюдения (сод)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</si>
  <si>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</si>
  <si>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</si>
  <si>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</si>
  <si>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</si>
  <si>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(руб.)</t>
  </si>
  <si>
    <t>Механизированная уборка и вывоз снега с придомовой территории.</t>
  </si>
  <si>
    <t>Замена ламп освещения в подъезде (3 шт.).</t>
  </si>
  <si>
    <t>АВР 1/23 от 05.04.2023, Решение</t>
  </si>
  <si>
    <t>АВР 2/23 от 27.02.2023, Решение</t>
  </si>
  <si>
    <t>Приобретение и замена светильника в подъезде.</t>
  </si>
  <si>
    <t>АВР 4/23 от 05.04.2023, Решение</t>
  </si>
  <si>
    <t>АВР 5/23 от 31.10.2023, счет №5080 от 05.07.2023</t>
  </si>
  <si>
    <t>ЛИФТЫ и ВИДЕО в содержании с 2023 года</t>
  </si>
  <si>
    <t>Приобретение и замена шаровых кранов (Ду 15) и манометров (10 шт.).</t>
  </si>
  <si>
    <t xml:space="preserve">  -  ремонт крыльца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</si>
</sst>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12" fillId="0" borderId="0" xfId="5" applyNumberFormat="1" applyFill="1" applyBorder="1" applyAlignment="1"/>
    <xf numFmtId="0" fontId="12" fillId="0" borderId="0" xfId="5" applyFill="1" applyBorder="1" applyAlignment="1">
      <alignment horizontal="center"/>
    </xf>
    <xf numFmtId="0" fontId="26" fillId="0" borderId="0" xfId="5" applyFont="1" applyFill="1" applyBorder="1" applyAlignment="1"/>
    <xf numFmtId="0" fontId="19" fillId="0" borderId="0" xfId="6" applyFont="1"/>
    <xf numFmtId="4" fontId="18" fillId="0" borderId="0" xfId="0" applyNumberFormat="1" applyFont="1" applyFill="1" applyBorder="1"/>
    <xf numFmtId="0" fontId="19" fillId="0" borderId="0" xfId="0" applyFont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8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6" fillId="0" borderId="0" xfId="41" applyFont="1" applyFill="1" applyBorder="1" applyAlignment="1"/>
    <xf numFmtId="0" fontId="6" fillId="0" borderId="0" xfId="41" applyFont="1" applyFill="1" applyBorder="1" applyAlignment="1">
      <alignment horizontal="center"/>
    </xf>
    <xf numFmtId="0" fontId="7" fillId="0" borderId="0" xfId="41" applyNumberFormat="1" applyFill="1" applyBorder="1" applyAlignment="1">
      <alignment horizontal="center"/>
    </xf>
    <xf numFmtId="4" fontId="7" fillId="0" borderId="0" xfId="41" applyNumberFormat="1" applyFill="1" applyBorder="1" applyAlignment="1"/>
    <xf numFmtId="4" fontId="0" fillId="0" borderId="0" xfId="0" applyNumberFormat="1" applyFill="1"/>
    <xf numFmtId="0" fontId="7" fillId="0" borderId="0" xfId="41" applyFont="1" applyFill="1" applyBorder="1" applyAlignment="1"/>
    <xf numFmtId="0" fontId="7" fillId="0" borderId="0" xfId="41" applyFont="1" applyFill="1" applyBorder="1" applyAlignment="1">
      <alignment horizontal="center"/>
    </xf>
    <xf numFmtId="0" fontId="2" fillId="0" borderId="0" xfId="5" applyFont="1" applyFill="1" applyBorder="1"/>
    <xf numFmtId="0" fontId="4" fillId="0" borderId="0" xfId="5" applyFont="1" applyFill="1" applyBorder="1" applyAlignment="1">
      <alignment horizontal="center"/>
    </xf>
    <xf numFmtId="0" fontId="5" fillId="0" borderId="0" xfId="5" applyFont="1" applyFill="1" applyBorder="1" applyAlignment="1">
      <alignment horizontal="center"/>
    </xf>
    <xf numFmtId="0" fontId="18" fillId="6" borderId="0" xfId="0" applyFont="1" applyFill="1" applyBorder="1" applyAlignment="1" applyProtection="1">
      <alignment wrapText="1"/>
      <protection locked="0"/>
    </xf>
    <xf numFmtId="0" fontId="1" fillId="0" borderId="0" xfId="5" applyFont="1" applyFill="1" applyBorder="1" applyAlignment="1"/>
    <xf numFmtId="0" fontId="3" fillId="0" borderId="0" xfId="17" applyFont="1" applyFill="1" applyBorder="1" applyAlignment="1"/>
    <xf numFmtId="0" fontId="3" fillId="0" borderId="0" xfId="17" applyFont="1" applyFill="1" applyBorder="1" applyAlignment="1">
      <alignment horizontal="center"/>
    </xf>
    <xf numFmtId="0" fontId="26" fillId="0" borderId="0" xfId="17" applyFont="1" applyFill="1" applyBorder="1" applyAlignment="1">
      <alignment horizontal="center"/>
    </xf>
    <xf numFmtId="4" fontId="26" fillId="0" borderId="0" xfId="17" applyNumberFormat="1" applyFon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1">
    <cellStyle name="Обычный" xfId="0" builtinId="0"/>
    <cellStyle name="Обычный 2" xfId="1"/>
    <cellStyle name="Обычный 2 10" xfId="36"/>
    <cellStyle name="Обычный 2 11" xfId="26"/>
    <cellStyle name="Обычный 2 2" xfId="3"/>
    <cellStyle name="Обычный 2 3" xfId="7"/>
    <cellStyle name="Обычный 2 3 2" xfId="22"/>
    <cellStyle name="Обычный 2 3 2 2" xfId="143"/>
    <cellStyle name="Обычный 2 3 2 3" xfId="109"/>
    <cellStyle name="Обычный 2 3 2 4" xfId="62"/>
    <cellStyle name="Обычный 2 3 3" xfId="94"/>
    <cellStyle name="Обычный 2 3 4" xfId="128"/>
    <cellStyle name="Обычный 2 3 5" xfId="81"/>
    <cellStyle name="Обычный 2 3 6" xfId="47"/>
    <cellStyle name="Обычный 2 3 7" xfId="31"/>
    <cellStyle name="Обычный 2 4" xfId="11"/>
    <cellStyle name="Обычный 2 4 2" xfId="113"/>
    <cellStyle name="Обычный 2 4 3" xfId="147"/>
    <cellStyle name="Обычный 2 4 4" xfId="85"/>
    <cellStyle name="Обычный 2 4 5" xfId="66"/>
    <cellStyle name="Обычный 2 5" xfId="15"/>
    <cellStyle name="Обычный 2 5 2" xfId="58"/>
    <cellStyle name="Обычный 2 5 2 2" xfId="139"/>
    <cellStyle name="Обычный 2 5 2 3" xfId="105"/>
    <cellStyle name="Обычный 2 5 3" xfId="121"/>
    <cellStyle name="Обычный 2 5 4" xfId="77"/>
    <cellStyle name="Обычный 2 5 5" xfId="40"/>
    <cellStyle name="Обычный 2 5 6" xfId="35"/>
    <cellStyle name="Обычный 2 6" xfId="51"/>
    <cellStyle name="Обычный 2 6 2" xfId="132"/>
    <cellStyle name="Обычный 2 6 3" xfId="98"/>
    <cellStyle name="Обычный 2 7" xfId="42"/>
    <cellStyle name="Обычный 2 7 2" xfId="123"/>
    <cellStyle name="Обычный 2 7 3" xfId="89"/>
    <cellStyle name="Обычный 2 8" xfId="117"/>
    <cellStyle name="Обычный 2 9" xfId="70"/>
    <cellStyle name="Обычный 3" xfId="2"/>
    <cellStyle name="Обычный 3 10" xfId="27"/>
    <cellStyle name="Обычный 3 2" xfId="8"/>
    <cellStyle name="Обычный 3 2 2" xfId="21"/>
    <cellStyle name="Обычный 3 2 2 2" xfId="110"/>
    <cellStyle name="Обычный 3 2 2 3" xfId="144"/>
    <cellStyle name="Обычный 3 2 2 4" xfId="82"/>
    <cellStyle name="Обычный 3 2 2 5" xfId="63"/>
    <cellStyle name="Обычный 3 2 3" xfId="56"/>
    <cellStyle name="Обычный 3 2 3 2" xfId="137"/>
    <cellStyle name="Обычный 3 2 3 3" xfId="103"/>
    <cellStyle name="Обычный 3 2 4" xfId="95"/>
    <cellStyle name="Обычный 3 2 5" xfId="129"/>
    <cellStyle name="Обычный 3 2 6" xfId="75"/>
    <cellStyle name="Обычный 3 2 7" xfId="48"/>
    <cellStyle name="Обычный 3 3" xfId="12"/>
    <cellStyle name="Обычный 3 3 2" xfId="20"/>
    <cellStyle name="Обычный 3 3 2 2" xfId="114"/>
    <cellStyle name="Обычный 3 3 3" xfId="148"/>
    <cellStyle name="Обычный 3 3 4" xfId="86"/>
    <cellStyle name="Обычный 3 3 5" xfId="67"/>
    <cellStyle name="Обычный 3 4" xfId="23"/>
    <cellStyle name="Обычный 3 4 2" xfId="106"/>
    <cellStyle name="Обычный 3 4 3" xfId="140"/>
    <cellStyle name="Обычный 3 4 4" xfId="78"/>
    <cellStyle name="Обычный 3 4 5" xfId="59"/>
    <cellStyle name="Обычный 3 4 6" xfId="32"/>
    <cellStyle name="Обычный 3 5" xfId="16"/>
    <cellStyle name="Обычный 3 5 2" xfId="133"/>
    <cellStyle name="Обычный 3 5 3" xfId="99"/>
    <cellStyle name="Обычный 3 5 4" xfId="52"/>
    <cellStyle name="Обычный 3 6" xfId="43"/>
    <cellStyle name="Обычный 3 6 2" xfId="124"/>
    <cellStyle name="Обычный 3 6 3" xfId="90"/>
    <cellStyle name="Обычный 3 7" xfId="118"/>
    <cellStyle name="Обычный 3 8" xfId="71"/>
    <cellStyle name="Обычный 3 9" xfId="37"/>
    <cellStyle name="Обычный 4" xfId="4"/>
    <cellStyle name="Обычный 4 10" xfId="28"/>
    <cellStyle name="Обычный 4 2" xfId="9"/>
    <cellStyle name="Обычный 4 2 2" xfId="24"/>
    <cellStyle name="Обычный 4 2 2 2" xfId="111"/>
    <cellStyle name="Обычный 4 2 2 3" xfId="145"/>
    <cellStyle name="Обычный 4 2 2 4" xfId="83"/>
    <cellStyle name="Обычный 4 2 2 5" xfId="64"/>
    <cellStyle name="Обычный 4 2 3" xfId="57"/>
    <cellStyle name="Обычный 4 2 3 2" xfId="138"/>
    <cellStyle name="Обычный 4 2 3 3" xfId="104"/>
    <cellStyle name="Обычный 4 2 4" xfId="96"/>
    <cellStyle name="Обычный 4 2 5" xfId="130"/>
    <cellStyle name="Обычный 4 2 6" xfId="76"/>
    <cellStyle name="Обычный 4 2 7" xfId="49"/>
    <cellStyle name="Обычный 4 2 8" xfId="33"/>
    <cellStyle name="Обычный 4 3" xfId="13"/>
    <cellStyle name="Обычный 4 3 2" xfId="115"/>
    <cellStyle name="Обычный 4 3 3" xfId="149"/>
    <cellStyle name="Обычный 4 3 4" xfId="87"/>
    <cellStyle name="Обычный 4 3 5" xfId="68"/>
    <cellStyle name="Обычный 4 4" xfId="17"/>
    <cellStyle name="Обычный 4 4 2" xfId="107"/>
    <cellStyle name="Обычный 4 4 3" xfId="141"/>
    <cellStyle name="Обычный 4 4 4" xfId="79"/>
    <cellStyle name="Обычный 4 4 5" xfId="60"/>
    <cellStyle name="Обычный 4 5" xfId="53"/>
    <cellStyle name="Обычный 4 5 2" xfId="134"/>
    <cellStyle name="Обычный 4 5 3" xfId="100"/>
    <cellStyle name="Обычный 4 6" xfId="44"/>
    <cellStyle name="Обычный 4 6 2" xfId="125"/>
    <cellStyle name="Обычный 4 6 3" xfId="91"/>
    <cellStyle name="Обычный 4 7" xfId="119"/>
    <cellStyle name="Обычный 4 8" xfId="72"/>
    <cellStyle name="Обычный 4 9" xfId="38"/>
    <cellStyle name="Обычный 5" xfId="5"/>
    <cellStyle name="Обычный 5 10" xfId="29"/>
    <cellStyle name="Обычный 5 2" xfId="10"/>
    <cellStyle name="Обычный 5 2 2" xfId="25"/>
    <cellStyle name="Обычный 5 2 2 2" xfId="146"/>
    <cellStyle name="Обычный 5 2 2 3" xfId="112"/>
    <cellStyle name="Обычный 5 2 2 4" xfId="65"/>
    <cellStyle name="Обычный 5 2 3" xfId="50"/>
    <cellStyle name="Обычный 5 2 3 2" xfId="131"/>
    <cellStyle name="Обычный 5 2 3 3" xfId="97"/>
    <cellStyle name="Обычный 5 2 4" xfId="122"/>
    <cellStyle name="Обычный 5 2 5" xfId="84"/>
    <cellStyle name="Обычный 5 2 6" xfId="41"/>
    <cellStyle name="Обычный 5 2 7" xfId="34"/>
    <cellStyle name="Обычный 5 3" xfId="14"/>
    <cellStyle name="Обычный 5 3 2" xfId="69"/>
    <cellStyle name="Обычный 5 3 2 2" xfId="150"/>
    <cellStyle name="Обычный 5 3 2 3" xfId="116"/>
    <cellStyle name="Обычный 5 3 3" xfId="93"/>
    <cellStyle name="Обычный 5 3 4" xfId="127"/>
    <cellStyle name="Обычный 5 3 5" xfId="88"/>
    <cellStyle name="Обычный 5 3 6" xfId="46"/>
    <cellStyle name="Обычный 5 4" xfId="18"/>
    <cellStyle name="Обычный 5 4 2" xfId="108"/>
    <cellStyle name="Обычный 5 4 3" xfId="142"/>
    <cellStyle name="Обычный 5 4 4" xfId="80"/>
    <cellStyle name="Обычный 5 4 5" xfId="61"/>
    <cellStyle name="Обычный 5 5" xfId="54"/>
    <cellStyle name="Обычный 5 5 2" xfId="135"/>
    <cellStyle name="Обычный 5 5 3" xfId="101"/>
    <cellStyle name="Обычный 5 6" xfId="45"/>
    <cellStyle name="Обычный 5 6 2" xfId="126"/>
    <cellStyle name="Обычный 5 6 3" xfId="92"/>
    <cellStyle name="Обычный 5 7" xfId="120"/>
    <cellStyle name="Обычный 5 8" xfId="73"/>
    <cellStyle name="Обычный 5 9" xfId="39"/>
    <cellStyle name="Обычный 6" xfId="6"/>
    <cellStyle name="Обычный 6 2" xfId="102"/>
    <cellStyle name="Обычный 6 3" xfId="136"/>
    <cellStyle name="Обычный 6 4" xfId="74"/>
    <cellStyle name="Обычный 6 5" xfId="55"/>
    <cellStyle name="Финансовый 2" xfId="19"/>
    <cellStyle name="Финансовый 2 2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31\pto\&#1055;&#1058;&#1054;%20&#1088;&#1077;&#1084;&#1086;&#1085;&#1090;\1.%20&#1054;&#1073;&#1098;&#1077;&#1082;&#1090;&#1099;\&#1054;&#1090;&#1095;&#1077;&#1090;&#1099;%20&#1087;&#1086;%20&#1092;&#1086;&#1088;&#1084;&#1077;%202.8\2022%20&#1075;&#1086;&#1076;\&#1043;&#1083;&#1072;&#1079;&#1082;&#1086;&#1074;&#1086;\&#1055;&#1088;&#1086;&#1092;&#1089;&#1086;&#1102;&#1079;&#1085;&#1072;&#1103;,%2014%20(2022)%20&#1085;&#1077;%20&#1088;&#1077;&#1076;&#1072;&#1082;&#109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"/>
      <sheetName val="ПТО"/>
      <sheetName val="Абонентский отдел"/>
      <sheetName val="Юридический отдел"/>
    </sheetNames>
    <sheetDataSet>
      <sheetData sheetId="0" refreshError="1"/>
      <sheetData sheetId="1" refreshError="1"/>
      <sheetData sheetId="2">
        <row r="1">
          <cell r="F1">
            <v>2996.1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6" t="s">
        <v>177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9"/>
      <c r="L8" s="167"/>
      <c r="M8" s="109"/>
      <c r="N8" s="109"/>
      <c r="O8" s="70" t="s">
        <v>83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9"/>
      <c r="L9" s="167"/>
      <c r="M9" s="109"/>
      <c r="N9" s="109"/>
      <c r="O9" s="70" t="s">
        <v>84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134537.31</v>
      </c>
      <c r="K10" s="109"/>
      <c r="L10" s="167"/>
      <c r="M10" s="109"/>
      <c r="N10" s="109"/>
      <c r="O10" s="70" t="s">
        <v>85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818054.21</v>
      </c>
      <c r="K11" s="109"/>
      <c r="L11" s="167"/>
      <c r="M11" s="109"/>
      <c r="N11" s="109"/>
      <c r="O11" s="70" t="s">
        <v>86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482671.16</v>
      </c>
      <c r="K12" s="109"/>
      <c r="L12" s="167"/>
      <c r="M12" s="109"/>
      <c r="N12" s="109"/>
      <c r="O12" s="70" t="s">
        <v>87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180630</v>
      </c>
      <c r="K13" s="109"/>
      <c r="L13" s="167"/>
      <c r="M13" s="109"/>
      <c r="N13" s="109"/>
      <c r="O13" s="70" t="s">
        <v>88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154753.04999999999</v>
      </c>
      <c r="K14" s="109"/>
      <c r="L14" s="167"/>
      <c r="M14" s="109"/>
      <c r="N14" s="109"/>
      <c r="O14" s="70" t="s">
        <v>89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754856.52</v>
      </c>
      <c r="K15" s="109"/>
      <c r="L15" s="167"/>
      <c r="M15" s="109"/>
      <c r="N15" s="109"/>
      <c r="O15" s="70" t="s">
        <v>90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754856.52</v>
      </c>
      <c r="K16" s="109"/>
      <c r="L16" s="167"/>
      <c r="M16" s="109"/>
      <c r="N16" s="109"/>
      <c r="O16" s="70" t="s">
        <v>91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9"/>
      <c r="L17" s="167"/>
      <c r="M17" s="109"/>
      <c r="N17" s="109"/>
      <c r="O17" s="70" t="s">
        <v>92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9"/>
      <c r="L18" s="167"/>
      <c r="M18" s="109"/>
      <c r="N18" s="109"/>
      <c r="O18" s="70" t="s">
        <v>93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9"/>
      <c r="L19" s="167"/>
      <c r="M19" s="109"/>
      <c r="N19" s="109"/>
      <c r="O19" s="70" t="s">
        <v>94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9"/>
      <c r="L20" s="167"/>
      <c r="M20" s="109"/>
      <c r="N20" s="109"/>
      <c r="O20" s="70" t="s">
        <v>95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754856.52</v>
      </c>
      <c r="K21" s="109"/>
      <c r="L21" s="167"/>
      <c r="M21" s="109"/>
      <c r="N21" s="109"/>
      <c r="O21" s="70" t="s">
        <v>96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9"/>
      <c r="L22" s="167"/>
      <c r="M22" s="109"/>
      <c r="N22" s="109"/>
      <c r="O22" s="70" t="s">
        <v>97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9"/>
      <c r="L23" s="167"/>
      <c r="M23" s="109"/>
      <c r="N23" s="109"/>
      <c r="O23" s="70" t="s">
        <v>98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197735</v>
      </c>
      <c r="K24" s="109"/>
      <c r="L24" s="167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6">
        <f>VLOOKUP(A28,ПТО!$A$39:$D$53,2,FALSE)</f>
        <v>198821.196</v>
      </c>
      <c r="G28" s="156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6">
        <f>VLOOKUP(A29,ПТО!$A$39:$D$53,2,FALSE)</f>
        <v>55008.395999999993</v>
      </c>
      <c r="G29" s="156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6">
        <f>VLOOKUP(A30,ПТО!$A$39:$D$53,2,FALSE)</f>
        <v>50334.479999999989</v>
      </c>
      <c r="G30" s="156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6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6">
        <f>VLOOKUP(A31,ПТО!$A$39:$D$53,2,FALSE)</f>
        <v>43143.839999999997</v>
      </c>
      <c r="G31" s="156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6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6">
        <f>VLOOKUP(A33,ПТО!$A$39:$D$53,2,FALSE)</f>
        <v>12583.619999999997</v>
      </c>
      <c r="G33" s="156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6">
        <f>VLOOKUP(A34,ПТО!$A$39:$D$53,2,FALSE)</f>
        <v>57165.588000000003</v>
      </c>
      <c r="G34" s="156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Тех. обслуживание видеонаблюдения (сод)</v>
      </c>
      <c r="B35" s="151"/>
      <c r="C35" s="151"/>
      <c r="D35" s="151"/>
      <c r="E35" s="151"/>
      <c r="F35" s="156">
        <f>VLOOKUP(A35,ПТО!$A$39:$D$53,2,FALSE)</f>
        <v>31638.815999999999</v>
      </c>
      <c r="G35" s="156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68"/>
      <c r="M35" s="116"/>
      <c r="N35" s="109"/>
      <c r="O35" s="23" t="str">
        <f t="shared" si="1"/>
        <v>Тех. обслуживание видеонаблюдения (сод)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68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6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6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6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6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6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6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Замена ламп освещения в подъезде (3 шт.).</v>
      </c>
      <c r="B43" s="151"/>
      <c r="C43" s="151"/>
      <c r="D43" s="151"/>
      <c r="E43" s="151"/>
      <c r="F43" s="156">
        <f>VLOOKUP(A43,ПТО!$A$2:$D$31,4,FALSE)</f>
        <v>4500</v>
      </c>
      <c r="G43" s="156"/>
      <c r="H43" s="19" t="str">
        <f>VLOOKUP(A43,ПТО!$A$2:$D$31,2,FALSE)</f>
        <v>разово</v>
      </c>
      <c r="I43" s="152">
        <f>VLOOKUP(A43,ПТО!$A$2:$D$31,3,FALSE)</f>
        <v>1</v>
      </c>
      <c r="J43" s="152"/>
      <c r="K43" s="109"/>
      <c r="L43" s="168"/>
      <c r="M43" s="116"/>
      <c r="N43" s="109"/>
      <c r="O43" s="23" t="str">
        <f t="shared" si="1"/>
        <v>Замена ламп освещения в подъезде (3 шт.).</v>
      </c>
      <c r="R43" s="22" t="s">
        <v>72</v>
      </c>
    </row>
    <row r="44" spans="1:18" ht="51" customHeight="1" outlineLevel="1">
      <c r="A44" s="151" t="str">
        <f>ПТО!A3</f>
        <v>Механизированная уборка и вывоз снега с придомовой территории.</v>
      </c>
      <c r="B44" s="151"/>
      <c r="C44" s="151"/>
      <c r="D44" s="151"/>
      <c r="E44" s="151"/>
      <c r="F44" s="156">
        <f>VLOOKUP(A44,ПТО!$A$2:$D$31,4,FALSE)</f>
        <v>13244</v>
      </c>
      <c r="G44" s="156"/>
      <c r="H44" s="25" t="str">
        <f>VLOOKUP(A44,ПТО!$A$2:$D$31,2,FALSE)</f>
        <v>разово</v>
      </c>
      <c r="I44" s="152">
        <f>VLOOKUP(A44,ПТО!$A$2:$D$31,3,FALSE)</f>
        <v>1</v>
      </c>
      <c r="J44" s="152"/>
      <c r="K44" s="109"/>
      <c r="L44" s="168"/>
      <c r="M44" s="116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51" t="str">
        <f>ПТО!A4</f>
        <v>Приобретение и замена светильника в подъезде.</v>
      </c>
      <c r="B45" s="151"/>
      <c r="C45" s="151"/>
      <c r="D45" s="151"/>
      <c r="E45" s="151"/>
      <c r="F45" s="156">
        <f>VLOOKUP(A45,ПТО!$A$2:$D$31,4,FALSE)</f>
        <v>1800</v>
      </c>
      <c r="G45" s="156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68"/>
      <c r="M45" s="116"/>
      <c r="N45" s="109"/>
      <c r="O45" s="23" t="str">
        <f t="shared" si="1"/>
        <v>Приобретение и замена светильника в подъезде.</v>
      </c>
      <c r="R45" s="22" t="s">
        <v>72</v>
      </c>
    </row>
    <row r="46" spans="1:18" ht="51" customHeight="1" outlineLevel="1">
      <c r="A46" s="151" t="str">
        <f>ПТО!A5</f>
        <v>Приобретение и замена шаровых кранов (Ду 15) и манометров (10 шт.).</v>
      </c>
      <c r="B46" s="151"/>
      <c r="C46" s="151"/>
      <c r="D46" s="151"/>
      <c r="E46" s="151"/>
      <c r="F46" s="156">
        <f>VLOOKUP(A46,ПТО!$A$2:$D$31,4,FALSE)</f>
        <v>2244.8700000000003</v>
      </c>
      <c r="G46" s="156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68"/>
      <c r="M46" s="116"/>
      <c r="N46" s="109"/>
      <c r="O46" s="23" t="str">
        <f t="shared" si="1"/>
        <v>Приобретение и замена шаровых кранов (Ду 15) и манометров (10 шт.).</v>
      </c>
      <c r="R46" s="22" t="s">
        <v>72</v>
      </c>
    </row>
    <row r="47" spans="1:18" ht="51" hidden="1" customHeight="1" outlineLevel="1">
      <c r="A47" s="151">
        <f>ПТО!A6</f>
        <v>0</v>
      </c>
      <c r="B47" s="151"/>
      <c r="C47" s="151"/>
      <c r="D47" s="151"/>
      <c r="E47" s="151"/>
      <c r="F47" s="156" t="e">
        <f>VLOOKUP(A47,ПТО!$A$2:$D$31,4,FALSE)</f>
        <v>#N/A</v>
      </c>
      <c r="G47" s="156"/>
      <c r="H47" s="25" t="e">
        <f>VLOOKUP(A47,ПТО!$A$2:$D$31,2,FALSE)</f>
        <v>#N/A</v>
      </c>
      <c r="I47" s="152" t="e">
        <f>VLOOKUP(A47,ПТО!$A$2:$D$31,3,FALSE)</f>
        <v>#N/A</v>
      </c>
      <c r="J47" s="152"/>
      <c r="K47" s="109"/>
      <c r="L47" s="168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51">
        <f>ПТО!A7</f>
        <v>0</v>
      </c>
      <c r="B48" s="151"/>
      <c r="C48" s="151"/>
      <c r="D48" s="151"/>
      <c r="E48" s="151"/>
      <c r="F48" s="156" t="e">
        <f>VLOOKUP(A48,ПТО!$A$2:$D$31,4,FALSE)</f>
        <v>#N/A</v>
      </c>
      <c r="G48" s="156"/>
      <c r="H48" s="25" t="e">
        <f>VLOOKUP(A48,ПТО!$A$2:$D$31,2,FALSE)</f>
        <v>#N/A</v>
      </c>
      <c r="I48" s="152" t="e">
        <f>VLOOKUP(A48,ПТО!$A$2:$D$31,3,FALSE)</f>
        <v>#N/A</v>
      </c>
      <c r="J48" s="152"/>
      <c r="K48" s="109"/>
      <c r="L48" s="168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6" t="e">
        <f>VLOOKUP(A49,ПТО!$A$2:$D$31,4,FALSE)</f>
        <v>#N/A</v>
      </c>
      <c r="G49" s="156"/>
      <c r="H49" s="25" t="e">
        <f>VLOOKUP(A49,ПТО!$A$2:$D$31,2,FALSE)</f>
        <v>#N/A</v>
      </c>
      <c r="I49" s="152" t="e">
        <f>VLOOKUP(A49,ПТО!$A$2:$D$31,3,FALSE)</f>
        <v>#N/A</v>
      </c>
      <c r="J49" s="152"/>
      <c r="K49" s="109"/>
      <c r="L49" s="168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9"/>
      <c r="L50" s="168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9"/>
      <c r="L51" s="168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68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68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68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68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68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68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6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6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6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6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6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6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6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6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6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6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6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6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6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6"/>
      <c r="L71" s="16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6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71"/>
      <c r="M75" s="109"/>
      <c r="N75" s="109"/>
      <c r="O75" s="70" t="s">
        <v>100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71"/>
      <c r="M76" s="109"/>
      <c r="N76" s="109"/>
      <c r="O76" s="70" t="s">
        <v>101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71"/>
      <c r="M77" s="109"/>
      <c r="N77" s="109"/>
      <c r="O77" s="70" t="s">
        <v>102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71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09"/>
      <c r="L81" s="157"/>
      <c r="M81" s="109"/>
      <c r="N81" s="109"/>
      <c r="O81" s="70" t="s">
        <v>104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09"/>
      <c r="L82" s="157"/>
      <c r="M82" s="109"/>
      <c r="N82" s="109"/>
      <c r="O82" s="70" t="s">
        <v>105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0</v>
      </c>
      <c r="K83" s="109"/>
      <c r="L83" s="157"/>
      <c r="M83" s="109"/>
      <c r="N83" s="109"/>
      <c r="O83" s="70" t="s">
        <v>106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09"/>
      <c r="L84" s="157"/>
      <c r="M84" s="109"/>
      <c r="N84" s="109"/>
      <c r="O84" s="70" t="s">
        <v>107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09"/>
      <c r="L85" s="157"/>
      <c r="M85" s="109"/>
      <c r="N85" s="109"/>
      <c r="O85" s="70" t="s">
        <v>108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1903.57</v>
      </c>
      <c r="K86" s="109"/>
      <c r="L86" s="157"/>
      <c r="M86" s="109"/>
      <c r="N86" s="109"/>
      <c r="O86" s="70" t="s">
        <v>109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9"/>
      <c r="L87" s="157"/>
      <c r="M87" s="109"/>
      <c r="N87" s="109"/>
      <c r="O87" s="70" t="s">
        <v>110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9"/>
      <c r="L88" s="157"/>
      <c r="M88" s="109"/>
      <c r="N88" s="109"/>
      <c r="O88" s="70" t="s">
        <v>111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9"/>
      <c r="L89" s="157"/>
      <c r="M89" s="109"/>
      <c r="N89" s="109"/>
      <c r="O89" s="70" t="s">
        <v>112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09"/>
      <c r="L90" s="15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2" t="s">
        <v>48</v>
      </c>
      <c r="B93" s="172"/>
      <c r="C93" s="172"/>
      <c r="D93" s="173" t="s">
        <v>49</v>
      </c>
      <c r="E93" s="173"/>
      <c r="F93" s="10" t="s">
        <v>50</v>
      </c>
      <c r="G93" s="172" t="s">
        <v>51</v>
      </c>
      <c r="H93" s="172"/>
      <c r="I93" s="172"/>
      <c r="J93" s="172"/>
      <c r="K93" s="109"/>
      <c r="L93" s="109"/>
      <c r="M93" s="109"/>
      <c r="N93" s="109"/>
    </row>
    <row r="94" spans="1:15" hidden="1" outlineLevel="1">
      <c r="A94" s="153">
        <f>IF(VLOOKUP("эл",АО,3,FALSE)&gt;0,"Электроснабжение",0)</f>
        <v>0</v>
      </c>
      <c r="B94" s="153"/>
      <c r="C94" s="153"/>
      <c r="D94" s="154">
        <f>IF(VLOOKUP("эл",АО,3,FALSE)&gt;0,VLOOKUP("эл",АО,3,FALSE),0)</f>
        <v>0</v>
      </c>
      <c r="E94" s="154"/>
      <c r="F94" s="13">
        <f>IF(VLOOKUP("эл",АО,3,FALSE)&gt;0,VLOOKUP("эл",АО,4,FALSE),0)</f>
        <v>0</v>
      </c>
      <c r="G94" s="155">
        <f>VLOOKUP("эл",АО,5,FALSE)</f>
        <v>0</v>
      </c>
      <c r="H94" s="154"/>
      <c r="I94" s="154"/>
      <c r="J94" s="154"/>
      <c r="K94" s="1" t="str">
        <f>VLOOKUP("эл",АО,2,FALSE)</f>
        <v>Электроснабжение</v>
      </c>
      <c r="L94" s="158"/>
    </row>
    <row r="95" spans="1:15" hidden="1" outlineLevel="2">
      <c r="A95" s="170">
        <f>IF(VLOOKUP("эл",АО,3,FALSE)&gt;0,VLOOKUP("эл1",АО,2,FALSE),0)</f>
        <v>0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0</v>
      </c>
      <c r="L95" s="158"/>
      <c r="O95" s="1" t="s">
        <v>114</v>
      </c>
    </row>
    <row r="96" spans="1:15" hidden="1" outlineLevel="2">
      <c r="A96" s="170">
        <f>IF(VLOOKUP("эл",АО,3,FALSE)&gt;0,VLOOKUP("эл2",АО,2,FALSE),0)</f>
        <v>0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0</v>
      </c>
      <c r="L96" s="158"/>
      <c r="O96" s="1" t="s">
        <v>115</v>
      </c>
    </row>
    <row r="97" spans="1:15" hidden="1" outlineLevel="2">
      <c r="A97" s="170">
        <f>IF(VLOOKUP("эл",АО,3,FALSE)&gt;0,VLOOKUP("эл3",АО,2,FALSE),0)</f>
        <v>0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58"/>
      <c r="O97" s="1" t="s">
        <v>116</v>
      </c>
    </row>
    <row r="98" spans="1:15" ht="37.5" hidden="1" customHeight="1" outlineLevel="2">
      <c r="A98" s="170">
        <f>IF(VLOOKUP("эл",АО,3,FALSE)&gt;0,VLOOKUP("эл4",АО,2,FALSE),0)</f>
        <v>0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0</v>
      </c>
      <c r="L98" s="158"/>
      <c r="O98" s="1" t="s">
        <v>117</v>
      </c>
    </row>
    <row r="99" spans="1:15" hidden="1" outlineLevel="2">
      <c r="A99" s="170">
        <f>IF(VLOOKUP("эл",АО,3,FALSE)&gt;0,VLOOKUP("эл5",АО,2,FALSE),0)</f>
        <v>0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0</v>
      </c>
      <c r="L99" s="158"/>
      <c r="O99" s="1" t="s">
        <v>118</v>
      </c>
    </row>
    <row r="100" spans="1:15" ht="39" hidden="1" customHeight="1" outlineLevel="2">
      <c r="A100" s="170">
        <f>IF(VLOOKUP("эл",АО,3,FALSE)&gt;0,VLOOKUP("эл6",АО,2,FALSE),0)</f>
        <v>0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58"/>
      <c r="O100" s="1" t="s">
        <v>119</v>
      </c>
    </row>
    <row r="101" spans="1:15" ht="34.5" hidden="1" customHeight="1" outlineLevel="2">
      <c r="A101" s="170">
        <f>IF(VLOOKUP("эл",АО,3,FALSE)&gt;0,VLOOKUP("эл7",АО,2,FALSE),0)</f>
        <v>0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58"/>
      <c r="O101" s="1" t="s">
        <v>120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5">
        <f>VLOOKUP("хвс",АО,5,FALSE)</f>
        <v>116563.06</v>
      </c>
      <c r="H102" s="154"/>
      <c r="I102" s="154"/>
      <c r="J102" s="154"/>
      <c r="L102" s="158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8000.21</v>
      </c>
      <c r="L103" s="158"/>
      <c r="O103" s="1" t="s">
        <v>123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115873.32</v>
      </c>
      <c r="L104" s="158"/>
      <c r="O104" s="1" t="s">
        <v>124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689.73999999999069</v>
      </c>
      <c r="L105" s="158"/>
      <c r="O105" s="1" t="s">
        <v>125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116563.06</v>
      </c>
      <c r="L106" s="158"/>
      <c r="O106" s="1" t="s">
        <v>126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116563.06</v>
      </c>
      <c r="L107" s="158"/>
      <c r="O107" s="1" t="s">
        <v>127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58"/>
      <c r="O108" s="1" t="s">
        <v>128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58"/>
      <c r="O109" s="1" t="s">
        <v>129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5">
        <f>VLOOKUP("воо",АО,5,FALSE)</f>
        <v>141731.98000000001</v>
      </c>
      <c r="H110" s="154"/>
      <c r="I110" s="154"/>
      <c r="J110" s="154"/>
      <c r="L110" s="158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8002.94</v>
      </c>
      <c r="L111" s="158"/>
      <c r="O111" s="1" t="s">
        <v>131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140518.15</v>
      </c>
      <c r="L112" s="158"/>
      <c r="O112" s="1" t="s">
        <v>132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1213.8300000000163</v>
      </c>
      <c r="L113" s="158"/>
      <c r="O113" s="1" t="s">
        <v>133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141731.98000000001</v>
      </c>
      <c r="L114" s="158"/>
      <c r="O114" s="1" t="s">
        <v>134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141731.98000000001</v>
      </c>
      <c r="L115" s="158"/>
      <c r="O115" s="1" t="s">
        <v>135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58"/>
      <c r="O116" s="1" t="s">
        <v>136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58"/>
      <c r="O117" s="1" t="s">
        <v>137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5">
        <f>VLOOKUP("тко",АО,5,FALSE)</f>
        <v>0</v>
      </c>
      <c r="H118" s="154"/>
      <c r="I118" s="154"/>
      <c r="J118" s="154"/>
      <c r="L118" s="47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5">
        <f>VLOOKUP("гвс",АО,5,FALSE)</f>
        <v>0</v>
      </c>
      <c r="H126" s="154"/>
      <c r="I126" s="154"/>
      <c r="J126" s="154"/>
      <c r="L126" s="47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4"/>
      <c r="I134" s="154"/>
      <c r="J134" s="154"/>
      <c r="L134" s="47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171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6</v>
      </c>
      <c r="L145" s="15"/>
      <c r="O145" t="s">
        <v>172</v>
      </c>
    </row>
    <row r="146" spans="1:15" ht="30" customHeight="1" outlineLevel="1">
      <c r="A146" s="149" t="s">
        <v>174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165678.89000000001</v>
      </c>
      <c r="O146" t="s">
        <v>173</v>
      </c>
    </row>
    <row r="149" spans="1:15" ht="52.5" customHeight="1">
      <c r="A149" s="174" t="s">
        <v>178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6" t="s">
        <v>197</v>
      </c>
      <c r="B154" s="176"/>
      <c r="C154" s="176"/>
      <c r="D154" s="176"/>
      <c r="E154" s="27">
        <f>ПТО!G1</f>
        <v>-222215.9</v>
      </c>
    </row>
    <row r="155" spans="1:15" ht="34.5" customHeight="1">
      <c r="A155" s="175" t="s">
        <v>196</v>
      </c>
      <c r="B155" s="175"/>
      <c r="C155" s="175"/>
      <c r="D155" s="175"/>
      <c r="E155" s="28">
        <f>J13</f>
        <v>180630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1" t="str">
        <f t="shared" ref="A158:A163" si="14">IF(N158&gt;0,N158,0)</f>
        <v>Замена ламп освещения в подъезде (3 шт.).</v>
      </c>
      <c r="B158" s="151"/>
      <c r="C158" s="151"/>
      <c r="D158" s="151"/>
      <c r="E158" s="151"/>
      <c r="F158" s="156">
        <f t="shared" ref="F158:F163" si="15">IF(ISERROR(VLOOKUP(A158,$A$28:$J$72,6,FALSE)),0,VLOOKUP(A158,$A$28:$J$72,6,FALSE))</f>
        <v>4500</v>
      </c>
      <c r="G158" s="156"/>
      <c r="H158" s="24" t="str">
        <f t="shared" ref="H158:H187" si="16">VLOOKUP(A158,$A$28:$J$72,8,FALSE)</f>
        <v>разово</v>
      </c>
      <c r="I158" s="152">
        <f t="shared" ref="I158:I161" si="17">VLOOKUP(A158,$A$28:$J$72,9,FALSE)</f>
        <v>1</v>
      </c>
      <c r="J158" s="152"/>
      <c r="M158" s="22" t="s">
        <v>72</v>
      </c>
      <c r="N158" s="1" t="str">
        <f t="array" ref="N158:N187">INDEX($O$43:$O$72,SMALL(IF($M$158=R43:R72,ROW(O43:O72)-42,""),ROW()-157))</f>
        <v>Замена ламп освещения в подъезде (3 шт.).</v>
      </c>
    </row>
    <row r="159" spans="1:15" ht="28.5" customHeight="1">
      <c r="A159" s="151" t="str">
        <f t="shared" si="14"/>
        <v>Механизированная уборка и вывоз снега с придомовой территории.</v>
      </c>
      <c r="B159" s="151"/>
      <c r="C159" s="151"/>
      <c r="D159" s="151"/>
      <c r="E159" s="151"/>
      <c r="F159" s="156">
        <f t="shared" si="15"/>
        <v>13244</v>
      </c>
      <c r="G159" s="156"/>
      <c r="H159" s="24" t="str">
        <f t="shared" si="16"/>
        <v>разово</v>
      </c>
      <c r="I159" s="152">
        <f t="shared" si="17"/>
        <v>1</v>
      </c>
      <c r="J159" s="152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51" t="str">
        <f t="shared" si="14"/>
        <v>Приобретение и замена светильника в подъезде.</v>
      </c>
      <c r="B160" s="151"/>
      <c r="C160" s="151"/>
      <c r="D160" s="151"/>
      <c r="E160" s="151"/>
      <c r="F160" s="156">
        <f t="shared" si="15"/>
        <v>1800</v>
      </c>
      <c r="G160" s="156"/>
      <c r="H160" s="24" t="str">
        <f t="shared" si="16"/>
        <v>разово</v>
      </c>
      <c r="I160" s="152">
        <f t="shared" si="17"/>
        <v>1</v>
      </c>
      <c r="J160" s="152"/>
      <c r="M160" s="22" t="s">
        <v>72</v>
      </c>
      <c r="N160" s="1" t="str">
        <v>Приобретение и замена светильника в подъезде.</v>
      </c>
    </row>
    <row r="161" spans="1:14" ht="28.5" customHeight="1">
      <c r="A161" s="151" t="str">
        <f>IF(N161&gt;0,N161,0)</f>
        <v>Приобретение и замена шаровых кранов (Ду 15) и манометров (10 шт.).</v>
      </c>
      <c r="B161" s="151"/>
      <c r="C161" s="151"/>
      <c r="D161" s="151"/>
      <c r="E161" s="151"/>
      <c r="F161" s="156">
        <f t="shared" si="15"/>
        <v>2244.8700000000003</v>
      </c>
      <c r="G161" s="156"/>
      <c r="H161" s="24" t="str">
        <f t="shared" si="16"/>
        <v>разово</v>
      </c>
      <c r="I161" s="152">
        <f t="shared" si="17"/>
        <v>1</v>
      </c>
      <c r="J161" s="152"/>
      <c r="M161" s="22" t="s">
        <v>72</v>
      </c>
      <c r="N161" s="1" t="str">
        <v>Приобретение и замена шаровых кранов (Ду 15) и манометров (10 шт.).</v>
      </c>
    </row>
    <row r="162" spans="1:14" ht="28.5" hidden="1" customHeight="1">
      <c r="A162" s="151">
        <f t="shared" si="14"/>
        <v>0</v>
      </c>
      <c r="B162" s="151"/>
      <c r="C162" s="151"/>
      <c r="D162" s="151"/>
      <c r="E162" s="151"/>
      <c r="F162" s="156">
        <f t="shared" si="15"/>
        <v>0</v>
      </c>
      <c r="G162" s="156"/>
      <c r="H162" s="24" t="e">
        <f t="shared" si="16"/>
        <v>#N/A</v>
      </c>
      <c r="I162" s="152" t="e">
        <f>VLOOKUP(A162,$A$28:$J$72,9,FALSE)</f>
        <v>#N/A</v>
      </c>
      <c r="J162" s="152"/>
      <c r="M162" s="22" t="s">
        <v>72</v>
      </c>
      <c r="N162" s="1">
        <v>0</v>
      </c>
    </row>
    <row r="163" spans="1:14" ht="28.5" hidden="1" customHeight="1">
      <c r="A163" s="151">
        <f t="shared" si="14"/>
        <v>0</v>
      </c>
      <c r="B163" s="151"/>
      <c r="C163" s="151"/>
      <c r="D163" s="151"/>
      <c r="E163" s="151"/>
      <c r="F163" s="156">
        <f t="shared" si="15"/>
        <v>0</v>
      </c>
      <c r="G163" s="156"/>
      <c r="H163" s="24" t="e">
        <f t="shared" si="16"/>
        <v>#N/A</v>
      </c>
      <c r="I163" s="152" t="e">
        <f>VLOOKUP(A163,$A$28:$J$72,9,FALSE)</f>
        <v>#N/A</v>
      </c>
      <c r="J163" s="152"/>
      <c r="M163" s="22" t="s">
        <v>72</v>
      </c>
      <c r="N163" s="1">
        <v>0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6">
        <f t="shared" ref="F164:F187" si="19">IF(ISERROR(VLOOKUP(A164,$A$28:$J$72,6,FALSE)),0,VLOOKUP(A164,$A$28:$J$72,6,FALSE))</f>
        <v>0</v>
      </c>
      <c r="G164" s="156"/>
      <c r="H164" s="29" t="e">
        <f t="shared" si="16"/>
        <v>#N/A</v>
      </c>
      <c r="I164" s="152" t="e">
        <f t="shared" ref="I164:I187" si="20">VLOOKUP(A164,$A$28:$J$72,9,FALSE)</f>
        <v>#N/A</v>
      </c>
      <c r="J164" s="152"/>
      <c r="M164" s="22" t="s">
        <v>72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6">
        <f t="shared" si="19"/>
        <v>0</v>
      </c>
      <c r="G165" s="156"/>
      <c r="H165" s="29" t="e">
        <f t="shared" si="16"/>
        <v>#N/A</v>
      </c>
      <c r="I165" s="152" t="e">
        <f t="shared" si="20"/>
        <v>#N/A</v>
      </c>
      <c r="J165" s="152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6">
        <f t="shared" si="19"/>
        <v>0</v>
      </c>
      <c r="G166" s="156"/>
      <c r="H166" s="29" t="e">
        <f t="shared" si="16"/>
        <v>#N/A</v>
      </c>
      <c r="I166" s="152" t="e">
        <f t="shared" si="20"/>
        <v>#N/A</v>
      </c>
      <c r="J166" s="152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6">
        <f t="shared" si="19"/>
        <v>0</v>
      </c>
      <c r="G167" s="156"/>
      <c r="H167" s="29" t="e">
        <f t="shared" si="16"/>
        <v>#N/A</v>
      </c>
      <c r="I167" s="152" t="e">
        <f t="shared" si="20"/>
        <v>#N/A</v>
      </c>
      <c r="J167" s="152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6">
        <f t="shared" si="19"/>
        <v>0</v>
      </c>
      <c r="G168" s="156"/>
      <c r="H168" s="29" t="e">
        <f t="shared" si="16"/>
        <v>#N/A</v>
      </c>
      <c r="I168" s="152" t="e">
        <f t="shared" si="20"/>
        <v>#N/A</v>
      </c>
      <c r="J168" s="152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6">
        <f t="shared" si="19"/>
        <v>0</v>
      </c>
      <c r="G169" s="156"/>
      <c r="H169" s="29" t="e">
        <f t="shared" si="16"/>
        <v>#N/A</v>
      </c>
      <c r="I169" s="152" t="e">
        <f t="shared" si="20"/>
        <v>#N/A</v>
      </c>
      <c r="J169" s="152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6">
        <f t="shared" si="19"/>
        <v>0</v>
      </c>
      <c r="G170" s="156"/>
      <c r="H170" s="29" t="e">
        <f t="shared" si="16"/>
        <v>#N/A</v>
      </c>
      <c r="I170" s="152" t="e">
        <f t="shared" si="20"/>
        <v>#N/A</v>
      </c>
      <c r="J170" s="152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6">
        <f t="shared" si="19"/>
        <v>0</v>
      </c>
      <c r="G171" s="156"/>
      <c r="H171" s="29" t="e">
        <f t="shared" si="16"/>
        <v>#N/A</v>
      </c>
      <c r="I171" s="152" t="e">
        <f t="shared" si="20"/>
        <v>#N/A</v>
      </c>
      <c r="J171" s="152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6">
        <f t="shared" si="19"/>
        <v>0</v>
      </c>
      <c r="G172" s="156"/>
      <c r="H172" s="29" t="e">
        <f t="shared" si="16"/>
        <v>#N/A</v>
      </c>
      <c r="I172" s="152" t="e">
        <f t="shared" si="20"/>
        <v>#N/A</v>
      </c>
      <c r="J172" s="152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6">
        <f t="shared" si="19"/>
        <v>0</v>
      </c>
      <c r="G173" s="156"/>
      <c r="H173" s="29" t="e">
        <f t="shared" si="16"/>
        <v>#N/A</v>
      </c>
      <c r="I173" s="152" t="e">
        <f t="shared" si="20"/>
        <v>#N/A</v>
      </c>
      <c r="J173" s="152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6">
        <f t="shared" si="19"/>
        <v>0</v>
      </c>
      <c r="G174" s="156"/>
      <c r="H174" s="29" t="e">
        <f t="shared" si="16"/>
        <v>#N/A</v>
      </c>
      <c r="I174" s="152" t="e">
        <f t="shared" si="20"/>
        <v>#N/A</v>
      </c>
      <c r="J174" s="152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6">
        <f t="shared" si="19"/>
        <v>0</v>
      </c>
      <c r="G175" s="156"/>
      <c r="H175" s="29" t="e">
        <f t="shared" si="16"/>
        <v>#N/A</v>
      </c>
      <c r="I175" s="152" t="e">
        <f t="shared" si="20"/>
        <v>#N/A</v>
      </c>
      <c r="J175" s="152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6">
        <f t="shared" si="19"/>
        <v>0</v>
      </c>
      <c r="G176" s="156"/>
      <c r="H176" s="29" t="e">
        <f t="shared" si="16"/>
        <v>#N/A</v>
      </c>
      <c r="I176" s="152" t="e">
        <f t="shared" si="20"/>
        <v>#N/A</v>
      </c>
      <c r="J176" s="152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6">
        <f t="shared" si="19"/>
        <v>0</v>
      </c>
      <c r="G177" s="156"/>
      <c r="H177" s="29" t="e">
        <f t="shared" si="16"/>
        <v>#N/A</v>
      </c>
      <c r="I177" s="152" t="e">
        <f t="shared" si="20"/>
        <v>#N/A</v>
      </c>
      <c r="J177" s="152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6">
        <f t="shared" si="19"/>
        <v>0</v>
      </c>
      <c r="G178" s="156"/>
      <c r="H178" s="29" t="e">
        <f t="shared" si="16"/>
        <v>#N/A</v>
      </c>
      <c r="I178" s="152" t="e">
        <f t="shared" si="20"/>
        <v>#N/A</v>
      </c>
      <c r="J178" s="152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6">
        <f t="shared" si="19"/>
        <v>0</v>
      </c>
      <c r="G179" s="156"/>
      <c r="H179" s="29" t="e">
        <f t="shared" si="16"/>
        <v>#N/A</v>
      </c>
      <c r="I179" s="152" t="e">
        <f t="shared" si="20"/>
        <v>#N/A</v>
      </c>
      <c r="J179" s="152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6">
        <f t="shared" si="19"/>
        <v>0</v>
      </c>
      <c r="G180" s="156"/>
      <c r="H180" s="29" t="e">
        <f t="shared" si="16"/>
        <v>#N/A</v>
      </c>
      <c r="I180" s="152" t="e">
        <f t="shared" si="20"/>
        <v>#N/A</v>
      </c>
      <c r="J180" s="152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6">
        <f t="shared" si="19"/>
        <v>0</v>
      </c>
      <c r="G181" s="156"/>
      <c r="H181" s="29" t="e">
        <f t="shared" si="16"/>
        <v>#N/A</v>
      </c>
      <c r="I181" s="152" t="e">
        <f t="shared" si="20"/>
        <v>#N/A</v>
      </c>
      <c r="J181" s="152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6">
        <f t="shared" si="19"/>
        <v>0</v>
      </c>
      <c r="G182" s="156"/>
      <c r="H182" s="29" t="e">
        <f t="shared" si="16"/>
        <v>#N/A</v>
      </c>
      <c r="I182" s="152" t="e">
        <f t="shared" si="20"/>
        <v>#N/A</v>
      </c>
      <c r="J182" s="152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6">
        <f t="shared" si="19"/>
        <v>0</v>
      </c>
      <c r="G183" s="156"/>
      <c r="H183" s="29" t="e">
        <f t="shared" si="16"/>
        <v>#N/A</v>
      </c>
      <c r="I183" s="152" t="e">
        <f t="shared" si="20"/>
        <v>#N/A</v>
      </c>
      <c r="J183" s="152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6">
        <f t="shared" si="19"/>
        <v>0</v>
      </c>
      <c r="G184" s="156"/>
      <c r="H184" s="29" t="e">
        <f t="shared" si="16"/>
        <v>#N/A</v>
      </c>
      <c r="I184" s="152" t="e">
        <f t="shared" si="20"/>
        <v>#N/A</v>
      </c>
      <c r="J184" s="152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6">
        <f t="shared" si="19"/>
        <v>0</v>
      </c>
      <c r="G185" s="156"/>
      <c r="H185" s="29" t="e">
        <f t="shared" si="16"/>
        <v>#N/A</v>
      </c>
      <c r="I185" s="152" t="e">
        <f t="shared" si="20"/>
        <v>#N/A</v>
      </c>
      <c r="J185" s="152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6">
        <f t="shared" si="19"/>
        <v>0</v>
      </c>
      <c r="G186" s="156"/>
      <c r="H186" s="29" t="e">
        <f t="shared" si="16"/>
        <v>#N/A</v>
      </c>
      <c r="I186" s="152" t="e">
        <f t="shared" si="20"/>
        <v>#N/A</v>
      </c>
      <c r="J186" s="152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6">
        <f t="shared" si="19"/>
        <v>0</v>
      </c>
      <c r="G187" s="156"/>
      <c r="H187" s="29" t="e">
        <f t="shared" si="16"/>
        <v>#N/A</v>
      </c>
      <c r="I187" s="152" t="e">
        <f t="shared" si="20"/>
        <v>#N/A</v>
      </c>
      <c r="J187" s="152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6" t="s">
        <v>195</v>
      </c>
      <c r="B190" s="176"/>
      <c r="C190" s="176"/>
      <c r="D190" s="176"/>
      <c r="E190" s="27">
        <f>SUM(F158:G187)</f>
        <v>21788.87</v>
      </c>
    </row>
    <row r="191" spans="1:14" ht="51.75" customHeight="1">
      <c r="A191" s="176" t="s">
        <v>193</v>
      </c>
      <c r="B191" s="176"/>
      <c r="C191" s="176"/>
      <c r="D191" s="176"/>
      <c r="E191" s="27">
        <f>E190+E154-E155</f>
        <v>-381057.03</v>
      </c>
    </row>
    <row r="192" spans="1:14">
      <c r="A192" s="104" t="s">
        <v>175</v>
      </c>
    </row>
    <row r="193" spans="1:10" ht="62.25" customHeight="1">
      <c r="A193" s="150" t="s">
        <v>194</v>
      </c>
      <c r="B193" s="150"/>
      <c r="C193" s="150"/>
      <c r="D193" s="150"/>
      <c r="E193" s="150"/>
      <c r="F193" s="150"/>
      <c r="G193" s="150"/>
      <c r="H193" s="150"/>
      <c r="I193" s="150"/>
      <c r="J193" s="150"/>
    </row>
    <row r="194" spans="1:10">
      <c r="A194" s="148" t="str">
        <f>ПТО!F12</f>
        <v xml:space="preserve">  -  поверка (замена) манометров и термометров</v>
      </c>
      <c r="B194" s="148"/>
      <c r="C194" s="148"/>
      <c r="D194" s="148"/>
      <c r="E194" s="148"/>
      <c r="F194" s="148"/>
      <c r="G194" s="148"/>
      <c r="H194" s="49">
        <f>ПТО!G12</f>
        <v>1200</v>
      </c>
      <c r="I194" s="50" t="s">
        <v>74</v>
      </c>
    </row>
    <row r="195" spans="1:10" ht="18.75" customHeight="1">
      <c r="A195" s="148" t="str">
        <f>ПТО!F13</f>
        <v xml:space="preserve">  -  техническое освидетельствование лифта</v>
      </c>
      <c r="B195" s="148"/>
      <c r="C195" s="148"/>
      <c r="D195" s="148"/>
      <c r="E195" s="148"/>
      <c r="F195" s="148"/>
      <c r="G195" s="148"/>
      <c r="H195" s="49">
        <f>ПТО!G13</f>
        <v>4100</v>
      </c>
      <c r="I195" s="50" t="s">
        <v>74</v>
      </c>
    </row>
    <row r="196" spans="1:10" ht="18.75" customHeight="1">
      <c r="A196" s="148" t="str">
        <f>ПТО!F14</f>
        <v xml:space="preserve">  -  техническое обслуживание системы видеонаблюдения</v>
      </c>
      <c r="B196" s="148"/>
      <c r="C196" s="148"/>
      <c r="D196" s="148"/>
      <c r="E196" s="148"/>
      <c r="F196" s="148"/>
      <c r="G196" s="148"/>
      <c r="H196" s="49">
        <f>ПТО!G14</f>
        <v>33600</v>
      </c>
      <c r="I196" s="50" t="s">
        <v>74</v>
      </c>
    </row>
    <row r="197" spans="1:10" ht="18.75" customHeight="1">
      <c r="A197" s="148" t="str">
        <f>ПТО!F15</f>
        <v xml:space="preserve">  -  ремонт подъезда</v>
      </c>
      <c r="B197" s="148"/>
      <c r="C197" s="148"/>
      <c r="D197" s="148"/>
      <c r="E197" s="148"/>
      <c r="F197" s="148"/>
      <c r="G197" s="148"/>
      <c r="H197" s="49">
        <f>ПТО!G15</f>
        <v>306000</v>
      </c>
      <c r="I197" s="50" t="s">
        <v>74</v>
      </c>
    </row>
    <row r="198" spans="1:10" ht="18.75" customHeight="1">
      <c r="A198" s="148" t="str">
        <f>ПТО!F16</f>
        <v xml:space="preserve">  -  ремонт крыльца</v>
      </c>
      <c r="B198" s="148"/>
      <c r="C198" s="148"/>
      <c r="D198" s="148"/>
      <c r="E198" s="148"/>
      <c r="F198" s="148"/>
      <c r="G198" s="148"/>
      <c r="H198" s="49">
        <f>ПТО!G16</f>
        <v>60000</v>
      </c>
      <c r="I198" s="52" t="s">
        <v>74</v>
      </c>
    </row>
    <row r="199" spans="1:10" ht="18.75" hidden="1" customHeight="1">
      <c r="A199" s="148">
        <f>ПТО!F17</f>
        <v>0</v>
      </c>
      <c r="B199" s="148"/>
      <c r="C199" s="148"/>
      <c r="D199" s="148"/>
      <c r="E199" s="148"/>
      <c r="F199" s="148"/>
      <c r="G199" s="148"/>
      <c r="H199" s="49">
        <f>ПТО!G17</f>
        <v>0</v>
      </c>
      <c r="I199" s="50" t="s">
        <v>74</v>
      </c>
    </row>
    <row r="200" spans="1:10" hidden="1">
      <c r="A200" s="148">
        <f>ПТО!F18</f>
        <v>0</v>
      </c>
      <c r="B200" s="148"/>
      <c r="C200" s="148"/>
      <c r="D200" s="148"/>
      <c r="E200" s="148"/>
      <c r="F200" s="148"/>
      <c r="G200" s="148"/>
      <c r="H200" s="49">
        <f>ПТО!G18</f>
        <v>0</v>
      </c>
      <c r="I200" s="50" t="s">
        <v>74</v>
      </c>
    </row>
    <row r="201" spans="1:10" hidden="1">
      <c r="A201" s="148">
        <f>ПТО!F19</f>
        <v>0</v>
      </c>
      <c r="B201" s="148"/>
      <c r="C201" s="148"/>
      <c r="D201" s="148"/>
      <c r="E201" s="148"/>
      <c r="F201" s="148"/>
      <c r="G201" s="148"/>
      <c r="H201" s="49">
        <f>ПТО!G19</f>
        <v>0</v>
      </c>
      <c r="I201" s="50" t="s">
        <v>74</v>
      </c>
    </row>
    <row r="202" spans="1:10" hidden="1">
      <c r="A202" s="148">
        <f>ПТО!F20</f>
        <v>0</v>
      </c>
      <c r="B202" s="148"/>
      <c r="C202" s="148"/>
      <c r="D202" s="148"/>
      <c r="E202" s="148"/>
      <c r="F202" s="148"/>
      <c r="G202" s="148"/>
      <c r="H202" s="49">
        <f>ПТО!G20</f>
        <v>0</v>
      </c>
      <c r="I202" s="50" t="s">
        <v>74</v>
      </c>
    </row>
    <row r="203" spans="1:10" hidden="1">
      <c r="A203" s="148">
        <f>ПТО!F21</f>
        <v>0</v>
      </c>
      <c r="B203" s="148"/>
      <c r="C203" s="148"/>
      <c r="D203" s="148"/>
      <c r="E203" s="148"/>
      <c r="F203" s="148"/>
      <c r="G203" s="148"/>
      <c r="H203" s="49">
        <f>ПТО!G21</f>
        <v>0</v>
      </c>
      <c r="I203" s="50" t="s">
        <v>74</v>
      </c>
    </row>
    <row r="204" spans="1:10" hidden="1">
      <c r="A204" s="148">
        <f>ПТО!F22</f>
        <v>0</v>
      </c>
      <c r="B204" s="148"/>
      <c r="C204" s="148"/>
      <c r="D204" s="148"/>
      <c r="E204" s="148"/>
      <c r="F204" s="148"/>
      <c r="G204" s="148"/>
      <c r="H204" s="49">
        <f>ПТО!G22</f>
        <v>0</v>
      </c>
      <c r="I204" s="50" t="s">
        <v>74</v>
      </c>
    </row>
    <row r="205" spans="1:10" hidden="1">
      <c r="A205" s="148">
        <f>ПТО!F23</f>
        <v>0</v>
      </c>
      <c r="B205" s="148"/>
      <c r="C205" s="148"/>
      <c r="D205" s="148"/>
      <c r="E205" s="148"/>
      <c r="F205" s="148"/>
      <c r="G205" s="148"/>
      <c r="H205" s="49">
        <f>ПТО!G23</f>
        <v>0</v>
      </c>
      <c r="I205" s="50" t="s">
        <v>74</v>
      </c>
    </row>
    <row r="206" spans="1:10" hidden="1">
      <c r="A206" s="148">
        <f>ПТО!F24</f>
        <v>0</v>
      </c>
      <c r="B206" s="148"/>
      <c r="C206" s="148"/>
      <c r="D206" s="148"/>
      <c r="E206" s="148"/>
      <c r="F206" s="148"/>
      <c r="G206" s="148"/>
      <c r="H206" s="49">
        <f>ПТО!G24</f>
        <v>0</v>
      </c>
      <c r="I206" s="50" t="s">
        <v>74</v>
      </c>
    </row>
    <row r="207" spans="1:10" hidden="1">
      <c r="A207" s="148">
        <f>ПТО!F25</f>
        <v>0</v>
      </c>
      <c r="B207" s="148"/>
      <c r="C207" s="148"/>
      <c r="D207" s="148"/>
      <c r="E207" s="148"/>
      <c r="F207" s="148"/>
      <c r="G207" s="148"/>
      <c r="H207" s="49">
        <f>ПТО!G25</f>
        <v>0</v>
      </c>
      <c r="I207" s="50" t="s">
        <v>74</v>
      </c>
    </row>
    <row r="208" spans="1:10" hidden="1">
      <c r="A208" s="148">
        <f>ПТО!F26</f>
        <v>0</v>
      </c>
      <c r="B208" s="148"/>
      <c r="C208" s="148"/>
      <c r="D208" s="148"/>
      <c r="E208" s="148"/>
      <c r="F208" s="148"/>
      <c r="G208" s="148"/>
      <c r="H208" s="49">
        <f>ПТО!G26</f>
        <v>0</v>
      </c>
      <c r="I208" s="50" t="s">
        <v>74</v>
      </c>
    </row>
    <row r="209" spans="1:9" hidden="1">
      <c r="A209" s="148">
        <f>ПТО!F27</f>
        <v>0</v>
      </c>
      <c r="B209" s="148"/>
      <c r="C209" s="148"/>
      <c r="D209" s="148"/>
      <c r="E209" s="148"/>
      <c r="F209" s="148"/>
      <c r="G209" s="148"/>
      <c r="H209" s="49">
        <f>ПТО!G27</f>
        <v>0</v>
      </c>
      <c r="I209" s="50" t="s">
        <v>74</v>
      </c>
    </row>
    <row r="210" spans="1:9" hidden="1">
      <c r="A210" s="148">
        <f>ПТО!F28</f>
        <v>0</v>
      </c>
      <c r="B210" s="148"/>
      <c r="C210" s="148"/>
      <c r="D210" s="148"/>
      <c r="E210" s="148"/>
      <c r="F210" s="148"/>
      <c r="G210" s="148"/>
      <c r="H210" s="49">
        <f>ПТО!G28</f>
        <v>0</v>
      </c>
      <c r="I210" s="50" t="s">
        <v>74</v>
      </c>
    </row>
    <row r="211" spans="1:9" hidden="1">
      <c r="A211" s="148">
        <f>ПТО!F29</f>
        <v>0</v>
      </c>
      <c r="B211" s="148"/>
      <c r="C211" s="148"/>
      <c r="D211" s="148"/>
      <c r="E211" s="148"/>
      <c r="F211" s="148"/>
      <c r="G211" s="148"/>
      <c r="H211" s="49">
        <f>ПТО!G29</f>
        <v>0</v>
      </c>
      <c r="I211" s="50" t="s">
        <v>74</v>
      </c>
    </row>
    <row r="212" spans="1:9" hidden="1">
      <c r="A212" s="148">
        <f>ПТО!F30</f>
        <v>0</v>
      </c>
      <c r="B212" s="148"/>
      <c r="C212" s="148"/>
      <c r="D212" s="148"/>
      <c r="E212" s="148"/>
      <c r="F212" s="148"/>
      <c r="G212" s="148"/>
      <c r="H212" s="49">
        <f>ПТО!G30</f>
        <v>0</v>
      </c>
      <c r="I212" s="50" t="s">
        <v>74</v>
      </c>
    </row>
    <row r="213" spans="1:9" hidden="1">
      <c r="A213" s="148">
        <f>ПТО!F31</f>
        <v>0</v>
      </c>
      <c r="B213" s="148"/>
      <c r="C213" s="148"/>
      <c r="D213" s="148"/>
      <c r="E213" s="148"/>
      <c r="F213" s="148"/>
      <c r="G213" s="148"/>
      <c r="H213" s="49">
        <f>ПТО!G31</f>
        <v>0</v>
      </c>
      <c r="I213" s="50" t="s">
        <v>74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404900</v>
      </c>
      <c r="I214" s="56" t="s">
        <v>78</v>
      </c>
    </row>
  </sheetData>
  <sheetProtection algorithmName="SHA-512" hashValue="5wdiayK6XaVfsVTyjBzyCkS2RdzJ7fKARFNj2faRV0eg9OwdEVXBucLEuH8brPice60VxGi/Fs/mRoadB/ghsg==" saltValue="gvOrh55k9vZtFMPBej0tJ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5" sqref="G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v>-222215.9</v>
      </c>
    </row>
    <row r="2" spans="1:12" ht="18.75" customHeight="1">
      <c r="A2" s="132" t="s">
        <v>199</v>
      </c>
      <c r="B2" s="133" t="s">
        <v>180</v>
      </c>
      <c r="C2" s="134">
        <v>1</v>
      </c>
      <c r="D2" s="135">
        <v>4500</v>
      </c>
      <c r="E2" s="136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198</v>
      </c>
      <c r="B3" s="138" t="s">
        <v>180</v>
      </c>
      <c r="C3" s="134">
        <v>1</v>
      </c>
      <c r="D3" s="135">
        <v>13244</v>
      </c>
      <c r="E3" s="136" t="s">
        <v>201</v>
      </c>
      <c r="F3" s="30"/>
      <c r="G3" s="30"/>
      <c r="L3" s="33" t="str">
        <f t="shared" si="0"/>
        <v>ТР</v>
      </c>
    </row>
    <row r="4" spans="1:12" ht="18.75" customHeight="1">
      <c r="A4" s="120" t="s">
        <v>202</v>
      </c>
      <c r="B4" s="140" t="s">
        <v>180</v>
      </c>
      <c r="C4" s="119">
        <v>1</v>
      </c>
      <c r="D4" s="118">
        <v>1800</v>
      </c>
      <c r="E4" s="139" t="s">
        <v>203</v>
      </c>
      <c r="F4" s="30"/>
      <c r="G4" s="30"/>
      <c r="L4" s="33" t="str">
        <f t="shared" si="0"/>
        <v>ТР</v>
      </c>
    </row>
    <row r="5" spans="1:12" ht="30" customHeight="1">
      <c r="A5" s="143" t="s">
        <v>206</v>
      </c>
      <c r="B5" s="141" t="s">
        <v>180</v>
      </c>
      <c r="C5" s="119">
        <v>1</v>
      </c>
      <c r="D5" s="118">
        <f>154.11+2090.76</f>
        <v>2244.8700000000003</v>
      </c>
      <c r="E5" s="136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44"/>
      <c r="B6" s="145"/>
      <c r="C6" s="146"/>
      <c r="D6" s="147"/>
      <c r="E6" s="144"/>
      <c r="F6" s="44"/>
      <c r="G6" s="44"/>
      <c r="K6" s="46"/>
      <c r="L6" s="33">
        <f t="shared" si="0"/>
        <v>0</v>
      </c>
    </row>
    <row r="7" spans="1:12" ht="30" customHeight="1">
      <c r="A7" s="124"/>
      <c r="B7" s="125"/>
      <c r="C7" s="126"/>
      <c r="D7" s="127"/>
      <c r="E7" s="128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194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4100</v>
      </c>
      <c r="L13" s="33">
        <f t="shared" si="0"/>
        <v>0</v>
      </c>
    </row>
    <row r="14" spans="1:12" ht="31.5">
      <c r="A14" s="30"/>
      <c r="F14" s="112" t="s">
        <v>76</v>
      </c>
      <c r="G14" s="114">
        <v>33600</v>
      </c>
      <c r="L14" s="33">
        <f t="shared" si="0"/>
        <v>0</v>
      </c>
    </row>
    <row r="15" spans="1:12" ht="15.75">
      <c r="A15" s="30"/>
      <c r="F15" s="112" t="s">
        <v>191</v>
      </c>
      <c r="G15" s="113">
        <v>306000</v>
      </c>
      <c r="L15" s="33">
        <f t="shared" si="0"/>
        <v>0</v>
      </c>
    </row>
    <row r="16" spans="1:12" ht="15.75">
      <c r="A16" s="30"/>
      <c r="F16" s="121" t="s">
        <v>207</v>
      </c>
      <c r="G16" s="114">
        <v>60000</v>
      </c>
      <c r="L16" s="33">
        <f t="shared" si="0"/>
        <v>0</v>
      </c>
    </row>
    <row r="17" spans="1:12" ht="15.75">
      <c r="A17" s="30"/>
      <c r="F17" s="121"/>
      <c r="G17" s="114"/>
      <c r="L17" s="33">
        <f t="shared" si="0"/>
        <v>0</v>
      </c>
    </row>
    <row r="18" spans="1:12" ht="15.75">
      <c r="A18" s="30"/>
      <c r="F18" s="121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 ht="15.75">
      <c r="A20" s="30"/>
      <c r="F20" s="123"/>
      <c r="G20" s="122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5.53*D45*'[1]Абонентский отдел'!F1</f>
        <v>198821.196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198821.196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f>1.53*D45*'[1]Абонентский отдел'!F1</f>
        <v>55008.395999999993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55008.395999999993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1.4*D45*'[1]Абонентский отдел'!F1</f>
        <v>50334.479999999989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50334.479999999989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1.2*D45*'[1]Абонентский отдел'!F1</f>
        <v>43143.839999999997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43143.839999999997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>
        <v>12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12</v>
      </c>
    </row>
    <row r="44" spans="1:16" ht="25.5">
      <c r="A44" s="37" t="s">
        <v>24</v>
      </c>
      <c r="B44" s="38">
        <f>0.35*D45*'[1]Абонентский отдел'!F1</f>
        <v>12583.619999999997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12583.619999999997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1.59*D45*'[1]Абонентский отдел'!F1</f>
        <v>57165.588000000003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57165.588000000003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38">
        <f>0.88*D45*'[1]Абонентский отдел'!F1</f>
        <v>31638.815999999999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Тех. обслуживание видеонаблюдения (сод)</v>
      </c>
      <c r="N46" s="41">
        <f t="shared" si="4"/>
        <v>31638.815999999999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9"/>
      <c r="C47" s="130"/>
      <c r="D47" s="48"/>
      <c r="E47" s="129">
        <v>558.9</v>
      </c>
      <c r="F47" s="129">
        <v>342.5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1" t="s">
        <v>181</v>
      </c>
      <c r="F52" s="131" t="s">
        <v>182</v>
      </c>
      <c r="G52" s="131" t="s">
        <v>183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1">
        <v>35.896999999999998</v>
      </c>
      <c r="F53" s="129">
        <v>2868.5</v>
      </c>
      <c r="G53" s="131">
        <v>3.48</v>
      </c>
      <c r="H53" s="131">
        <f>G53*E47/F53</f>
        <v>0.67804497123932372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1"/>
      <c r="F54" s="131" t="s">
        <v>184</v>
      </c>
      <c r="G54" s="131" t="s">
        <v>185</v>
      </c>
      <c r="H54" s="131">
        <f>H53*G56</f>
        <v>26.511558375457557</v>
      </c>
    </row>
    <row r="55" spans="5:16">
      <c r="E55" s="131"/>
      <c r="F55" s="131">
        <v>1.17</v>
      </c>
      <c r="G55" s="131">
        <v>1.23</v>
      </c>
      <c r="H55" s="131"/>
    </row>
    <row r="56" spans="5:16">
      <c r="E56" s="131"/>
      <c r="F56" s="131"/>
      <c r="G56" s="131">
        <v>39.1</v>
      </c>
      <c r="H56" s="131"/>
    </row>
    <row r="57" spans="5:16">
      <c r="E57" s="131"/>
      <c r="F57" s="131"/>
      <c r="G57" s="131"/>
      <c r="H57" s="131"/>
    </row>
    <row r="58" spans="5:16">
      <c r="E58" s="131" t="s">
        <v>186</v>
      </c>
      <c r="F58" s="131"/>
      <c r="G58" s="131"/>
      <c r="H58" s="131"/>
    </row>
    <row r="59" spans="5:16">
      <c r="E59" s="131">
        <v>0.59599999999999997</v>
      </c>
      <c r="F59" s="129">
        <v>2868.5</v>
      </c>
      <c r="G59" s="131">
        <v>7.4999999999999997E-2</v>
      </c>
      <c r="H59" s="131">
        <f>G59*F47</f>
        <v>25.6875</v>
      </c>
    </row>
    <row r="60" spans="5:16">
      <c r="E60" s="131"/>
      <c r="F60" s="131" t="s">
        <v>184</v>
      </c>
      <c r="G60" s="131" t="s">
        <v>185</v>
      </c>
      <c r="H60" s="131">
        <f>H59/F59</f>
        <v>8.9550287606763122E-3</v>
      </c>
    </row>
    <row r="61" spans="5:16">
      <c r="E61" s="131"/>
      <c r="F61" s="131">
        <v>12.94</v>
      </c>
      <c r="G61" s="131">
        <v>13.45</v>
      </c>
      <c r="H61" s="131">
        <f>H60*G56</f>
        <v>0.3501416245424438</v>
      </c>
    </row>
    <row r="62" spans="5:16">
      <c r="E62" s="131" t="s">
        <v>187</v>
      </c>
      <c r="F62" s="131"/>
      <c r="G62" s="131"/>
      <c r="H62" s="131"/>
    </row>
    <row r="63" spans="5:16">
      <c r="E63" s="131">
        <v>0.59599999999999997</v>
      </c>
      <c r="F63" s="129">
        <v>2868.5</v>
      </c>
      <c r="G63" s="131">
        <v>7.4999999999999997E-2</v>
      </c>
      <c r="H63" s="131">
        <f>G63*F47</f>
        <v>25.6875</v>
      </c>
    </row>
    <row r="64" spans="5:16">
      <c r="E64" s="131"/>
      <c r="F64" s="131" t="s">
        <v>184</v>
      </c>
      <c r="G64" s="131" t="s">
        <v>185</v>
      </c>
      <c r="H64" s="131">
        <f>H63/F63</f>
        <v>8.9550287606763122E-3</v>
      </c>
    </row>
    <row r="65" spans="4:13" ht="18.75" customHeight="1">
      <c r="E65" s="131"/>
      <c r="F65" s="131">
        <v>15.73</v>
      </c>
      <c r="G65" s="131">
        <v>16.350000000000001</v>
      </c>
      <c r="H65" s="131">
        <f>H64*G56</f>
        <v>0.3501416245424438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IYvmbZIRZousQORojsHHQ5qxg0hfWZB71bCWS3X769JwkuXzYVD7+Ccz0vhP6ZqOQRxTVL6mAJr7BLAvRPoAw==" saltValue="3D5oUCNByOEuo9Q473wP7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23" sqref="E2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3010.5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>
        <v>196.2</v>
      </c>
      <c r="F2" s="61" t="s">
        <v>188</v>
      </c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>
        <v>4.8</v>
      </c>
      <c r="F3" s="61" t="s">
        <v>189</v>
      </c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134537.31</v>
      </c>
      <c r="D4" s="81" t="s">
        <v>60</v>
      </c>
      <c r="E4" s="61">
        <v>-58365.34</v>
      </c>
      <c r="F4" s="61" t="s">
        <v>190</v>
      </c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818054.21</v>
      </c>
      <c r="D5" s="80" t="s">
        <v>59</v>
      </c>
      <c r="E5" s="61"/>
      <c r="F5" s="142" t="s">
        <v>205</v>
      </c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482671.16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(F1*5*12)</f>
        <v>180630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154753.04999999999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754856.52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754856.52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754856.52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197735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106</v>
      </c>
      <c r="B27" s="75" t="s">
        <v>4</v>
      </c>
      <c r="C27" s="86">
        <v>0</v>
      </c>
      <c r="D27" s="81" t="s">
        <v>60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109</v>
      </c>
      <c r="B30" s="75" t="s">
        <v>18</v>
      </c>
      <c r="C30" s="86">
        <v>1903.57</v>
      </c>
      <c r="D30" s="81" t="s">
        <v>66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116563.06</v>
      </c>
      <c r="F45" s="94" t="s">
        <v>168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8000.21</v>
      </c>
      <c r="D46" s="94" t="s">
        <v>169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115873.32</v>
      </c>
      <c r="D47" s="94" t="s">
        <v>167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689.73999999999069</v>
      </c>
      <c r="D48" s="80" t="s">
        <v>59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116563.06</v>
      </c>
      <c r="D49" s="80" t="s">
        <v>59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116563.06</v>
      </c>
      <c r="D50" s="80" t="s">
        <v>59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141731.98000000001</v>
      </c>
      <c r="F53" s="94" t="s">
        <v>168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8002.94</v>
      </c>
      <c r="D54" s="94" t="s">
        <v>169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140518.15</v>
      </c>
      <c r="D55" s="94" t="s">
        <v>167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1213.8300000000163</v>
      </c>
      <c r="D56" s="80" t="s">
        <v>59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141731.98000000001</v>
      </c>
      <c r="D57" s="80" t="s">
        <v>59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141731.98000000001</v>
      </c>
      <c r="D58" s="80" t="s">
        <v>59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6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165678.89000000001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2024-03-28T05:09:56Z</dcterms:modified>
</cp:coreProperties>
</file>