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10" i="2" l="1"/>
  <c r="G1" i="2" l="1"/>
  <c r="B42" i="2" l="1"/>
  <c r="B44" i="2"/>
  <c r="B40" i="2"/>
  <c r="B45" i="2"/>
  <c r="B41" i="2"/>
  <c r="B39" i="2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5" i="1"/>
  <c r="G94" i="1"/>
  <c r="A94" i="1"/>
  <c r="K94" i="1"/>
  <c r="A111" i="1" l="1"/>
  <c r="A116" i="1"/>
  <c r="A117" i="1"/>
  <c r="A112" i="1"/>
  <c r="A110" i="1"/>
  <c r="A113" i="1"/>
  <c r="A105" i="1"/>
  <c r="D110" i="1"/>
  <c r="A114" i="1"/>
  <c r="A109" i="1"/>
  <c r="F110" i="1"/>
  <c r="F118" i="1"/>
  <c r="A122" i="1"/>
  <c r="F102" i="1"/>
  <c r="A123" i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0" i="1" l="1"/>
  <c r="H177" i="1"/>
  <c r="H167" i="1"/>
  <c r="F167" i="1"/>
  <c r="H186" i="1"/>
  <c r="F182" i="1"/>
  <c r="F175" i="1"/>
  <c r="H171" i="1"/>
  <c r="F180" i="1"/>
  <c r="F173" i="1"/>
  <c r="F171" i="1"/>
  <c r="H176" i="1"/>
  <c r="H174" i="1"/>
  <c r="F169" i="1"/>
  <c r="H182" i="1"/>
  <c r="F174" i="1"/>
  <c r="F183" i="1"/>
  <c r="H185" i="1"/>
  <c r="H183" i="1"/>
  <c r="H169" i="1"/>
  <c r="H164" i="1"/>
  <c r="H166" i="1"/>
  <c r="F187" i="1"/>
  <c r="H179" i="1"/>
  <c r="F165" i="1"/>
  <c r="H175" i="1"/>
  <c r="H181" i="1"/>
  <c r="H187" i="1"/>
  <c r="F177" i="1"/>
  <c r="F181" i="1"/>
  <c r="F166" i="1"/>
  <c r="H172" i="1"/>
  <c r="F179" i="1"/>
  <c r="F178" i="1"/>
  <c r="H178" i="1"/>
  <c r="H168" i="1"/>
  <c r="F168" i="1"/>
  <c r="H184" i="1"/>
  <c r="H173" i="1"/>
  <c r="F18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<sst xmlns="http://schemas.openxmlformats.org/spreadsheetml/2006/main" count="573" uniqueCount="217">
  <si>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</si>
  <si>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</si>
  <si>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</si>
  <si>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</si>
  <si>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</si>
  <si>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</si>
  <si>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</si>
  <si>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</si>
  <si>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</si>
  <si>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</si>
  <si>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</si>
  <si>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</si>
  <si>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</si>
  <si>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</si>
  <si>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</si>
  <si>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</si>
  <si>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</si>
  <si>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</si>
  <si>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</si>
  <si>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</si>
  <si>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</si>
  <si>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</si>
  <si>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</si>
  <si>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</si>
  <si>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</si>
  <si>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</si>
  <si>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</si>
  <si>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</si>
  <si>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</si>
  <si>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</si>
  <si>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</si>
  <si>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</si>
  <si>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</si>
  <si>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</si>
  <si>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</si>
  <si>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</si>
  <si>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</si>
  <si>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</si>
  <si>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</si>
  <si>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</si>
  <si>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</si>
  <si>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</si>
  <si>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</si>
  <si>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</si>
  <si>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</si>
  <si>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</si>
  <si>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</si>
  <si>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</si>
  <si>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</si>
  <si>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</si>
  <si>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</si>
  <si>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</si>
  <si>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</si>
  <si>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</si>
  <si>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</si>
  <si>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</si>
  <si>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</si>
  <si>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</si>
  <si>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</si>
  <si>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</si>
  <si>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</si>
  <si>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</si>
  <si>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</si>
  <si>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</si>
  <si>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</si>
  <si>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</si>
  <si>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</si>
  <si>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</si>
  <si>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</si>
  <si>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</si>
  <si>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</si>
  <si>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</si>
  <si>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</si>
  <si>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</si>
  <si>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</si>
  <si>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</si>
  <si>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</si>
  <si>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</si>
  <si>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</si>
  <si>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</si>
  <si>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</si>
  <si>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</si>
  <si>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</si>
  <si>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</si>
  <si>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</si>
  <si>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</si>
  <si>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</si>
  <si>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</si>
  <si>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</si>
  <si>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</si>
  <si>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</si>
  <si>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</si>
  <si>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</si>
  <si>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</si>
  <si>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</si>
  <si>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</si>
  <si>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</si>
  <si>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</si>
  <si>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</si>
  <si>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</si>
  <si>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</si>
  <si>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</si>
  <si>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</si>
  <si>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</si>
  <si>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</si>
  <si>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</si>
  <si>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</si>
  <si>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</si>
  <si>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</si>
  <si>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</si>
  <si>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</si>
  <si>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</si>
  <si>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</si>
  <si>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</si>
  <si>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</si>
  <si>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</si>
  <si>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</si>
  <si>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</si>
  <si>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</si>
  <si>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</si>
  <si>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</si>
  <si>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</si>
  <si>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</si>
  <si>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</si>
  <si>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</si>
  <si>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</si>
  <si>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</si>
  <si>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</si>
  <si>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</si>
  <si>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</si>
  <si>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</si>
  <si>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</si>
  <si>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</si>
  <si>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</si>
  <si>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</si>
  <si>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</si>
  <si>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</si>
  <si>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</si>
  <si>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</si>
  <si>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</si>
  <si>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</si>
  <si>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</si>
  <si>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</si>
  <si>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</si>
  <si>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</si>
  <si>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</si>
  <si>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</si>
  <si>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</si>
  <si>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</si>
  <si>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</si>
  <si>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</si>
  <si>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</si>
  <si>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</si>
  <si>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</si>
  <si>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</si>
  <si>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</si>
  <si>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</si>
  <si>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</si>
  <si>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</si>
  <si>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</si>
  <si>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</si>
  <si>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</si>
  <si>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</si>
  <si>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</si>
  <si>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</si>
  <si>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</si>
  <si>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</si>
  <si>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</si>
  <si>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</si>
  <si>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</si>
  <si>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</si>
  <si>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</si>
  <si>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</si>
  <si>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</si>
  <si>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</si>
  <si>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</si>
  <si>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</si>
  <si>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</si>
  <si>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</si>
  <si>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ежемесячно</t>
  </si>
  <si>
    <t>ежегодно</t>
  </si>
  <si>
    <t>площадь дома</t>
  </si>
  <si>
    <t>с 01.09.2019 приказ №62 от 26.08.2019 Протокол №1-2 от 22.07.2019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</si>
  <si>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</si>
  <si>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</si>
  <si>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</si>
  <si>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</si>
  <si>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</si>
  <si>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</si>
  <si>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</si>
  <si>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</si>
  <si>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</si>
  <si>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</si>
  <si>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</si>
  <si>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</si>
  <si>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</si>
  <si>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</si>
  <si>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</si>
  <si>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Уборка и вывоз снега с придомовой территории.</t>
  </si>
  <si>
    <t>разово</t>
  </si>
  <si>
    <t>АВР 1/23 от 15.03.2023, Решение</t>
  </si>
  <si>
    <t>Диагностика откатных ворот.</t>
  </si>
  <si>
    <t>АВР 2/23 от 24.01.2023, Решение</t>
  </si>
  <si>
    <t>Замена светильника в лифте.</t>
  </si>
  <si>
    <t>АВР 4/23 от 18.05.2023</t>
  </si>
  <si>
    <t>Монтаж платы управления и фотоэлементов откатных ворот.</t>
  </si>
  <si>
    <t>АВР 3/23 от 07.04.2023, счет №48 от 04.04.2023</t>
  </si>
  <si>
    <t>АВР 5/23 от 15.06.2023</t>
  </si>
  <si>
    <t>Приобретение и замена шаровых кранов (Ду 15-2 шт.) и манометров (9 шт.).</t>
  </si>
  <si>
    <t>Замена доводчика входной двери.</t>
  </si>
  <si>
    <t>Ремонт считывателя системы охранной сигнализации.</t>
  </si>
  <si>
    <t>Замена кодового замка на калитке.</t>
  </si>
  <si>
    <t>АВР 6/23 от 16.06.2023, счет №5603 от 06.10.2023</t>
  </si>
  <si>
    <t>АВР 7/23 от 08.09.2023, чек от 03.10.2023</t>
  </si>
  <si>
    <t>АВР 8/23 от 11.11.2023, счет №5080 от 05.07.2023</t>
  </si>
  <si>
    <t>АВР 9/23 от 28.12.2023</t>
  </si>
  <si>
    <t>АВР 10/23 от 24.11.2023,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</si>
</sst>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193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29" fillId="0" borderId="0" xfId="5" applyNumberFormat="1" applyFont="1" applyFill="1" applyBorder="1" applyAlignment="1"/>
    <xf numFmtId="2" fontId="29" fillId="4" borderId="0" xfId="6" applyNumberFormat="1" applyFont="1" applyFill="1" applyBorder="1"/>
    <xf numFmtId="0" fontId="0" fillId="6" borderId="0" xfId="0" applyFill="1" applyBorder="1"/>
    <xf numFmtId="0" fontId="22" fillId="0" borderId="0" xfId="6" applyFont="1"/>
    <xf numFmtId="0" fontId="29" fillId="0" borderId="0" xfId="5" applyFont="1" applyFill="1" applyBorder="1" applyAlignment="1">
      <alignment horizontal="center"/>
    </xf>
    <xf numFmtId="0" fontId="0" fillId="0" borderId="0" xfId="0" applyFill="1" applyBorder="1"/>
    <xf numFmtId="0" fontId="16" fillId="0" borderId="0" xfId="4" applyFill="1" applyBorder="1" applyAlignment="1">
      <alignment horizontal="center"/>
    </xf>
    <xf numFmtId="0" fontId="29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5" fillId="0" borderId="0" xfId="5" applyFill="1" applyBorder="1" applyAlignment="1">
      <alignment horizontal="center"/>
    </xf>
    <xf numFmtId="4" fontId="15" fillId="0" borderId="0" xfId="5" applyNumberFormat="1" applyFon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0" fillId="0" borderId="0" xfId="0" applyFill="1"/>
    <xf numFmtId="0" fontId="11" fillId="0" borderId="0" xfId="14" applyFont="1" applyFill="1" applyBorder="1" applyAlignment="1"/>
    <xf numFmtId="4" fontId="0" fillId="0" borderId="0" xfId="0" applyNumberFormat="1" applyBorder="1" applyAlignment="1">
      <alignment horizontal="center"/>
    </xf>
    <xf numFmtId="4" fontId="31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39" fillId="0" borderId="0" xfId="0" applyNumberFormat="1" applyFont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Fill="1" applyBorder="1"/>
    <xf numFmtId="0" fontId="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" fillId="0" borderId="0" xfId="5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4" applyFont="1" applyFill="1" applyBorder="1" applyAlignment="1"/>
    <xf numFmtId="0" fontId="4" fillId="0" borderId="0" xfId="14" applyFont="1" applyFill="1" applyBorder="1" applyAlignment="1"/>
    <xf numFmtId="0" fontId="4" fillId="0" borderId="0" xfId="14" applyFont="1" applyFill="1" applyBorder="1" applyAlignment="1">
      <alignment horizontal="center"/>
    </xf>
    <xf numFmtId="0" fontId="11" fillId="0" borderId="0" xfId="14" applyNumberFormat="1" applyFill="1" applyBorder="1" applyAlignment="1">
      <alignment horizontal="center"/>
    </xf>
    <xf numFmtId="4" fontId="11" fillId="0" borderId="0" xfId="14" applyNumberFormat="1" applyFill="1" applyBorder="1" applyAlignment="1"/>
    <xf numFmtId="0" fontId="5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4" fontId="15" fillId="0" borderId="0" xfId="5" applyNumberFormat="1" applyFill="1" applyBorder="1" applyAlignment="1"/>
    <xf numFmtId="0" fontId="1" fillId="0" borderId="0" xfId="4" applyFont="1" applyFill="1" applyBorder="1" applyAlignment="1"/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1"/>
    <cellStyle name="Обычный 2 4" xfId="16"/>
    <cellStyle name="Обычный 2 5" xfId="7"/>
    <cellStyle name="Обычный 3" xfId="2"/>
    <cellStyle name="Обычный 3 2" xfId="12"/>
    <cellStyle name="Обычный 3 3" xfId="17"/>
    <cellStyle name="Обычный 3 4" xfId="8"/>
    <cellStyle name="Обычный 4" xfId="4"/>
    <cellStyle name="Обычный 4 2" xfId="13"/>
    <cellStyle name="Обычный 4 3" xfId="18"/>
    <cellStyle name="Обычный 4 4" xfId="9"/>
    <cellStyle name="Обычный 5" xfId="5"/>
    <cellStyle name="Обычный 5 2" xfId="14"/>
    <cellStyle name="Обычный 5 3" xfId="19"/>
    <cellStyle name="Обычный 5 4" xfId="10"/>
    <cellStyle name="Обычный 6" xfId="6"/>
    <cellStyle name="Обычный 6 2" xfId="20"/>
    <cellStyle name="Обычный 6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177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0" t="s">
        <v>83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0" t="s">
        <v>84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728584.96</v>
      </c>
      <c r="K10" s="109"/>
      <c r="L10" s="180"/>
      <c r="M10" s="109"/>
      <c r="N10" s="109"/>
      <c r="O10" s="70" t="s">
        <v>85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637007.04</v>
      </c>
      <c r="K11" s="109"/>
      <c r="L11" s="180"/>
      <c r="M11" s="109"/>
      <c r="N11" s="109"/>
      <c r="O11" s="70" t="s">
        <v>86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297915.84000000003</v>
      </c>
      <c r="K12" s="109"/>
      <c r="L12" s="180"/>
      <c r="M12" s="109"/>
      <c r="N12" s="109"/>
      <c r="O12" s="70" t="s">
        <v>87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242208</v>
      </c>
      <c r="K13" s="109"/>
      <c r="L13" s="180"/>
      <c r="M13" s="109"/>
      <c r="N13" s="109"/>
      <c r="O13" s="70" t="s">
        <v>88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96883.199999999997</v>
      </c>
      <c r="K14" s="109"/>
      <c r="L14" s="180"/>
      <c r="M14" s="109"/>
      <c r="N14" s="109"/>
      <c r="O14" s="70" t="s">
        <v>89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652551.96</v>
      </c>
      <c r="K15" s="109"/>
      <c r="L15" s="180"/>
      <c r="M15" s="109"/>
      <c r="N15" s="109"/>
      <c r="O15" s="70" t="s">
        <v>90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652551.96</v>
      </c>
      <c r="K16" s="109"/>
      <c r="L16" s="180"/>
      <c r="M16" s="109"/>
      <c r="N16" s="109"/>
      <c r="O16" s="70" t="s">
        <v>91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0" t="s">
        <v>92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0" t="s">
        <v>93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0" t="s">
        <v>94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0" t="s">
        <v>95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652551.96</v>
      </c>
      <c r="K21" s="109"/>
      <c r="L21" s="180"/>
      <c r="M21" s="109"/>
      <c r="N21" s="109"/>
      <c r="O21" s="70" t="s">
        <v>96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0" t="s">
        <v>97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0" t="s">
        <v>98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713040.04</v>
      </c>
      <c r="K24" s="109"/>
      <c r="L24" s="18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104876.06400000001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53285.760000000009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41659.776000000005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29064.959999999999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9688.3200000000015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59340.960000000006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64">
        <f>ПТО!A46</f>
        <v>0</v>
      </c>
      <c r="B35" s="164"/>
      <c r="C35" s="164"/>
      <c r="D35" s="164"/>
      <c r="E35" s="164"/>
      <c r="F35" s="169" t="e">
        <f>VLOOKUP(A35,ПТО!$A$39:$D$53,2,FALSE)</f>
        <v>#N/A</v>
      </c>
      <c r="G35" s="169"/>
      <c r="H35" s="42" t="e">
        <f>VLOOKUP(A35,ПТО!$A$39:$D$53,3,FALSE)</f>
        <v>#N/A</v>
      </c>
      <c r="I35" s="165" t="e">
        <f>VLOOKUP(A35,ПТО!$A$39:$D$53,4,FALSE)</f>
        <v>#N/A</v>
      </c>
      <c r="J35" s="165"/>
      <c r="K35" s="109"/>
      <c r="L35" s="181"/>
      <c r="M35" s="116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1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освидетельствование лифта.</v>
      </c>
      <c r="B43" s="164"/>
      <c r="C43" s="164"/>
      <c r="D43" s="164"/>
      <c r="E43" s="164"/>
      <c r="F43" s="169">
        <f>VLOOKUP(A43,ПТО!$A$2:$D$31,4,FALSE)</f>
        <v>8100</v>
      </c>
      <c r="G43" s="169"/>
      <c r="H43" s="19" t="str">
        <f>VLOOKUP(A43,ПТО!$A$2:$D$31,2,FALSE)</f>
        <v>ежегодно</v>
      </c>
      <c r="I43" s="165">
        <f>VLOOKUP(A43,ПТО!$A$2:$D$31,3,FALSE)</f>
        <v>1</v>
      </c>
      <c r="J43" s="165"/>
      <c r="K43" s="109"/>
      <c r="L43" s="181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4" t="str">
        <f>ПТО!A3</f>
        <v>Техническое обслуживание охранной сигнализации.</v>
      </c>
      <c r="B44" s="164"/>
      <c r="C44" s="164"/>
      <c r="D44" s="164"/>
      <c r="E44" s="164"/>
      <c r="F44" s="169">
        <f>VLOOKUP(A44,ПТО!$A$2:$D$31,4,FALSE)</f>
        <v>18000</v>
      </c>
      <c r="G44" s="169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09"/>
      <c r="L44" s="18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4" t="str">
        <f>ПТО!A4</f>
        <v>Уборка и вывоз снега с придомовой территории.</v>
      </c>
      <c r="B45" s="164"/>
      <c r="C45" s="164"/>
      <c r="D45" s="164"/>
      <c r="E45" s="164"/>
      <c r="F45" s="169">
        <f>VLOOKUP(A45,ПТО!$A$2:$D$31,4,FALSE)</f>
        <v>7482.76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1"/>
      <c r="M45" s="116"/>
      <c r="N45" s="109"/>
      <c r="O45" s="23" t="str">
        <f t="shared" si="1"/>
        <v>Уборка и вывоз снега с придомовой территории.</v>
      </c>
      <c r="R45" s="22" t="s">
        <v>72</v>
      </c>
    </row>
    <row r="46" spans="1:18" ht="51" customHeight="1" outlineLevel="1">
      <c r="A46" s="164" t="str">
        <f>ПТО!A5</f>
        <v>Диагностика откатных ворот.</v>
      </c>
      <c r="B46" s="164"/>
      <c r="C46" s="164"/>
      <c r="D46" s="164"/>
      <c r="E46" s="164"/>
      <c r="F46" s="169">
        <f>VLOOKUP(A46,ПТО!$A$2:$D$31,4,FALSE)</f>
        <v>1500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6"/>
      <c r="N46" s="109"/>
      <c r="O46" s="23" t="str">
        <f t="shared" si="1"/>
        <v>Диагностика откатных ворот.</v>
      </c>
      <c r="R46" s="22" t="s">
        <v>72</v>
      </c>
    </row>
    <row r="47" spans="1:18" ht="51" customHeight="1" outlineLevel="1">
      <c r="A47" s="164" t="str">
        <f>ПТО!A6</f>
        <v>Замена светильника в лифте.</v>
      </c>
      <c r="B47" s="164"/>
      <c r="C47" s="164"/>
      <c r="D47" s="164"/>
      <c r="E47" s="164"/>
      <c r="F47" s="169">
        <f>VLOOKUP(A47,ПТО!$A$2:$D$31,4,FALSE)</f>
        <v>2940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6"/>
      <c r="N47" s="109"/>
      <c r="O47" s="23" t="str">
        <f t="shared" si="1"/>
        <v>Замена светильника в лифте.</v>
      </c>
      <c r="R47" s="22" t="s">
        <v>72</v>
      </c>
    </row>
    <row r="48" spans="1:18" ht="51" customHeight="1" outlineLevel="1">
      <c r="A48" s="164" t="str">
        <f>ПТО!A7</f>
        <v>Монтаж платы управления и фотоэлементов откатных ворот.</v>
      </c>
      <c r="B48" s="164"/>
      <c r="C48" s="164"/>
      <c r="D48" s="164"/>
      <c r="E48" s="164"/>
      <c r="F48" s="169">
        <f>VLOOKUP(A48,ПТО!$A$2:$D$31,4,FALSE)</f>
        <v>17950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1"/>
      <c r="M48" s="116"/>
      <c r="N48" s="109"/>
      <c r="O48" s="23" t="str">
        <f t="shared" si="1"/>
        <v>Монтаж платы управления и фотоэлементов откатных ворот.</v>
      </c>
      <c r="R48" s="22" t="s">
        <v>72</v>
      </c>
    </row>
    <row r="49" spans="1:18" ht="51" customHeight="1" outlineLevel="1">
      <c r="A49" s="164" t="str">
        <f>ПТО!A8</f>
        <v>Ремонт считывателя системы охранной сигнализации.</v>
      </c>
      <c r="B49" s="164"/>
      <c r="C49" s="164"/>
      <c r="D49" s="164"/>
      <c r="E49" s="164"/>
      <c r="F49" s="169">
        <f>VLOOKUP(A49,ПТО!$A$2:$D$31,4,FALSE)</f>
        <v>1467</v>
      </c>
      <c r="G49" s="169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1"/>
      <c r="M49" s="116"/>
      <c r="N49" s="109"/>
      <c r="O49" s="23" t="str">
        <f t="shared" si="1"/>
        <v>Ремонт считывателя системы охранной сигнализации.</v>
      </c>
      <c r="R49" s="22" t="s">
        <v>72</v>
      </c>
    </row>
    <row r="50" spans="1:18" ht="51" customHeight="1" outlineLevel="1">
      <c r="A50" s="164" t="str">
        <f>ПТО!A9</f>
        <v>Замена доводчика входной двери.</v>
      </c>
      <c r="B50" s="164"/>
      <c r="C50" s="164"/>
      <c r="D50" s="164"/>
      <c r="E50" s="164"/>
      <c r="F50" s="169">
        <f>VLOOKUP(A50,ПТО!$A$2:$D$31,4,FALSE)</f>
        <v>1850</v>
      </c>
      <c r="G50" s="169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1"/>
      <c r="M50" s="116"/>
      <c r="N50" s="109"/>
      <c r="O50" s="23" t="str">
        <f t="shared" si="1"/>
        <v>Замена доводчика входной двери.</v>
      </c>
      <c r="R50" s="22" t="s">
        <v>72</v>
      </c>
    </row>
    <row r="51" spans="1:18" ht="51" customHeight="1" outlineLevel="1">
      <c r="A51" s="164" t="str">
        <f>ПТО!A10</f>
        <v>Приобретение и замена шаровых кранов (Ду 15-2 шт.) и манометров (9 шт.).</v>
      </c>
      <c r="B51" s="164"/>
      <c r="C51" s="164"/>
      <c r="D51" s="164"/>
      <c r="E51" s="164"/>
      <c r="F51" s="169">
        <f>VLOOKUP(A51,ПТО!$A$2:$D$31,4,FALSE)</f>
        <v>4575.1399999999994</v>
      </c>
      <c r="G51" s="169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1"/>
      <c r="M51" s="116"/>
      <c r="N51" s="109"/>
      <c r="O51" s="23" t="str">
        <f t="shared" si="1"/>
        <v>Приобретение и замена шаровых кранов (Ду 15-2 шт.) и манометров (9 шт.).</v>
      </c>
      <c r="R51" s="22" t="s">
        <v>72</v>
      </c>
    </row>
    <row r="52" spans="1:18" ht="51" customHeight="1" outlineLevel="1">
      <c r="A52" s="164" t="str">
        <f>ПТО!A11</f>
        <v>Замена кодового замка на калитке.</v>
      </c>
      <c r="B52" s="164"/>
      <c r="C52" s="164"/>
      <c r="D52" s="164"/>
      <c r="E52" s="164"/>
      <c r="F52" s="169">
        <f>VLOOKUP(A52,ПТО!$A$2:$D$31,4,FALSE)</f>
        <v>1000</v>
      </c>
      <c r="G52" s="169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1"/>
      <c r="M52" s="116"/>
      <c r="N52" s="109"/>
      <c r="O52" s="23" t="str">
        <f t="shared" si="1"/>
        <v>Замена кодового замка на калитке.</v>
      </c>
      <c r="R52" s="22" t="s">
        <v>72</v>
      </c>
    </row>
    <row r="53" spans="1:18" ht="51" hidden="1" customHeight="1" outlineLevel="1">
      <c r="A53" s="164">
        <f>ПТО!A12</f>
        <v>0</v>
      </c>
      <c r="B53" s="164"/>
      <c r="C53" s="164"/>
      <c r="D53" s="164"/>
      <c r="E53" s="164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1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4">
        <f>ПТО!A13</f>
        <v>0</v>
      </c>
      <c r="B54" s="164"/>
      <c r="C54" s="164"/>
      <c r="D54" s="164"/>
      <c r="E54" s="164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1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4">
        <f>ПТО!A14</f>
        <v>0</v>
      </c>
      <c r="B55" s="164"/>
      <c r="C55" s="164"/>
      <c r="D55" s="164"/>
      <c r="E55" s="164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1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4">
        <f>ПТО!A15</f>
        <v>0</v>
      </c>
      <c r="B56" s="164"/>
      <c r="C56" s="164"/>
      <c r="D56" s="164"/>
      <c r="E56" s="164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1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4">
        <f>ПТО!A16</f>
        <v>0</v>
      </c>
      <c r="B57" s="164"/>
      <c r="C57" s="164"/>
      <c r="D57" s="164"/>
      <c r="E57" s="164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1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4">
        <f>ПТО!A17</f>
        <v>0</v>
      </c>
      <c r="B58" s="164"/>
      <c r="C58" s="164"/>
      <c r="D58" s="164"/>
      <c r="E58" s="164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1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4">
        <f>ПТО!A18</f>
        <v>0</v>
      </c>
      <c r="B59" s="164"/>
      <c r="C59" s="164"/>
      <c r="D59" s="164"/>
      <c r="E59" s="164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4">
        <f>ПТО!A19</f>
        <v>0</v>
      </c>
      <c r="B60" s="164"/>
      <c r="C60" s="164"/>
      <c r="D60" s="164"/>
      <c r="E60" s="164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4">
        <f>ПТО!A20</f>
        <v>0</v>
      </c>
      <c r="B61" s="164"/>
      <c r="C61" s="164"/>
      <c r="D61" s="164"/>
      <c r="E61" s="164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4">
        <f>ПТО!A21</f>
        <v>0</v>
      </c>
      <c r="B62" s="164"/>
      <c r="C62" s="164"/>
      <c r="D62" s="164"/>
      <c r="E62" s="164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4">
        <f>ПТО!A22</f>
        <v>0</v>
      </c>
      <c r="B63" s="164"/>
      <c r="C63" s="164"/>
      <c r="D63" s="164"/>
      <c r="E63" s="164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4">
        <f>ПТО!A23</f>
        <v>0</v>
      </c>
      <c r="B64" s="164"/>
      <c r="C64" s="164"/>
      <c r="D64" s="164"/>
      <c r="E64" s="164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0" t="s">
        <v>100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0" t="s">
        <v>101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0" t="s">
        <v>102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84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104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0"/>
      <c r="M82" s="109"/>
      <c r="N82" s="109"/>
      <c r="O82" s="70" t="s">
        <v>105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16114.19</v>
      </c>
      <c r="K83" s="109"/>
      <c r="L83" s="170"/>
      <c r="M83" s="109"/>
      <c r="N83" s="109"/>
      <c r="O83" s="70" t="s">
        <v>106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70"/>
      <c r="M84" s="109"/>
      <c r="N84" s="109"/>
      <c r="O84" s="70" t="s">
        <v>107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70"/>
      <c r="M85" s="109"/>
      <c r="N85" s="109"/>
      <c r="O85" s="70" t="s">
        <v>108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0</v>
      </c>
      <c r="K86" s="109"/>
      <c r="L86" s="170"/>
      <c r="M86" s="109"/>
      <c r="N86" s="109"/>
      <c r="O86" s="70" t="s">
        <v>109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0" t="s">
        <v>110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0" t="s">
        <v>111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0" t="s">
        <v>112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70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9"/>
      <c r="L93" s="109"/>
      <c r="M93" s="109"/>
      <c r="N93" s="109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7">
        <f>IF(VLOOKUP("эл",АО,3,FALSE)&gt;0,VLOOKUP("эл",АО,3,FALSE),0)</f>
        <v>0</v>
      </c>
      <c r="E94" s="167"/>
      <c r="F94" s="13">
        <f>IF(VLOOKUP("эл",АО,3,FALSE)&gt;0,VLOOKUP("эл",АО,4,FALSE),0)</f>
        <v>0</v>
      </c>
      <c r="G94" s="168">
        <f>VLOOKUP("эл",АО,5,FALSE)</f>
        <v>0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hidden="1" outlineLevel="2">
      <c r="A95" s="183">
        <f>IF(VLOOKUP("эл",АО,3,FALSE)&gt;0,VLOOKUP("эл1",АО,2,FALSE),0)</f>
        <v>0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0</v>
      </c>
      <c r="L95" s="171"/>
      <c r="O95" s="1" t="s">
        <v>114</v>
      </c>
    </row>
    <row r="96" spans="1:15" hidden="1" outlineLevel="2">
      <c r="A96" s="183">
        <f>IF(VLOOKUP("эл",АО,3,FALSE)&gt;0,VLOOKUP("эл2",АО,2,FALSE),0)</f>
        <v>0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0</v>
      </c>
      <c r="L96" s="171"/>
      <c r="O96" s="1" t="s">
        <v>115</v>
      </c>
    </row>
    <row r="97" spans="1:15" hidden="1" outlineLevel="2">
      <c r="A97" s="183">
        <f>IF(VLOOKUP("эл",АО,3,FALSE)&gt;0,VLOOKUP("эл3",АО,2,FALSE),0)</f>
        <v>0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71"/>
      <c r="O97" s="1" t="s">
        <v>116</v>
      </c>
    </row>
    <row r="98" spans="1:15" ht="37.5" hidden="1" customHeight="1" outlineLevel="2">
      <c r="A98" s="183">
        <f>IF(VLOOKUP("эл",АО,3,FALSE)&gt;0,VLOOKUP("эл4",АО,2,FALSE),0)</f>
        <v>0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0</v>
      </c>
      <c r="L98" s="171"/>
      <c r="O98" s="1" t="s">
        <v>117</v>
      </c>
    </row>
    <row r="99" spans="1:15" hidden="1" outlineLevel="2">
      <c r="A99" s="183">
        <f>IF(VLOOKUP("эл",АО,3,FALSE)&gt;0,VLOOKUP("эл5",АО,2,FALSE),0)</f>
        <v>0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0</v>
      </c>
      <c r="L99" s="171"/>
      <c r="O99" s="1" t="s">
        <v>118</v>
      </c>
    </row>
    <row r="100" spans="1:15" ht="39" hidden="1" customHeight="1" outlineLevel="2">
      <c r="A100" s="183">
        <f>IF(VLOOKUP("эл",АО,3,FALSE)&gt;0,VLOOKUP("эл6",АО,2,FALSE),0)</f>
        <v>0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119</v>
      </c>
    </row>
    <row r="101" spans="1:15" ht="34.5" hidden="1" customHeight="1" outlineLevel="2">
      <c r="A101" s="183">
        <f>IF(VLOOKUP("эл",АО,3,FALSE)&gt;0,VLOOKUP("эл7",АО,2,FALSE),0)</f>
        <v>0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120</v>
      </c>
    </row>
    <row r="102" spans="1:15" ht="28.5" hidden="1" customHeight="1" outlineLevel="1">
      <c r="A102" s="166">
        <f>IF(VLOOKUP("хвс",АО,3,FALSE)&gt;0,"Холодное водоснабжение",0)</f>
        <v>0</v>
      </c>
      <c r="B102" s="166"/>
      <c r="C102" s="166"/>
      <c r="D102" s="167">
        <f>IF(VLOOKUP("хвс",АО,3,FALSE)&gt;0,VLOOKUP("хвс",АО,3,FALSE),0)</f>
        <v>0</v>
      </c>
      <c r="E102" s="167"/>
      <c r="F102" s="13">
        <f>IF(VLOOKUP("хвс",АО,3,FALSE)&gt;0,VLOOKUP("хвс",АО,4,FALSE),0)</f>
        <v>0</v>
      </c>
      <c r="G102" s="168">
        <f>VLOOKUP("хвс",АО,5,FALSE)</f>
        <v>0</v>
      </c>
      <c r="H102" s="167"/>
      <c r="I102" s="167"/>
      <c r="J102" s="167"/>
      <c r="L102" s="171"/>
    </row>
    <row r="103" spans="1:15" hidden="1" outlineLevel="2">
      <c r="A103" s="183">
        <f t="shared" ref="A103:A109" si="4">IF(VLOOKUP("хвс",АО,3,FALSE)&gt;0,VLOOKUP(O103,АО,2,FALSE),0)</f>
        <v>0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0</v>
      </c>
      <c r="L103" s="171"/>
      <c r="O103" s="1" t="s">
        <v>123</v>
      </c>
    </row>
    <row r="104" spans="1:15" ht="18.75" hidden="1" customHeight="1" outlineLevel="2">
      <c r="A104" s="183">
        <f t="shared" si="4"/>
        <v>0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0</v>
      </c>
      <c r="L104" s="171"/>
      <c r="O104" s="1" t="s">
        <v>124</v>
      </c>
    </row>
    <row r="105" spans="1:15" ht="18.75" hidden="1" customHeight="1" outlineLevel="2">
      <c r="A105" s="183">
        <f t="shared" si="4"/>
        <v>0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71"/>
      <c r="O105" s="1" t="s">
        <v>125</v>
      </c>
    </row>
    <row r="106" spans="1:15" ht="36.75" hidden="1" customHeight="1" outlineLevel="2">
      <c r="A106" s="183">
        <f t="shared" si="4"/>
        <v>0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0</v>
      </c>
      <c r="L106" s="171"/>
      <c r="O106" s="1" t="s">
        <v>126</v>
      </c>
    </row>
    <row r="107" spans="1:15" ht="18.75" hidden="1" customHeight="1" outlineLevel="2">
      <c r="A107" s="183">
        <f t="shared" si="4"/>
        <v>0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0</v>
      </c>
      <c r="L107" s="171"/>
      <c r="O107" s="1" t="s">
        <v>127</v>
      </c>
    </row>
    <row r="108" spans="1:15" ht="37.5" hidden="1" customHeight="1" outlineLevel="2">
      <c r="A108" s="183">
        <f t="shared" si="4"/>
        <v>0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128</v>
      </c>
    </row>
    <row r="109" spans="1:15" ht="39.75" hidden="1" customHeight="1" outlineLevel="2">
      <c r="A109" s="183">
        <f t="shared" si="4"/>
        <v>0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129</v>
      </c>
    </row>
    <row r="110" spans="1:15" ht="27" hidden="1" customHeight="1" outlineLevel="1">
      <c r="A110" s="166">
        <f>IF(VLOOKUP("воо",АО,3,FALSE)&gt;0,"Водоотведение",0)</f>
        <v>0</v>
      </c>
      <c r="B110" s="166"/>
      <c r="C110" s="166"/>
      <c r="D110" s="167">
        <f>IF(VLOOKUP("воо",АО,3,FALSE)&gt;0,VLOOKUP("воо",АО,3,FALSE),0)</f>
        <v>0</v>
      </c>
      <c r="E110" s="167"/>
      <c r="F110" s="13">
        <f>IF(VLOOKUP("воо",АО,3,FALSE)&gt;0,VLOOKUP("воо",АО,4,FALSE),0)</f>
        <v>0</v>
      </c>
      <c r="G110" s="168">
        <f>VLOOKUP("воо",АО,5,FALSE)</f>
        <v>0</v>
      </c>
      <c r="H110" s="167"/>
      <c r="I110" s="167"/>
      <c r="J110" s="167"/>
      <c r="L110" s="171"/>
    </row>
    <row r="111" spans="1:15" hidden="1" outlineLevel="2">
      <c r="A111" s="162">
        <f t="shared" ref="A111:A117" si="6">IF(VLOOKUP("воо",АО,3,FALSE)&gt;0,VLOOKUP(O111,АО,2,FALSE),0)</f>
        <v>0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0</v>
      </c>
      <c r="L111" s="171"/>
      <c r="O111" s="1" t="s">
        <v>131</v>
      </c>
    </row>
    <row r="112" spans="1:15" ht="18.75" hidden="1" customHeight="1" outlineLevel="2">
      <c r="A112" s="162">
        <f t="shared" si="6"/>
        <v>0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0</v>
      </c>
      <c r="L112" s="171"/>
      <c r="O112" s="1" t="s">
        <v>132</v>
      </c>
    </row>
    <row r="113" spans="1:15" ht="19.5" hidden="1" customHeight="1" outlineLevel="2">
      <c r="A113" s="162">
        <f t="shared" si="6"/>
        <v>0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0</v>
      </c>
      <c r="L113" s="171"/>
      <c r="O113" s="1" t="s">
        <v>133</v>
      </c>
    </row>
    <row r="114" spans="1:15" ht="33" hidden="1" customHeight="1" outlineLevel="2">
      <c r="A114" s="162">
        <f t="shared" si="6"/>
        <v>0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0</v>
      </c>
      <c r="L114" s="171"/>
      <c r="O114" s="1" t="s">
        <v>134</v>
      </c>
    </row>
    <row r="115" spans="1:15" ht="18.75" hidden="1" customHeight="1" outlineLevel="2">
      <c r="A115" s="162">
        <f t="shared" si="6"/>
        <v>0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0</v>
      </c>
      <c r="L115" s="171"/>
      <c r="O115" s="1" t="s">
        <v>135</v>
      </c>
    </row>
    <row r="116" spans="1:15" ht="33.75" hidden="1" customHeight="1" outlineLevel="2">
      <c r="A116" s="162">
        <f t="shared" si="6"/>
        <v>0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136</v>
      </c>
    </row>
    <row r="117" spans="1:15" ht="32.25" hidden="1" customHeight="1" outlineLevel="2">
      <c r="A117" s="162">
        <f t="shared" si="6"/>
        <v>0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137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7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7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7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171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5</v>
      </c>
      <c r="L145" s="15"/>
      <c r="O145" t="s">
        <v>172</v>
      </c>
    </row>
    <row r="146" spans="1:15" ht="30" customHeight="1" outlineLevel="1">
      <c r="A146" s="162" t="s">
        <v>174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160000</v>
      </c>
      <c r="O146" t="s">
        <v>173</v>
      </c>
    </row>
    <row r="149" spans="1:15" ht="52.5" customHeight="1">
      <c r="A149" s="187" t="s">
        <v>178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9" t="s">
        <v>193</v>
      </c>
      <c r="B154" s="189"/>
      <c r="C154" s="189"/>
      <c r="D154" s="189"/>
      <c r="E154" s="27">
        <f>ПТО!G1</f>
        <v>-40378.26</v>
      </c>
    </row>
    <row r="155" spans="1:15" ht="34.5" customHeight="1">
      <c r="A155" s="188" t="s">
        <v>194</v>
      </c>
      <c r="B155" s="188"/>
      <c r="C155" s="188"/>
      <c r="D155" s="188"/>
      <c r="E155" s="28">
        <f>J13</f>
        <v>242208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Техническое освидетельствование лифта.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8100</v>
      </c>
      <c r="G158" s="169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1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4" t="str">
        <f t="shared" si="14"/>
        <v>Техническое обслуживание охранной сигнализации.</v>
      </c>
      <c r="B159" s="164"/>
      <c r="C159" s="164"/>
      <c r="D159" s="164"/>
      <c r="E159" s="164"/>
      <c r="F159" s="169">
        <f t="shared" si="15"/>
        <v>18000</v>
      </c>
      <c r="G159" s="169"/>
      <c r="H159" s="24" t="str">
        <f t="shared" si="16"/>
        <v>ежемесячно</v>
      </c>
      <c r="I159" s="165">
        <f t="shared" si="17"/>
        <v>12</v>
      </c>
      <c r="J159" s="165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4" t="str">
        <f t="shared" si="14"/>
        <v>Уборка и вывоз снега с придомовой территории.</v>
      </c>
      <c r="B160" s="164"/>
      <c r="C160" s="164"/>
      <c r="D160" s="164"/>
      <c r="E160" s="164"/>
      <c r="F160" s="169">
        <f t="shared" si="15"/>
        <v>7482.76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Уборка и вывоз снега с придомовой территории.</v>
      </c>
    </row>
    <row r="161" spans="1:14" ht="28.5" customHeight="1">
      <c r="A161" s="164" t="str">
        <f>IF(N161&gt;0,N161,0)</f>
        <v>Диагностика откатных ворот.</v>
      </c>
      <c r="B161" s="164"/>
      <c r="C161" s="164"/>
      <c r="D161" s="164"/>
      <c r="E161" s="164"/>
      <c r="F161" s="169">
        <f t="shared" si="15"/>
        <v>1500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Диагностика откатных ворот.</v>
      </c>
    </row>
    <row r="162" spans="1:14" ht="28.5" customHeight="1">
      <c r="A162" s="164" t="str">
        <f t="shared" si="14"/>
        <v>Замена светильника в лифте.</v>
      </c>
      <c r="B162" s="164"/>
      <c r="C162" s="164"/>
      <c r="D162" s="164"/>
      <c r="E162" s="164"/>
      <c r="F162" s="169">
        <f t="shared" si="15"/>
        <v>2940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Замена светильника в лифте.</v>
      </c>
    </row>
    <row r="163" spans="1:14" ht="28.5" customHeight="1">
      <c r="A163" s="164" t="str">
        <f t="shared" si="14"/>
        <v>Монтаж платы управления и фотоэлементов откатных ворот.</v>
      </c>
      <c r="B163" s="164"/>
      <c r="C163" s="164"/>
      <c r="D163" s="164"/>
      <c r="E163" s="164"/>
      <c r="F163" s="169">
        <f t="shared" si="15"/>
        <v>17950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Монтаж платы управления и фотоэлементов откатных ворот.</v>
      </c>
    </row>
    <row r="164" spans="1:14" ht="28.5" customHeight="1">
      <c r="A164" s="164" t="str">
        <f t="shared" ref="A164:A187" si="18">IF(N164&gt;0,N164,0)</f>
        <v>Ремонт считывателя системы охранной сигнализации.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1467</v>
      </c>
      <c r="G164" s="169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Ремонт считывателя системы охранной сигнализации.</v>
      </c>
    </row>
    <row r="165" spans="1:14" ht="28.5" customHeight="1">
      <c r="A165" s="164" t="str">
        <f t="shared" si="18"/>
        <v>Замена доводчика входной двери.</v>
      </c>
      <c r="B165" s="164"/>
      <c r="C165" s="164"/>
      <c r="D165" s="164"/>
      <c r="E165" s="164"/>
      <c r="F165" s="169">
        <f t="shared" si="19"/>
        <v>1850</v>
      </c>
      <c r="G165" s="169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Замена доводчика входной двери.</v>
      </c>
    </row>
    <row r="166" spans="1:14" ht="28.5" customHeight="1">
      <c r="A166" s="164" t="str">
        <f t="shared" si="18"/>
        <v>Приобретение и замена шаровых кранов (Ду 15-2 шт.) и манометров (9 шт.).</v>
      </c>
      <c r="B166" s="164"/>
      <c r="C166" s="164"/>
      <c r="D166" s="164"/>
      <c r="E166" s="164"/>
      <c r="F166" s="169">
        <f t="shared" si="19"/>
        <v>4575.1399999999994</v>
      </c>
      <c r="G166" s="169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Приобретение и замена шаровых кранов (Ду 15-2 шт.) и манометров (9 шт.).</v>
      </c>
    </row>
    <row r="167" spans="1:14" ht="28.5" customHeight="1">
      <c r="A167" s="164" t="str">
        <f t="shared" si="18"/>
        <v>Замена кодового замка на калитке.</v>
      </c>
      <c r="B167" s="164"/>
      <c r="C167" s="164"/>
      <c r="D167" s="164"/>
      <c r="E167" s="164"/>
      <c r="F167" s="169">
        <f t="shared" si="19"/>
        <v>1000</v>
      </c>
      <c r="G167" s="169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Замена кодового замка на калитке.</v>
      </c>
    </row>
    <row r="168" spans="1:14" ht="28.5" hidden="1" customHeight="1">
      <c r="A168" s="164">
        <f t="shared" si="18"/>
        <v>0</v>
      </c>
      <c r="B168" s="164"/>
      <c r="C168" s="164"/>
      <c r="D168" s="164"/>
      <c r="E168" s="164"/>
      <c r="F168" s="169">
        <f t="shared" si="19"/>
        <v>0</v>
      </c>
      <c r="G168" s="169"/>
      <c r="H168" s="29" t="e">
        <f t="shared" si="16"/>
        <v>#N/A</v>
      </c>
      <c r="I168" s="165" t="e">
        <f t="shared" si="20"/>
        <v>#N/A</v>
      </c>
      <c r="J168" s="165"/>
      <c r="M168" s="22" t="s">
        <v>72</v>
      </c>
      <c r="N168" s="1">
        <v>0</v>
      </c>
    </row>
    <row r="169" spans="1:14" ht="28.5" hidden="1" customHeight="1">
      <c r="A169" s="164">
        <f t="shared" si="18"/>
        <v>0</v>
      </c>
      <c r="B169" s="164"/>
      <c r="C169" s="164"/>
      <c r="D169" s="164"/>
      <c r="E169" s="164"/>
      <c r="F169" s="169">
        <f t="shared" si="19"/>
        <v>0</v>
      </c>
      <c r="G169" s="169"/>
      <c r="H169" s="29" t="e">
        <f t="shared" si="16"/>
        <v>#N/A</v>
      </c>
      <c r="I169" s="165" t="e">
        <f t="shared" si="20"/>
        <v>#N/A</v>
      </c>
      <c r="J169" s="165"/>
      <c r="M169" s="22" t="s">
        <v>72</v>
      </c>
      <c r="N169" s="1">
        <v>0</v>
      </c>
    </row>
    <row r="170" spans="1:14" ht="28.5" hidden="1" customHeight="1">
      <c r="A170" s="164">
        <f t="shared" si="18"/>
        <v>0</v>
      </c>
      <c r="B170" s="164"/>
      <c r="C170" s="164"/>
      <c r="D170" s="164"/>
      <c r="E170" s="164"/>
      <c r="F170" s="169">
        <f t="shared" si="19"/>
        <v>0</v>
      </c>
      <c r="G170" s="169"/>
      <c r="H170" s="29" t="e">
        <f t="shared" si="16"/>
        <v>#N/A</v>
      </c>
      <c r="I170" s="165" t="e">
        <f t="shared" si="20"/>
        <v>#N/A</v>
      </c>
      <c r="J170" s="165"/>
      <c r="M170" s="22" t="s">
        <v>72</v>
      </c>
      <c r="N170" s="1">
        <v>0</v>
      </c>
    </row>
    <row r="171" spans="1:14" ht="28.5" hidden="1" customHeight="1">
      <c r="A171" s="164">
        <f t="shared" si="18"/>
        <v>0</v>
      </c>
      <c r="B171" s="164"/>
      <c r="C171" s="164"/>
      <c r="D171" s="164"/>
      <c r="E171" s="164"/>
      <c r="F171" s="169">
        <f t="shared" si="19"/>
        <v>0</v>
      </c>
      <c r="G171" s="169"/>
      <c r="H171" s="29" t="e">
        <f t="shared" si="16"/>
        <v>#N/A</v>
      </c>
      <c r="I171" s="165" t="e">
        <f t="shared" si="20"/>
        <v>#N/A</v>
      </c>
      <c r="J171" s="165"/>
      <c r="M171" s="22" t="s">
        <v>72</v>
      </c>
      <c r="N171" s="1">
        <v>0</v>
      </c>
    </row>
    <row r="172" spans="1:14" ht="28.5" hidden="1" customHeight="1">
      <c r="A172" s="164">
        <f t="shared" si="18"/>
        <v>0</v>
      </c>
      <c r="B172" s="164"/>
      <c r="C172" s="164"/>
      <c r="D172" s="164"/>
      <c r="E172" s="164"/>
      <c r="F172" s="169">
        <f t="shared" si="19"/>
        <v>0</v>
      </c>
      <c r="G172" s="169"/>
      <c r="H172" s="29" t="e">
        <f t="shared" si="16"/>
        <v>#N/A</v>
      </c>
      <c r="I172" s="165" t="e">
        <f t="shared" si="20"/>
        <v>#N/A</v>
      </c>
      <c r="J172" s="165"/>
      <c r="M172" s="22" t="s">
        <v>72</v>
      </c>
      <c r="N172" s="1">
        <v>0</v>
      </c>
    </row>
    <row r="173" spans="1:14" ht="28.5" hidden="1" customHeight="1">
      <c r="A173" s="164">
        <f t="shared" si="18"/>
        <v>0</v>
      </c>
      <c r="B173" s="164"/>
      <c r="C173" s="164"/>
      <c r="D173" s="164"/>
      <c r="E173" s="164"/>
      <c r="F173" s="169">
        <f t="shared" si="19"/>
        <v>0</v>
      </c>
      <c r="G173" s="169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4">
        <f t="shared" si="18"/>
        <v>0</v>
      </c>
      <c r="B174" s="164"/>
      <c r="C174" s="164"/>
      <c r="D174" s="164"/>
      <c r="E174" s="164"/>
      <c r="F174" s="169">
        <f t="shared" si="19"/>
        <v>0</v>
      </c>
      <c r="G174" s="169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4">
        <f t="shared" si="18"/>
        <v>0</v>
      </c>
      <c r="B175" s="164"/>
      <c r="C175" s="164"/>
      <c r="D175" s="164"/>
      <c r="E175" s="164"/>
      <c r="F175" s="169">
        <f t="shared" si="19"/>
        <v>0</v>
      </c>
      <c r="G175" s="169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4">
        <f t="shared" si="18"/>
        <v>0</v>
      </c>
      <c r="B176" s="164"/>
      <c r="C176" s="164"/>
      <c r="D176" s="164"/>
      <c r="E176" s="164"/>
      <c r="F176" s="169">
        <f t="shared" si="19"/>
        <v>0</v>
      </c>
      <c r="G176" s="169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4">
        <f t="shared" si="18"/>
        <v>0</v>
      </c>
      <c r="B177" s="164"/>
      <c r="C177" s="164"/>
      <c r="D177" s="164"/>
      <c r="E177" s="164"/>
      <c r="F177" s="169">
        <f t="shared" si="19"/>
        <v>0</v>
      </c>
      <c r="G177" s="169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4">
        <f t="shared" si="18"/>
        <v>0</v>
      </c>
      <c r="B178" s="164"/>
      <c r="C178" s="164"/>
      <c r="D178" s="164"/>
      <c r="E178" s="164"/>
      <c r="F178" s="169">
        <f t="shared" si="19"/>
        <v>0</v>
      </c>
      <c r="G178" s="169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4">
        <f t="shared" si="18"/>
        <v>0</v>
      </c>
      <c r="B179" s="164"/>
      <c r="C179" s="164"/>
      <c r="D179" s="164"/>
      <c r="E179" s="164"/>
      <c r="F179" s="169">
        <f t="shared" si="19"/>
        <v>0</v>
      </c>
      <c r="G179" s="169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9" t="s">
        <v>195</v>
      </c>
      <c r="B190" s="189"/>
      <c r="C190" s="189"/>
      <c r="D190" s="189"/>
      <c r="E190" s="27">
        <f>SUM(F158:G187)</f>
        <v>64864.9</v>
      </c>
    </row>
    <row r="191" spans="1:14" ht="51.75" customHeight="1">
      <c r="A191" s="189" t="s">
        <v>196</v>
      </c>
      <c r="B191" s="189"/>
      <c r="C191" s="189"/>
      <c r="D191" s="189"/>
      <c r="E191" s="27">
        <f>E190+E154-E155</f>
        <v>-217721.36</v>
      </c>
    </row>
    <row r="192" spans="1:14">
      <c r="A192" s="104" t="s">
        <v>175</v>
      </c>
    </row>
    <row r="193" spans="1:10" ht="62.25" customHeight="1">
      <c r="A193" s="163" t="s">
        <v>197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75</v>
      </c>
    </row>
    <row r="195" spans="1:10" ht="18.75" customHeight="1">
      <c r="A195" s="161" t="str">
        <f>ПТО!F13</f>
        <v xml:space="preserve">  -  техническое освидетельствование лифта</v>
      </c>
      <c r="B195" s="161"/>
      <c r="C195" s="161"/>
      <c r="D195" s="161"/>
      <c r="E195" s="161"/>
      <c r="F195" s="161"/>
      <c r="G195" s="161"/>
      <c r="H195" s="49">
        <f>ПТО!G13</f>
        <v>8100</v>
      </c>
      <c r="I195" s="50" t="s">
        <v>75</v>
      </c>
    </row>
    <row r="196" spans="1:10" ht="18.75" customHeight="1">
      <c r="A196" s="161" t="str">
        <f>ПТО!F14</f>
        <v xml:space="preserve">  -  техническое обслуживание охранной сигнализации</v>
      </c>
      <c r="B196" s="161"/>
      <c r="C196" s="161"/>
      <c r="D196" s="161"/>
      <c r="E196" s="161"/>
      <c r="F196" s="161"/>
      <c r="G196" s="161"/>
      <c r="H196" s="49">
        <f>ПТО!G14</f>
        <v>18000</v>
      </c>
      <c r="I196" s="50" t="s">
        <v>75</v>
      </c>
    </row>
    <row r="197" spans="1:10" ht="18.75" customHeight="1">
      <c r="A197" s="161" t="str">
        <f>ПТО!F15</f>
        <v xml:space="preserve">  -  ремонт подъезда</v>
      </c>
      <c r="B197" s="161"/>
      <c r="C197" s="161"/>
      <c r="D197" s="161"/>
      <c r="E197" s="161"/>
      <c r="F197" s="161"/>
      <c r="G197" s="161"/>
      <c r="H197" s="49">
        <f>ПТО!G15</f>
        <v>550000</v>
      </c>
      <c r="I197" s="50" t="s">
        <v>75</v>
      </c>
    </row>
    <row r="198" spans="1:10" ht="18.75" hidden="1" customHeight="1">
      <c r="A198" s="161">
        <f>ПТО!F16</f>
        <v>0</v>
      </c>
      <c r="B198" s="161"/>
      <c r="C198" s="161"/>
      <c r="D198" s="161"/>
      <c r="E198" s="161"/>
      <c r="F198" s="161"/>
      <c r="G198" s="161"/>
      <c r="H198" s="49">
        <f>ПТО!G16</f>
        <v>0</v>
      </c>
      <c r="I198" s="52" t="s">
        <v>75</v>
      </c>
    </row>
    <row r="199" spans="1:10" ht="18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49">
        <f>ПТО!G17</f>
        <v>0</v>
      </c>
      <c r="I199" s="50" t="s">
        <v>75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49">
        <f>ПТО!G18</f>
        <v>0</v>
      </c>
      <c r="I200" s="50" t="s">
        <v>75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49">
        <f>ПТО!G19</f>
        <v>0</v>
      </c>
      <c r="I201" s="50" t="s">
        <v>75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9">
        <f>ПТО!G20</f>
        <v>0</v>
      </c>
      <c r="I202" s="50" t="s">
        <v>75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75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75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75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75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75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75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75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75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75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75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577300</v>
      </c>
      <c r="I214" s="56" t="s">
        <v>78</v>
      </c>
    </row>
  </sheetData>
  <sheetProtection algorithmName="SHA-512" hashValue="YFcLJ2UY4m2z/y8uBl+FEysNWuLmRUgOeH4jaMSgP4yujiDxK6HKHqpnPEfQkqiYYlojAbiR4hEA7MHztFmF0w==" saltValue="N5zFMOJ7b4oRyButxr5gH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7" sqref="D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193</v>
      </c>
      <c r="G1" s="101">
        <f>-40378.26</f>
        <v>-40378.26</v>
      </c>
    </row>
    <row r="2" spans="1:12" ht="18.75" customHeight="1">
      <c r="A2" s="125" t="s">
        <v>73</v>
      </c>
      <c r="B2" s="127" t="s">
        <v>180</v>
      </c>
      <c r="C2" s="127">
        <v>1</v>
      </c>
      <c r="D2" s="118">
        <v>8100</v>
      </c>
      <c r="E2" s="131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183</v>
      </c>
      <c r="B3" s="127" t="s">
        <v>179</v>
      </c>
      <c r="C3" s="127">
        <v>12</v>
      </c>
      <c r="D3" s="118">
        <v>18000</v>
      </c>
      <c r="E3" s="131" t="s">
        <v>215</v>
      </c>
      <c r="F3" s="30"/>
      <c r="G3" s="30"/>
      <c r="L3" s="33" t="str">
        <f t="shared" si="0"/>
        <v>ТР</v>
      </c>
    </row>
    <row r="4" spans="1:12" ht="18.75" customHeight="1">
      <c r="A4" s="137" t="s">
        <v>198</v>
      </c>
      <c r="B4" s="138" t="s">
        <v>199</v>
      </c>
      <c r="C4" s="122">
        <v>1</v>
      </c>
      <c r="D4" s="118">
        <v>7482.76</v>
      </c>
      <c r="E4" s="131" t="s">
        <v>200</v>
      </c>
      <c r="F4" s="30"/>
      <c r="G4" s="30"/>
      <c r="L4" s="33" t="str">
        <f t="shared" si="0"/>
        <v>ТР</v>
      </c>
    </row>
    <row r="5" spans="1:12" ht="18.75" customHeight="1">
      <c r="A5" s="139" t="s">
        <v>201</v>
      </c>
      <c r="B5" s="140" t="s">
        <v>199</v>
      </c>
      <c r="C5" s="122">
        <v>1</v>
      </c>
      <c r="D5" s="118">
        <v>1500</v>
      </c>
      <c r="E5" s="131" t="s">
        <v>202</v>
      </c>
      <c r="F5" s="44"/>
      <c r="G5" s="44"/>
      <c r="K5" s="46"/>
      <c r="L5" s="33" t="str">
        <f t="shared" si="0"/>
        <v>ТР</v>
      </c>
    </row>
    <row r="6" spans="1:12" ht="18.75" customHeight="1">
      <c r="A6" s="141" t="s">
        <v>203</v>
      </c>
      <c r="B6" s="142" t="s">
        <v>199</v>
      </c>
      <c r="C6" s="122">
        <v>1</v>
      </c>
      <c r="D6" s="118">
        <v>2940</v>
      </c>
      <c r="E6" s="131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205</v>
      </c>
      <c r="B7" s="144" t="s">
        <v>199</v>
      </c>
      <c r="C7" s="122">
        <v>1</v>
      </c>
      <c r="D7" s="118">
        <v>17950</v>
      </c>
      <c r="E7" s="131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210</v>
      </c>
      <c r="B8" s="148" t="s">
        <v>199</v>
      </c>
      <c r="C8" s="148">
        <v>1</v>
      </c>
      <c r="D8" s="118">
        <v>1467</v>
      </c>
      <c r="E8" s="146" t="s">
        <v>212</v>
      </c>
      <c r="F8" s="45"/>
      <c r="G8" s="45"/>
      <c r="K8" s="43"/>
      <c r="L8" s="33" t="str">
        <f t="shared" si="0"/>
        <v>ТР</v>
      </c>
    </row>
    <row r="9" spans="1:12">
      <c r="A9" s="153" t="s">
        <v>209</v>
      </c>
      <c r="B9" s="154" t="s">
        <v>199</v>
      </c>
      <c r="C9" s="155">
        <v>1</v>
      </c>
      <c r="D9" s="156">
        <v>1850</v>
      </c>
      <c r="E9" s="145" t="s">
        <v>213</v>
      </c>
      <c r="F9" s="44"/>
      <c r="G9" s="44"/>
      <c r="K9" s="43"/>
      <c r="L9" s="33" t="str">
        <f t="shared" si="0"/>
        <v>ТР</v>
      </c>
    </row>
    <row r="10" spans="1:12">
      <c r="A10" s="157" t="s">
        <v>208</v>
      </c>
      <c r="B10" s="158" t="s">
        <v>199</v>
      </c>
      <c r="C10" s="127">
        <v>1</v>
      </c>
      <c r="D10" s="159">
        <f>321.97*2+3931.2</f>
        <v>4575.1399999999994</v>
      </c>
      <c r="E10" s="145" t="s">
        <v>214</v>
      </c>
      <c r="F10" s="123"/>
      <c r="L10" s="33" t="str">
        <f t="shared" si="0"/>
        <v>ТР</v>
      </c>
    </row>
    <row r="11" spans="1:12" ht="94.5">
      <c r="A11" s="149" t="s">
        <v>211</v>
      </c>
      <c r="B11" s="148" t="s">
        <v>199</v>
      </c>
      <c r="C11" s="150">
        <v>1</v>
      </c>
      <c r="D11" s="151">
        <v>1000</v>
      </c>
      <c r="E11" s="160" t="s">
        <v>216</v>
      </c>
      <c r="F11" s="111" t="s">
        <v>197</v>
      </c>
      <c r="G11" s="111"/>
      <c r="L11" s="33" t="str">
        <f t="shared" si="0"/>
        <v>ТР</v>
      </c>
    </row>
    <row r="12" spans="1:12" ht="31.5">
      <c r="A12" s="147"/>
      <c r="B12" s="148"/>
      <c r="C12" s="148"/>
      <c r="D12" s="118"/>
      <c r="E12" s="146"/>
      <c r="F12" s="112" t="s">
        <v>74</v>
      </c>
      <c r="G12" s="113">
        <v>1200</v>
      </c>
      <c r="L12" s="33">
        <f t="shared" si="0"/>
        <v>0</v>
      </c>
    </row>
    <row r="13" spans="1:12" ht="31.5">
      <c r="A13" s="149"/>
      <c r="B13" s="148"/>
      <c r="C13" s="150"/>
      <c r="D13" s="151"/>
      <c r="E13" s="152"/>
      <c r="F13" s="112" t="s">
        <v>76</v>
      </c>
      <c r="G13" s="113">
        <v>8100</v>
      </c>
      <c r="L13" s="33">
        <f t="shared" si="0"/>
        <v>0</v>
      </c>
    </row>
    <row r="14" spans="1:12" ht="31.5">
      <c r="A14" s="125"/>
      <c r="B14" s="126"/>
      <c r="C14" s="127"/>
      <c r="D14" s="128"/>
      <c r="E14" s="131"/>
      <c r="F14" s="112" t="s">
        <v>184</v>
      </c>
      <c r="G14" s="113">
        <v>18000</v>
      </c>
      <c r="L14" s="33">
        <f t="shared" si="0"/>
        <v>0</v>
      </c>
    </row>
    <row r="15" spans="1:12" ht="15.75">
      <c r="A15" s="129"/>
      <c r="B15" s="130"/>
      <c r="C15" s="124"/>
      <c r="D15" s="43"/>
      <c r="E15" s="123"/>
      <c r="F15" s="112" t="s">
        <v>192</v>
      </c>
      <c r="G15" s="113">
        <v>550000</v>
      </c>
      <c r="L15" s="33">
        <f t="shared" si="0"/>
        <v>0</v>
      </c>
    </row>
    <row r="16" spans="1:12" ht="15.75">
      <c r="A16" s="132"/>
      <c r="B16" s="126"/>
      <c r="C16" s="127"/>
      <c r="D16" s="128"/>
      <c r="E16" s="131"/>
      <c r="F16" s="112"/>
      <c r="G16" s="113"/>
      <c r="L16" s="33">
        <f t="shared" si="0"/>
        <v>0</v>
      </c>
    </row>
    <row r="17" spans="1:12" ht="15.75">
      <c r="A17" s="125"/>
      <c r="B17" s="126"/>
      <c r="C17" s="127"/>
      <c r="D17" s="128"/>
      <c r="E17" s="131"/>
      <c r="F17" s="112"/>
      <c r="G17" s="114"/>
      <c r="L17" s="33">
        <f t="shared" si="0"/>
        <v>0</v>
      </c>
    </row>
    <row r="18" spans="1:12" ht="15.75">
      <c r="A18" s="30"/>
      <c r="F18" s="121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36">
        <f>4.33*D39*'Абонентский отдел'!F1</f>
        <v>104876.06400000001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104876.06400000001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f>2.2*D39*'Абонентский отдел'!F1</f>
        <v>53285.760000000009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53285.760000000009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1.72*D39*'Абонентский отдел'!F1</f>
        <v>41659.776000000005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41659.776000000005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1.2*D39*'Абонентский отдел'!F1</f>
        <v>29064.959999999999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29064.959999999999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0.4*D39*'Абонентский отдел'!F1</f>
        <v>9688.3200000000015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9688.3200000000015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2.45*D39*'Абонентский отдел'!F1</f>
        <v>59340.960000000006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59340.960000000006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33"/>
      <c r="C47" s="134"/>
      <c r="D47" s="48"/>
      <c r="E47" s="133">
        <v>738.5</v>
      </c>
      <c r="F47" s="133">
        <v>449.2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5" t="s">
        <v>185</v>
      </c>
      <c r="F52" s="135" t="s">
        <v>186</v>
      </c>
      <c r="G52" s="135" t="s">
        <v>187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5">
        <v>35.896999999999998</v>
      </c>
      <c r="F53" s="133">
        <v>2048.4</v>
      </c>
      <c r="G53" s="135">
        <v>3.48</v>
      </c>
      <c r="H53" s="135">
        <f>G53*E47/F53</f>
        <v>1.2546280023432923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5"/>
      <c r="F54" s="135" t="s">
        <v>188</v>
      </c>
      <c r="G54" s="135" t="s">
        <v>189</v>
      </c>
      <c r="H54" s="135">
        <f>H53*G56</f>
        <v>121.07160222612771</v>
      </c>
    </row>
    <row r="55" spans="5:16">
      <c r="E55" s="135"/>
      <c r="F55" s="135">
        <v>1.17</v>
      </c>
      <c r="G55" s="135">
        <v>1.23</v>
      </c>
      <c r="H55" s="135"/>
    </row>
    <row r="56" spans="5:16">
      <c r="E56" s="135"/>
      <c r="F56" s="135"/>
      <c r="G56" s="135">
        <v>96.5</v>
      </c>
      <c r="H56" s="135"/>
    </row>
    <row r="57" spans="5:16">
      <c r="E57" s="135"/>
      <c r="F57" s="135"/>
      <c r="G57" s="135"/>
      <c r="H57" s="135"/>
    </row>
    <row r="58" spans="5:16">
      <c r="E58" s="135" t="s">
        <v>190</v>
      </c>
      <c r="F58" s="135"/>
      <c r="G58" s="135"/>
      <c r="H58" s="135"/>
    </row>
    <row r="59" spans="5:16">
      <c r="E59" s="135">
        <v>0.59599999999999997</v>
      </c>
      <c r="F59" s="133">
        <v>2048.4</v>
      </c>
      <c r="G59" s="135">
        <v>7.4999999999999997E-2</v>
      </c>
      <c r="H59" s="135">
        <f>G59*F47</f>
        <v>33.69</v>
      </c>
    </row>
    <row r="60" spans="5:16">
      <c r="E60" s="135"/>
      <c r="F60" s="135" t="s">
        <v>188</v>
      </c>
      <c r="G60" s="135" t="s">
        <v>189</v>
      </c>
      <c r="H60" s="135">
        <f>H59/F59</f>
        <v>1.6446983011130636E-2</v>
      </c>
    </row>
    <row r="61" spans="5:16">
      <c r="E61" s="135"/>
      <c r="F61" s="135">
        <v>12.94</v>
      </c>
      <c r="G61" s="135">
        <v>13.45</v>
      </c>
      <c r="H61" s="135">
        <f>H60*G56</f>
        <v>1.5871338605741063</v>
      </c>
    </row>
    <row r="62" spans="5:16">
      <c r="E62" s="135" t="s">
        <v>191</v>
      </c>
      <c r="F62" s="135"/>
      <c r="G62" s="135"/>
      <c r="H62" s="135"/>
    </row>
    <row r="63" spans="5:16">
      <c r="E63" s="135">
        <v>0.59599999999999997</v>
      </c>
      <c r="F63" s="133">
        <v>2048.4</v>
      </c>
      <c r="G63" s="135">
        <v>7.4999999999999997E-2</v>
      </c>
      <c r="H63" s="135">
        <f>G63*F47</f>
        <v>33.69</v>
      </c>
    </row>
    <row r="64" spans="5:16">
      <c r="E64" s="135"/>
      <c r="F64" s="135" t="s">
        <v>188</v>
      </c>
      <c r="G64" s="135" t="s">
        <v>189</v>
      </c>
      <c r="H64" s="135">
        <f>H63/F63</f>
        <v>1.6446983011130636E-2</v>
      </c>
    </row>
    <row r="65" spans="4:13" ht="18.75" customHeight="1">
      <c r="E65" s="135"/>
      <c r="F65" s="135">
        <v>15.73</v>
      </c>
      <c r="G65" s="135">
        <v>16.350000000000001</v>
      </c>
      <c r="H65" s="135">
        <f>H64*G56</f>
        <v>1.5871338605741063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mADfXa+gv9q4O5OLAa66tPhy1W8T9UL35bd7d7H0aIco+vwLJHR527+7QqgsB9h3tkN8exHVef1yOoFRJ36Iw==" saltValue="PzuBzl1S/2VW52tgMn5OW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2018.4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119">
        <v>10</v>
      </c>
      <c r="F2" s="120" t="s">
        <v>182</v>
      </c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728584.96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637007.04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297915.84000000003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F1*10*12</f>
        <v>242208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96883.199999999997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652551.96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652551.96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652551.96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713040.04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106</v>
      </c>
      <c r="B27" s="75" t="s">
        <v>4</v>
      </c>
      <c r="C27" s="86">
        <v>16114.19</v>
      </c>
      <c r="D27" s="81" t="s">
        <v>60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109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168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114</v>
      </c>
      <c r="B38" s="78" t="s">
        <v>37</v>
      </c>
      <c r="C38" s="90"/>
      <c r="D38" s="94" t="s">
        <v>166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115</v>
      </c>
      <c r="B39" s="78" t="s">
        <v>38</v>
      </c>
      <c r="C39" s="91"/>
      <c r="D39" s="94" t="s">
        <v>167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0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0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0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122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168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123</v>
      </c>
      <c r="B46" s="78" t="s">
        <v>37</v>
      </c>
      <c r="C46" s="90"/>
      <c r="D46" s="94" t="s">
        <v>169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124</v>
      </c>
      <c r="B47" s="78" t="s">
        <v>38</v>
      </c>
      <c r="C47" s="91"/>
      <c r="D47" s="94" t="s">
        <v>167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90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0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0"/>
      <c r="N52" s="63"/>
      <c r="O52" s="63"/>
    </row>
    <row r="53" spans="1:15" ht="18.75">
      <c r="A53" s="73" t="s">
        <v>130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168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131</v>
      </c>
      <c r="B54" s="75" t="s">
        <v>37</v>
      </c>
      <c r="C54" s="98"/>
      <c r="D54" s="94" t="s">
        <v>169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132</v>
      </c>
      <c r="B55" s="75" t="s">
        <v>38</v>
      </c>
      <c r="C55" s="86"/>
      <c r="D55" s="94" t="s">
        <v>167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0" sqref="C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160000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2024-03-28T05:10:39Z</dcterms:modified>
</cp:coreProperties>
</file>