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L16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3" i="1" l="1"/>
  <c r="A109" i="1"/>
  <c r="A123" i="1"/>
  <c r="A119" i="1"/>
  <c r="A118" i="1"/>
  <c r="A114" i="1"/>
  <c r="F110" i="1"/>
  <c r="A117" i="1"/>
  <c r="D118" i="1"/>
  <c r="A124" i="1"/>
  <c r="A110" i="1"/>
  <c r="A111" i="1"/>
  <c r="A115" i="1"/>
  <c r="F118" i="1"/>
  <c r="A121" i="1"/>
  <c r="A125" i="1"/>
  <c r="A120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<sst xmlns="http://schemas.openxmlformats.org/spreadsheetml/2006/main" count="575" uniqueCount="220">
  <si>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</si>
  <si>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</si>
  <si>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</si>
  <si>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</si>
  <si>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</si>
  <si>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</si>
  <si>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</si>
  <si>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</si>
  <si>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</si>
  <si>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</si>
  <si>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</si>
  <si>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</si>
  <si>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</si>
  <si>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</si>
  <si>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</si>
  <si>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</si>
  <si>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</si>
  <si>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</si>
  <si>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</si>
  <si>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</si>
  <si>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</si>
  <si>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</si>
  <si>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</si>
  <si>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</si>
  <si>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</si>
  <si>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</si>
  <si>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</si>
  <si>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</si>
  <si>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</si>
  <si>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</si>
  <si>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</si>
  <si>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</si>
  <si>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</si>
  <si>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</si>
  <si>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</si>
  <si>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</si>
  <si>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</si>
  <si>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</si>
  <si>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</si>
  <si>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</si>
  <si>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</si>
  <si>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</si>
  <si>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</si>
  <si>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</si>
  <si>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</si>
  <si>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</si>
  <si>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</si>
  <si>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</si>
  <si>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</si>
  <si>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</si>
  <si>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</si>
  <si>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</si>
  <si>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</si>
  <si>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</si>
  <si>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</si>
  <si>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</si>
  <si>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</si>
  <si>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</si>
  <si>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</si>
  <si>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</si>
  <si>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</si>
  <si>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</si>
  <si>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</si>
  <si>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</si>
  <si>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</si>
  <si>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</si>
  <si>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</si>
  <si>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</si>
  <si>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</si>
  <si>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</si>
  <si>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</si>
  <si>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</si>
  <si>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</si>
  <si>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</si>
  <si>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</si>
  <si>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</si>
  <si>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</si>
  <si>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</si>
  <si>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</si>
  <si>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</si>
  <si>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</si>
  <si>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</si>
  <si>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</si>
  <si>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</si>
  <si>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</si>
  <si>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</si>
  <si>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</si>
  <si>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</si>
  <si>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</si>
  <si>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</si>
  <si>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</si>
  <si>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</si>
  <si>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</si>
  <si>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</si>
  <si>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</si>
  <si>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</si>
  <si>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</si>
  <si>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</si>
  <si>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</si>
  <si>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</si>
  <si>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</si>
  <si>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</si>
  <si>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</si>
  <si>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</si>
  <si>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</si>
  <si>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</si>
  <si>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</si>
  <si>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</si>
  <si>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</si>
  <si>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</si>
  <si>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</si>
  <si>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</si>
  <si>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</si>
  <si>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</si>
  <si>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</si>
  <si>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</si>
  <si>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</si>
  <si>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</si>
  <si>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</si>
  <si>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</si>
  <si>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</si>
  <si>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</si>
  <si>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</si>
  <si>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</si>
  <si>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</si>
  <si>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</si>
  <si>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</si>
  <si>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</si>
  <si>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</si>
  <si>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</si>
  <si>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</si>
  <si>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</si>
  <si>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</si>
  <si>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</si>
  <si>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</si>
  <si>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</si>
  <si>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</si>
  <si>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</si>
  <si>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</si>
  <si>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</si>
  <si>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</si>
  <si>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</si>
  <si>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</si>
  <si>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</si>
  <si>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</si>
  <si>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</si>
  <si>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</si>
  <si>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</si>
  <si>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</si>
  <si>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</si>
  <si>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</si>
  <si>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</si>
  <si>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</si>
  <si>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</si>
  <si>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</si>
  <si>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</si>
  <si>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</si>
  <si>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</si>
  <si>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</si>
  <si>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</si>
  <si>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</si>
  <si>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</si>
  <si>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</si>
  <si>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</si>
  <si>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</si>
  <si>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</si>
  <si>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</si>
  <si>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</si>
  <si>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</si>
  <si>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</si>
  <si>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</si>
  <si>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</si>
  <si>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</si>
  <si>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</si>
  <si>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</si>
  <si>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</si>
  <si>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</si>
  <si>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</si>
  <si>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</si>
  <si>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</si>
  <si>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</si>
  <si>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</si>
  <si>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</si>
  <si>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</si>
  <si>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</si>
  <si>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</si>
  <si>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</si>
  <si>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</si>
  <si>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</si>
  <si>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 xml:space="preserve">  -  механизированная уборка и вывоз снега с придомовой территории</t>
  </si>
  <si>
    <t xml:space="preserve">  -  замена деревянной двери в 1-ом подъезде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</si>
  <si>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</si>
  <si>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</si>
  <si>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</si>
  <si>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</si>
  <si>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</si>
  <si>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Механизированная уборка и вывоз снега с придомовой территории.</t>
  </si>
  <si>
    <t>разово</t>
  </si>
  <si>
    <t>Приобретение и монтаж светодиодных светильников в кабину лифта (2 подъезд, 4 шт.).</t>
  </si>
  <si>
    <t>АВР 1/23 от 20.01.2023, Решение, счет №2 от 20.01.2023</t>
  </si>
  <si>
    <t>Замена светодиодных светильников в кабине пассажирского лифта (1 подъезд, 4 шт.).</t>
  </si>
  <si>
    <t>АВР 2/23 от 28.04.2023, счет №67 от 28.04.2023</t>
  </si>
  <si>
    <t>Частичный ремонт кровли с заменой водосточной воронки (1 подъезд).</t>
  </si>
  <si>
    <t>АВР 3/23 от 31.01.2023, счет №7 и 8 от 16.01.2023</t>
  </si>
  <si>
    <t>АВР 4/23 от 20.07.2023, счет №2068 от 15.05.2023, №2067 от 15.05.2023</t>
  </si>
  <si>
    <t>АВР 5/23 от 05.06.2023, Решение, счет №1 от 05.06.2023</t>
  </si>
  <si>
    <t>АВР 6/23 от 12.10.2023</t>
  </si>
  <si>
    <t>АВР 7/23 от 31.12.2023</t>
  </si>
  <si>
    <t>Генеральная уборка подъездов (1 и 2 подъезды).</t>
  </si>
  <si>
    <t>Ремонт подъезда (укладка керамогранита на пол 1-го подъезда с 6 по 9 этажи).</t>
  </si>
  <si>
    <t>АВР 8/23 от 21.08.2023, Решение</t>
  </si>
  <si>
    <t>АВР 9/23 от 24.08.2023, Решение</t>
  </si>
  <si>
    <t>Проведение праздника "1Сентября".</t>
  </si>
  <si>
    <t>Приобретение и замена грязезащитных ковриков в подъезде (4 шт.).</t>
  </si>
  <si>
    <t>Приобретение и замена манометров и термометров в ИТП (по 8 шт.).</t>
  </si>
  <si>
    <t>АВР 10/23 от 25.08.2023, счет №1001 от 25.08.2023</t>
  </si>
  <si>
    <t>АВР 11/23 от 26.09.2023, счет №89 от 26.09.2023</t>
  </si>
  <si>
    <t>АВР 12/23 от 27.06.2023, счет №3382 от 11.05.2023</t>
  </si>
  <si>
    <t xml:space="preserve">  -  ремонт подъезда (укладка керамогранита на пол 1-го подъезда со 2 по 5 этажи)</t>
  </si>
  <si>
    <t>Благоустройство придомовой территории (разлиновка парковочных мест и покраска малых форм).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</si>
</sst>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2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01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4" fontId="31" fillId="0" borderId="0" xfId="0" applyNumberFormat="1" applyFont="1" applyFill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4" fontId="39" fillId="0" borderId="0" xfId="6" applyNumberFormat="1" applyFont="1" applyFill="1" applyBorder="1" applyAlignment="1"/>
    <xf numFmtId="0" fontId="39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3" fillId="0" borderId="0" xfId="2" applyFont="1" applyFill="1" applyBorder="1" applyAlignment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31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4" fontId="32" fillId="0" borderId="0" xfId="0" applyNumberFormat="1" applyFont="1" applyFill="1"/>
    <xf numFmtId="0" fontId="21" fillId="0" borderId="0" xfId="2" applyFont="1" applyFill="1" applyBorder="1" applyAlignment="1"/>
    <xf numFmtId="4" fontId="20" fillId="0" borderId="0" xfId="12" applyNumberFormat="1" applyFill="1" applyBorder="1" applyAlignment="1"/>
    <xf numFmtId="0" fontId="41" fillId="3" borderId="0" xfId="0" applyFont="1" applyFill="1" applyBorder="1" applyAlignment="1">
      <alignment horizontal="left" vertical="center" wrapText="1"/>
    </xf>
    <xf numFmtId="4" fontId="41" fillId="3" borderId="0" xfId="14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4" fontId="0" fillId="0" borderId="0" xfId="0" applyNumberFormat="1" applyBorder="1"/>
    <xf numFmtId="0" fontId="43" fillId="0" borderId="0" xfId="0" applyFont="1" applyFill="1" applyBorder="1" applyAlignment="1">
      <alignment horizontal="left" vertical="center"/>
    </xf>
    <xf numFmtId="0" fontId="24" fillId="0" borderId="0" xfId="6" applyFill="1" applyBorder="1" applyAlignment="1">
      <alignment horizontal="center"/>
    </xf>
    <xf numFmtId="4" fontId="24" fillId="0" borderId="0" xfId="6" applyNumberFormat="1" applyFill="1" applyBorder="1" applyAlignment="1"/>
    <xf numFmtId="0" fontId="13" fillId="0" borderId="0" xfId="6" applyFont="1" applyFill="1" applyBorder="1" applyAlignment="1">
      <alignment horizontal="center"/>
    </xf>
    <xf numFmtId="0" fontId="12" fillId="0" borderId="0" xfId="6" applyFont="1" applyFill="1" applyBorder="1"/>
    <xf numFmtId="0" fontId="12" fillId="0" borderId="0" xfId="6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56" applyFont="1" applyFill="1" applyBorder="1" applyAlignment="1"/>
    <xf numFmtId="0" fontId="11" fillId="0" borderId="0" xfId="56" applyFont="1" applyFill="1" applyBorder="1" applyAlignment="1">
      <alignment horizontal="center"/>
    </xf>
    <xf numFmtId="0" fontId="11" fillId="0" borderId="0" xfId="56" applyFill="1" applyBorder="1" applyAlignment="1">
      <alignment horizontal="center"/>
    </xf>
    <xf numFmtId="4" fontId="11" fillId="0" borderId="0" xfId="56" applyNumberFormat="1" applyFill="1" applyBorder="1" applyAlignment="1"/>
    <xf numFmtId="0" fontId="10" fillId="0" borderId="0" xfId="56" applyFont="1" applyFill="1" applyBorder="1" applyAlignment="1"/>
    <xf numFmtId="0" fontId="16" fillId="0" borderId="0" xfId="12" applyFont="1" applyFill="1" applyBorder="1" applyAlignment="1">
      <alignment wrapText="1"/>
    </xf>
    <xf numFmtId="0" fontId="18" fillId="0" borderId="0" xfId="12" applyFont="1" applyFill="1" applyBorder="1" applyAlignment="1">
      <alignment horizontal="center"/>
    </xf>
    <xf numFmtId="0" fontId="9" fillId="0" borderId="0" xfId="12" applyFont="1" applyFill="1" applyBorder="1" applyAlignment="1">
      <alignment horizontal="center"/>
    </xf>
    <xf numFmtId="0" fontId="20" fillId="0" borderId="0" xfId="12" applyFill="1" applyBorder="1" applyAlignment="1">
      <alignment horizontal="center"/>
    </xf>
    <xf numFmtId="0" fontId="7" fillId="0" borderId="0" xfId="12" applyFont="1" applyFill="1" applyBorder="1"/>
    <xf numFmtId="0" fontId="8" fillId="0" borderId="0" xfId="12" applyFont="1" applyFill="1" applyBorder="1" applyAlignment="1">
      <alignment wrapText="1"/>
    </xf>
    <xf numFmtId="0" fontId="21" fillId="0" borderId="0" xfId="6" applyFont="1" applyFill="1" applyBorder="1" applyAlignment="1"/>
    <xf numFmtId="0" fontId="7" fillId="0" borderId="0" xfId="12" applyFont="1" applyFill="1" applyBorder="1" applyAlignment="1">
      <alignment horizontal="center"/>
    </xf>
    <xf numFmtId="0" fontId="14" fillId="0" borderId="0" xfId="6" applyFont="1" applyFill="1" applyBorder="1" applyAlignment="1">
      <alignment horizontal="center"/>
    </xf>
    <xf numFmtId="0" fontId="5" fillId="0" borderId="0" xfId="6" applyFont="1" applyFill="1" applyBorder="1"/>
    <xf numFmtId="0" fontId="6" fillId="0" borderId="0" xfId="2" applyFont="1" applyFill="1" applyBorder="1" applyAlignment="1"/>
    <xf numFmtId="0" fontId="4" fillId="0" borderId="0" xfId="6" applyFont="1" applyFill="1" applyBorder="1"/>
    <xf numFmtId="0" fontId="4" fillId="0" borderId="0" xfId="6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2" fillId="0" borderId="0" xfId="6" applyFont="1" applyFill="1" applyBorder="1"/>
    <xf numFmtId="0" fontId="39" fillId="0" borderId="0" xfId="6" applyFont="1" applyFill="1" applyBorder="1" applyAlignment="1">
      <alignment wrapText="1"/>
    </xf>
    <xf numFmtId="4" fontId="39" fillId="0" borderId="0" xfId="6" applyNumberFormat="1" applyFont="1" applyFill="1" applyBorder="1" applyAlignment="1">
      <alignment horizontal="right"/>
    </xf>
    <xf numFmtId="0" fontId="3" fillId="0" borderId="0" xfId="6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12" applyFont="1" applyFill="1" applyBorder="1" applyAlignment="1">
      <alignment wrapText="1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82">
    <cellStyle name="Обычный" xfId="0" builtinId="0"/>
    <cellStyle name="Обычный 2" xfId="1"/>
    <cellStyle name="Обычный 2 2" xfId="3"/>
    <cellStyle name="Обычный 2 3" xfId="7"/>
    <cellStyle name="Обычный 2 3 2" xfId="24"/>
    <cellStyle name="Обычный 2 3 2 2" xfId="46"/>
    <cellStyle name="Обычный 2 3 2 3" xfId="74"/>
    <cellStyle name="Обычный 2 3 3" xfId="34"/>
    <cellStyle name="Обычный 2 3 4" xfId="59"/>
    <cellStyle name="Обычный 2 4" xfId="19"/>
    <cellStyle name="Обычный 2 4 2" xfId="41"/>
    <cellStyle name="Обычный 2 4 3" xfId="78"/>
    <cellStyle name="Обычный 2 5" xfId="14"/>
    <cellStyle name="Обычный 2 5 2" xfId="53"/>
    <cellStyle name="Обычный 2 5 3" xfId="70"/>
    <cellStyle name="Обычный 2 6" xfId="29"/>
    <cellStyle name="Обычный 2 6 2" xfId="63"/>
    <cellStyle name="Обычный 2 7" xfId="54"/>
    <cellStyle name="Обычный 3" xfId="2"/>
    <cellStyle name="Обычный 3 2" xfId="8"/>
    <cellStyle name="Обычный 3 2 2" xfId="25"/>
    <cellStyle name="Обычный 3 2 2 2" xfId="47"/>
    <cellStyle name="Обычный 3 2 2 3" xfId="75"/>
    <cellStyle name="Обычный 3 2 3" xfId="35"/>
    <cellStyle name="Обычный 3 2 3 2" xfId="68"/>
    <cellStyle name="Обычный 3 2 4" xfId="60"/>
    <cellStyle name="Обычный 3 3" xfId="20"/>
    <cellStyle name="Обычный 3 3 2" xfId="42"/>
    <cellStyle name="Обычный 3 3 3" xfId="79"/>
    <cellStyle name="Обычный 3 4" xfId="15"/>
    <cellStyle name="Обычный 3 4 2" xfId="71"/>
    <cellStyle name="Обычный 3 5" xfId="30"/>
    <cellStyle name="Обычный 3 5 2" xfId="64"/>
    <cellStyle name="Обычный 3 6" xfId="55"/>
    <cellStyle name="Обычный 4" xfId="4"/>
    <cellStyle name="Обычный 4 2" xfId="9"/>
    <cellStyle name="Обычный 4 2 2" xfId="26"/>
    <cellStyle name="Обычный 4 2 2 2" xfId="48"/>
    <cellStyle name="Обычный 4 2 2 3" xfId="76"/>
    <cellStyle name="Обычный 4 2 3" xfId="36"/>
    <cellStyle name="Обычный 4 2 3 2" xfId="69"/>
    <cellStyle name="Обычный 4 2 4" xfId="61"/>
    <cellStyle name="Обычный 4 3" xfId="21"/>
    <cellStyle name="Обычный 4 3 2" xfId="43"/>
    <cellStyle name="Обычный 4 3 3" xfId="80"/>
    <cellStyle name="Обычный 4 4" xfId="16"/>
    <cellStyle name="Обычный 4 4 2" xfId="72"/>
    <cellStyle name="Обычный 4 5" xfId="31"/>
    <cellStyle name="Обычный 4 5 2" xfId="65"/>
    <cellStyle name="Обычный 4 6" xfId="56"/>
    <cellStyle name="Обычный 5" xfId="5"/>
    <cellStyle name="Обычный 5 2" xfId="10"/>
    <cellStyle name="Обычный 5 2 2" xfId="27"/>
    <cellStyle name="Обычный 5 2 2 2" xfId="49"/>
    <cellStyle name="Обычный 5 2 2 3" xfId="77"/>
    <cellStyle name="Обычный 5 2 3" xfId="37"/>
    <cellStyle name="Обычный 5 2 4" xfId="62"/>
    <cellStyle name="Обычный 5 3" xfId="13"/>
    <cellStyle name="Обычный 5 3 2" xfId="22"/>
    <cellStyle name="Обычный 5 3 2 2" xfId="52"/>
    <cellStyle name="Обычный 5 3 2 3" xfId="81"/>
    <cellStyle name="Обычный 5 3 3" xfId="40"/>
    <cellStyle name="Обычный 5 3 4" xfId="58"/>
    <cellStyle name="Обычный 5 4" xfId="17"/>
    <cellStyle name="Обычный 5 4 2" xfId="44"/>
    <cellStyle name="Обычный 5 4 3" xfId="73"/>
    <cellStyle name="Обычный 5 5" xfId="32"/>
    <cellStyle name="Обычный 5 5 2" xfId="66"/>
    <cellStyle name="Обычный 5 6" xfId="57"/>
    <cellStyle name="Обычный 6" xfId="6"/>
    <cellStyle name="Обычный 6 2" xfId="11"/>
    <cellStyle name="Обычный 6 2 2" xfId="28"/>
    <cellStyle name="Обычный 6 2 2 2" xfId="50"/>
    <cellStyle name="Обычный 6 2 3" xfId="38"/>
    <cellStyle name="Обычный 6 3" xfId="12"/>
    <cellStyle name="Обычный 6 3 2" xfId="23"/>
    <cellStyle name="Обычный 6 3 2 2" xfId="51"/>
    <cellStyle name="Обычный 6 3 3" xfId="39"/>
    <cellStyle name="Обычный 6 4" xfId="18"/>
    <cellStyle name="Обычный 6 4 2" xfId="45"/>
    <cellStyle name="Обычный 6 5" xfId="33"/>
    <cellStyle name="Обычный 6 6" xfId="6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I221" sqref="I22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1" t="s">
        <v>178</v>
      </c>
      <c r="B2" s="191"/>
      <c r="C2" s="191"/>
      <c r="D2" s="191"/>
      <c r="E2" s="191"/>
      <c r="F2" s="191"/>
      <c r="G2" s="191"/>
      <c r="H2" s="191"/>
      <c r="I2" s="191"/>
      <c r="J2" s="19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8"/>
      <c r="L8" s="192"/>
      <c r="M8" s="108"/>
      <c r="N8" s="108"/>
      <c r="O8" s="69" t="s">
        <v>81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8"/>
      <c r="L9" s="192"/>
      <c r="M9" s="108"/>
      <c r="N9" s="108"/>
      <c r="O9" s="69" t="s">
        <v>82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265369.15000000002</v>
      </c>
      <c r="K10" s="108"/>
      <c r="L10" s="192"/>
      <c r="M10" s="108"/>
      <c r="N10" s="108"/>
      <c r="O10" s="69" t="s">
        <v>83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1318831.44</v>
      </c>
      <c r="K11" s="108"/>
      <c r="L11" s="192"/>
      <c r="M11" s="108"/>
      <c r="N11" s="108"/>
      <c r="O11" s="69" t="s">
        <v>84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1021889.4</v>
      </c>
      <c r="K12" s="108"/>
      <c r="L12" s="192"/>
      <c r="M12" s="108"/>
      <c r="N12" s="108"/>
      <c r="O12" s="69" t="s">
        <v>85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296942.04000000004</v>
      </c>
      <c r="K13" s="108"/>
      <c r="L13" s="192"/>
      <c r="M13" s="108"/>
      <c r="N13" s="108"/>
      <c r="O13" s="69" t="s">
        <v>86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8"/>
      <c r="L14" s="192"/>
      <c r="M14" s="108"/>
      <c r="N14" s="108"/>
      <c r="O14" s="69" t="s">
        <v>87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1341159.96</v>
      </c>
      <c r="K15" s="108"/>
      <c r="L15" s="192"/>
      <c r="M15" s="108"/>
      <c r="N15" s="108"/>
      <c r="O15" s="69" t="s">
        <v>88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1341159.96</v>
      </c>
      <c r="K16" s="108"/>
      <c r="L16" s="192"/>
      <c r="M16" s="108"/>
      <c r="N16" s="108"/>
      <c r="O16" s="69" t="s">
        <v>89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8"/>
      <c r="L17" s="192"/>
      <c r="M17" s="108"/>
      <c r="N17" s="108"/>
      <c r="O17" s="69" t="s">
        <v>90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8"/>
      <c r="L18" s="192"/>
      <c r="M18" s="108"/>
      <c r="N18" s="108"/>
      <c r="O18" s="69" t="s">
        <v>91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8"/>
      <c r="L19" s="192"/>
      <c r="M19" s="108"/>
      <c r="N19" s="108"/>
      <c r="O19" s="69" t="s">
        <v>92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8"/>
      <c r="L20" s="192"/>
      <c r="M20" s="108"/>
      <c r="N20" s="108"/>
      <c r="O20" s="69" t="s">
        <v>93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1341159.96</v>
      </c>
      <c r="K21" s="108"/>
      <c r="L21" s="192"/>
      <c r="M21" s="108"/>
      <c r="N21" s="108"/>
      <c r="O21" s="69" t="s">
        <v>94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8"/>
      <c r="L22" s="192"/>
      <c r="M22" s="108"/>
      <c r="N22" s="108"/>
      <c r="O22" s="69" t="s">
        <v>95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8"/>
      <c r="L23" s="192"/>
      <c r="M23" s="108"/>
      <c r="N23" s="108"/>
      <c r="O23" s="69" t="s">
        <v>96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243040.62999999989</v>
      </c>
      <c r="K24" s="108"/>
      <c r="L24" s="192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8"/>
      <c r="L27" s="19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367105.56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8"/>
      <c r="L28" s="19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108377.63999999998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8"/>
      <c r="L29" s="19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0">
        <f>VLOOKUP(A30,ПТО!$A$39:$D$53,2,FALSE)</f>
        <v>92716.08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8"/>
      <c r="L30" s="19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73922.28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8"/>
      <c r="L31" s="19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8"/>
      <c r="L32" s="19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21299.64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8"/>
      <c r="L33" s="19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108377.63999999998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8"/>
      <c r="L34" s="19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9"/>
      <c r="C35" s="169"/>
      <c r="D35" s="169"/>
      <c r="E35" s="169"/>
      <c r="F35" s="170">
        <f>VLOOKUP(A35,ПТО!$A$39:$D$53,2,FALSE)</f>
        <v>249957.59999999998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8"/>
      <c r="L35" s="193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8"/>
      <c r="L36" s="193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8"/>
      <c r="L37" s="193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8"/>
      <c r="L38" s="193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8"/>
      <c r="L39" s="193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8"/>
      <c r="L40" s="193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8"/>
      <c r="L41" s="193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8"/>
      <c r="L42" s="193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9" t="str">
        <f>ПТО!A2</f>
        <v>Техническое освидетельствование лифтов.</v>
      </c>
      <c r="B43" s="169"/>
      <c r="C43" s="169"/>
      <c r="D43" s="169"/>
      <c r="E43" s="169"/>
      <c r="F43" s="170">
        <f>VLOOKUP(A43,ПТО!$A$2:$D$31,4,FALSE)</f>
        <v>15000</v>
      </c>
      <c r="G43" s="170"/>
      <c r="H43" s="19" t="str">
        <f>VLOOKUP(A43,ПТО!$A$2:$D$31,2,FALSE)</f>
        <v>ежегодно</v>
      </c>
      <c r="I43" s="171">
        <f>VLOOKUP(A43,ПТО!$A$2:$D$31,3,FALSE)</f>
        <v>2</v>
      </c>
      <c r="J43" s="171"/>
      <c r="K43" s="108"/>
      <c r="L43" s="193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9" t="str">
        <f>ПТО!A3</f>
        <v>Техническое обслуживание охранной сигнализации.</v>
      </c>
      <c r="B44" s="169"/>
      <c r="C44" s="169"/>
      <c r="D44" s="169"/>
      <c r="E44" s="169"/>
      <c r="F44" s="170">
        <f>VLOOKUP(A44,ПТО!$A$2:$D$31,4,FALSE)</f>
        <v>12000</v>
      </c>
      <c r="G44" s="170"/>
      <c r="H44" s="25" t="str">
        <f>VLOOKUP(A44,ПТО!$A$2:$D$31,2,FALSE)</f>
        <v>ежемесячно</v>
      </c>
      <c r="I44" s="171">
        <f>VLOOKUP(A44,ПТО!$A$2:$D$31,3,FALSE)</f>
        <v>12</v>
      </c>
      <c r="J44" s="171"/>
      <c r="K44" s="108"/>
      <c r="L44" s="193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9" t="str">
        <f>ПТО!A4</f>
        <v>Приобретение и монтаж светодиодных светильников в кабину лифта (2 подъезд, 4 шт.).</v>
      </c>
      <c r="B45" s="169"/>
      <c r="C45" s="169"/>
      <c r="D45" s="169"/>
      <c r="E45" s="169"/>
      <c r="F45" s="170">
        <f>VLOOKUP(A45,ПТО!$A$2:$D$31,4,FALSE)</f>
        <v>3440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8"/>
      <c r="L45" s="193"/>
      <c r="M45" s="115"/>
      <c r="N45" s="108"/>
      <c r="O45" s="23" t="str">
        <f t="shared" si="1"/>
        <v>Приобретение и монтаж светодиодных светильников в кабину лифта (2 подъезд, 4 шт.).</v>
      </c>
      <c r="R45" s="22" t="s">
        <v>72</v>
      </c>
    </row>
    <row r="46" spans="1:18" ht="51" customHeight="1" outlineLevel="1">
      <c r="A46" s="169" t="str">
        <f>ПТО!A5</f>
        <v>Замена светодиодных светильников в кабине пассажирского лифта (1 подъезд, 4 шт.).</v>
      </c>
      <c r="B46" s="169"/>
      <c r="C46" s="169"/>
      <c r="D46" s="169"/>
      <c r="E46" s="169"/>
      <c r="F46" s="170">
        <f>VLOOKUP(A46,ПТО!$A$2:$D$31,4,FALSE)</f>
        <v>3920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8"/>
      <c r="L46" s="193"/>
      <c r="M46" s="115"/>
      <c r="N46" s="108"/>
      <c r="O46" s="23" t="str">
        <f t="shared" si="1"/>
        <v>Замена светодиодных светильников в кабине пассажирского лифта (1 подъезд, 4 шт.).</v>
      </c>
      <c r="R46" s="22" t="s">
        <v>72</v>
      </c>
    </row>
    <row r="47" spans="1:18" ht="51" customHeight="1" outlineLevel="1">
      <c r="A47" s="169" t="str">
        <f>ПТО!A6</f>
        <v>Механизированная уборка и вывоз снега с придомовой территории.</v>
      </c>
      <c r="B47" s="169"/>
      <c r="C47" s="169"/>
      <c r="D47" s="169"/>
      <c r="E47" s="169"/>
      <c r="F47" s="170">
        <f>VLOOKUP(A47,ПТО!$A$2:$D$31,4,FALSE)</f>
        <v>13577.14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8"/>
      <c r="L47" s="193"/>
      <c r="M47" s="115"/>
      <c r="N47" s="108"/>
      <c r="O47" s="23" t="str">
        <f t="shared" si="1"/>
        <v>Механизированная уборка и вывоз снега с придомовой территории.</v>
      </c>
      <c r="R47" s="22" t="s">
        <v>72</v>
      </c>
    </row>
    <row r="48" spans="1:18" ht="51" customHeight="1" outlineLevel="1">
      <c r="A48" s="169" t="str">
        <f>ПТО!A7</f>
        <v>Благоустройство придомовой территории (разлиновка парковочных мест и покраска малых форм).</v>
      </c>
      <c r="B48" s="169"/>
      <c r="C48" s="169"/>
      <c r="D48" s="169"/>
      <c r="E48" s="169"/>
      <c r="F48" s="170">
        <f>VLOOKUP(A48,ПТО!$A$2:$D$31,4,FALSE)</f>
        <v>2733</v>
      </c>
      <c r="G48" s="170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8"/>
      <c r="L48" s="193"/>
      <c r="M48" s="115"/>
      <c r="N48" s="108"/>
      <c r="O48" s="23" t="str">
        <f t="shared" si="1"/>
        <v>Благоустройство придомовой территории (разлиновка парковочных мест и покраска малых форм).</v>
      </c>
      <c r="R48" s="22" t="s">
        <v>72</v>
      </c>
    </row>
    <row r="49" spans="1:18" ht="51" customHeight="1" outlineLevel="1">
      <c r="A49" s="169" t="str">
        <f>ПТО!A8</f>
        <v>Частичный ремонт кровли с заменой водосточной воронки (1 подъезд).</v>
      </c>
      <c r="B49" s="169"/>
      <c r="C49" s="169"/>
      <c r="D49" s="169"/>
      <c r="E49" s="169"/>
      <c r="F49" s="170">
        <f>VLOOKUP(A49,ПТО!$A$2:$D$31,4,FALSE)</f>
        <v>85000</v>
      </c>
      <c r="G49" s="170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8"/>
      <c r="L49" s="193"/>
      <c r="M49" s="115"/>
      <c r="N49" s="108"/>
      <c r="O49" s="23" t="str">
        <f t="shared" si="1"/>
        <v>Частичный ремонт кровли с заменой водосточной воронки (1 подъезд).</v>
      </c>
      <c r="R49" s="22" t="s">
        <v>72</v>
      </c>
    </row>
    <row r="50" spans="1:18" ht="51" customHeight="1" outlineLevel="1">
      <c r="A50" s="169" t="str">
        <f>ПТО!A9</f>
        <v>Ремонт подъезда (укладка керамогранита на пол 1-го подъезда с 6 по 9 этажи).</v>
      </c>
      <c r="B50" s="169"/>
      <c r="C50" s="169"/>
      <c r="D50" s="169"/>
      <c r="E50" s="169"/>
      <c r="F50" s="170">
        <f>VLOOKUP(A50,ПТО!$A$2:$D$31,4,FALSE)</f>
        <v>340489</v>
      </c>
      <c r="G50" s="170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08"/>
      <c r="L50" s="193"/>
      <c r="M50" s="115"/>
      <c r="N50" s="108"/>
      <c r="O50" s="23" t="str">
        <f t="shared" si="1"/>
        <v>Ремонт подъезда (укладка керамогранита на пол 1-го подъезда с 6 по 9 этажи).</v>
      </c>
      <c r="R50" s="22" t="s">
        <v>72</v>
      </c>
    </row>
    <row r="51" spans="1:18" ht="51" customHeight="1" outlineLevel="1">
      <c r="A51" s="169" t="str">
        <f>ПТО!A10</f>
        <v>Генеральная уборка подъездов (1 и 2 подъезды).</v>
      </c>
      <c r="B51" s="169"/>
      <c r="C51" s="169"/>
      <c r="D51" s="169"/>
      <c r="E51" s="169"/>
      <c r="F51" s="170">
        <f>VLOOKUP(A51,ПТО!$A$2:$D$31,4,FALSE)</f>
        <v>29931.03</v>
      </c>
      <c r="G51" s="170"/>
      <c r="H51" s="25" t="str">
        <f>VLOOKUP(A51,ПТО!$A$2:$D$31,2,FALSE)</f>
        <v>разово</v>
      </c>
      <c r="I51" s="171">
        <f>VLOOKUP(A51,ПТО!$A$2:$D$31,3,FALSE)</f>
        <v>1</v>
      </c>
      <c r="J51" s="171"/>
      <c r="K51" s="108"/>
      <c r="L51" s="193"/>
      <c r="M51" s="115"/>
      <c r="N51" s="108"/>
      <c r="O51" s="23" t="str">
        <f t="shared" si="1"/>
        <v>Генеральная уборка подъездов (1 и 2 подъезды).</v>
      </c>
      <c r="R51" s="22" t="s">
        <v>72</v>
      </c>
    </row>
    <row r="52" spans="1:18" ht="51" customHeight="1" outlineLevel="1">
      <c r="A52" s="169" t="str">
        <f>ПТО!A11</f>
        <v>Проведение праздника "1Сентября".</v>
      </c>
      <c r="B52" s="169"/>
      <c r="C52" s="169"/>
      <c r="D52" s="169"/>
      <c r="E52" s="169"/>
      <c r="F52" s="170">
        <f>VLOOKUP(A52,ПТО!$A$2:$D$31,4,FALSE)</f>
        <v>3500</v>
      </c>
      <c r="G52" s="170"/>
      <c r="H52" s="25" t="str">
        <f>VLOOKUP(A52,ПТО!$A$2:$D$31,2,FALSE)</f>
        <v>разово</v>
      </c>
      <c r="I52" s="171">
        <f>VLOOKUP(A52,ПТО!$A$2:$D$31,3,FALSE)</f>
        <v>1</v>
      </c>
      <c r="J52" s="171"/>
      <c r="K52" s="108"/>
      <c r="L52" s="193"/>
      <c r="M52" s="115"/>
      <c r="N52" s="108"/>
      <c r="O52" s="23" t="str">
        <f t="shared" si="1"/>
        <v>Проведение праздника "1Сентября".</v>
      </c>
      <c r="R52" s="22" t="s">
        <v>72</v>
      </c>
    </row>
    <row r="53" spans="1:18" ht="51" customHeight="1" outlineLevel="1">
      <c r="A53" s="169" t="str">
        <f>ПТО!A12</f>
        <v>Приобретение и замена грязезащитных ковриков в подъезде (4 шт.).</v>
      </c>
      <c r="B53" s="169"/>
      <c r="C53" s="169"/>
      <c r="D53" s="169"/>
      <c r="E53" s="169"/>
      <c r="F53" s="170">
        <f>VLOOKUP(A53,ПТО!$A$2:$D$31,4,FALSE)</f>
        <v>8984.48</v>
      </c>
      <c r="G53" s="170"/>
      <c r="H53" s="25" t="str">
        <f>VLOOKUP(A53,ПТО!$A$2:$D$31,2,FALSE)</f>
        <v>разово</v>
      </c>
      <c r="I53" s="171">
        <f>VLOOKUP(A53,ПТО!$A$2:$D$31,3,FALSE)</f>
        <v>1</v>
      </c>
      <c r="J53" s="171"/>
      <c r="K53" s="108"/>
      <c r="L53" s="193"/>
      <c r="M53" s="115"/>
      <c r="N53" s="108"/>
      <c r="O53" s="23" t="str">
        <f t="shared" si="1"/>
        <v>Приобретение и замена грязезащитных ковриков в подъезде (4 шт.).</v>
      </c>
      <c r="R53" s="22" t="s">
        <v>72</v>
      </c>
    </row>
    <row r="54" spans="1:18" ht="51" customHeight="1" outlineLevel="1">
      <c r="A54" s="169" t="str">
        <f>ПТО!A13</f>
        <v>Приобретение и замена манометров и термометров в ИТП (по 8 шт.).</v>
      </c>
      <c r="B54" s="169"/>
      <c r="C54" s="169"/>
      <c r="D54" s="169"/>
      <c r="E54" s="169"/>
      <c r="F54" s="170">
        <f>VLOOKUP(A54,ПТО!$A$2:$D$31,4,FALSE)</f>
        <v>5614.56</v>
      </c>
      <c r="G54" s="170"/>
      <c r="H54" s="25" t="str">
        <f>VLOOKUP(A54,ПТО!$A$2:$D$31,2,FALSE)</f>
        <v>разово</v>
      </c>
      <c r="I54" s="171">
        <f>VLOOKUP(A54,ПТО!$A$2:$D$31,3,FALSE)</f>
        <v>1</v>
      </c>
      <c r="J54" s="171"/>
      <c r="K54" s="108"/>
      <c r="L54" s="193"/>
      <c r="M54" s="115"/>
      <c r="N54" s="108"/>
      <c r="O54" s="23" t="str">
        <f t="shared" si="1"/>
        <v>Приобретение и замена манометров и термометров в ИТП (по 8 шт.).</v>
      </c>
      <c r="R54" s="22" t="s">
        <v>72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8"/>
      <c r="L55" s="193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8"/>
      <c r="L56" s="193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8"/>
      <c r="L57" s="193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8"/>
      <c r="L58" s="193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8"/>
      <c r="L59" s="193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8"/>
      <c r="L60" s="193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8"/>
      <c r="L61" s="193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8"/>
      <c r="L62" s="193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8"/>
      <c r="L63" s="193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8"/>
      <c r="L64" s="193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8"/>
      <c r="L65" s="193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8"/>
      <c r="L66" s="193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8"/>
      <c r="L67" s="193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8"/>
      <c r="L68" s="193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8"/>
      <c r="L69" s="193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8"/>
      <c r="L70" s="193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8"/>
      <c r="L72" s="193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7" t="s">
        <v>27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8"/>
      <c r="L75" s="176"/>
      <c r="M75" s="108"/>
      <c r="N75" s="108"/>
      <c r="O75" s="69" t="s">
        <v>98</v>
      </c>
    </row>
    <row r="76" spans="1:16384" ht="18.75" customHeight="1" outlineLevel="1">
      <c r="A76" s="187" t="s">
        <v>28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8"/>
      <c r="L76" s="176"/>
      <c r="M76" s="108"/>
      <c r="N76" s="108"/>
      <c r="O76" s="69" t="s">
        <v>99</v>
      </c>
    </row>
    <row r="77" spans="1:16384" ht="21.75" customHeight="1" outlineLevel="1">
      <c r="A77" s="187" t="s">
        <v>29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8"/>
      <c r="L77" s="176"/>
      <c r="M77" s="108"/>
      <c r="N77" s="108"/>
      <c r="O77" s="69" t="s">
        <v>100</v>
      </c>
    </row>
    <row r="78" spans="1:16384" ht="18.75" customHeight="1" outlineLevel="1">
      <c r="A78" s="187" t="s">
        <v>30</v>
      </c>
      <c r="B78" s="187"/>
      <c r="C78" s="187"/>
      <c r="D78" s="187"/>
      <c r="E78" s="187"/>
      <c r="F78" s="187"/>
      <c r="G78" s="187"/>
      <c r="H78" s="187"/>
      <c r="I78" s="187"/>
      <c r="J78" s="96">
        <f>VLOOKUP(O78,АО,3,FALSE)</f>
        <v>0</v>
      </c>
      <c r="K78" s="108"/>
      <c r="L78" s="176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6">
        <f t="shared" ref="J81:J90" si="2">VLOOKUP(O81,АО,3,FALSE)</f>
        <v>0</v>
      </c>
      <c r="K81" s="108"/>
      <c r="L81" s="194"/>
      <c r="M81" s="108"/>
      <c r="N81" s="108"/>
      <c r="O81" s="69" t="s">
        <v>102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6">
        <f t="shared" si="2"/>
        <v>0</v>
      </c>
      <c r="K82" s="108"/>
      <c r="L82" s="194"/>
      <c r="M82" s="108"/>
      <c r="N82" s="108"/>
      <c r="O82" s="69" t="s">
        <v>103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6">
        <f t="shared" si="2"/>
        <v>185245.56</v>
      </c>
      <c r="K83" s="108"/>
      <c r="L83" s="194"/>
      <c r="M83" s="108"/>
      <c r="N83" s="108"/>
      <c r="O83" s="69" t="s">
        <v>104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6">
        <f t="shared" si="2"/>
        <v>0</v>
      </c>
      <c r="K84" s="108"/>
      <c r="L84" s="194"/>
      <c r="M84" s="108"/>
      <c r="N84" s="108"/>
      <c r="O84" s="69" t="s">
        <v>105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6">
        <f t="shared" si="2"/>
        <v>0</v>
      </c>
      <c r="K85" s="108"/>
      <c r="L85" s="194"/>
      <c r="M85" s="108"/>
      <c r="N85" s="108"/>
      <c r="O85" s="69" t="s">
        <v>106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6">
        <f t="shared" si="2"/>
        <v>174062.21</v>
      </c>
      <c r="K86" s="108"/>
      <c r="L86" s="194"/>
      <c r="M86" s="108"/>
      <c r="N86" s="108"/>
      <c r="O86" s="69" t="s">
        <v>107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8"/>
      <c r="L87" s="194"/>
      <c r="M87" s="108"/>
      <c r="N87" s="108"/>
      <c r="O87" s="69" t="s">
        <v>108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8"/>
      <c r="L88" s="194"/>
      <c r="M88" s="108"/>
      <c r="N88" s="108"/>
      <c r="O88" s="69" t="s">
        <v>109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8"/>
      <c r="L89" s="194"/>
      <c r="M89" s="108"/>
      <c r="N89" s="108"/>
      <c r="O89" s="69" t="s">
        <v>110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6">
        <f t="shared" si="2"/>
        <v>0</v>
      </c>
      <c r="K90" s="108"/>
      <c r="L90" s="194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8" t="s">
        <v>48</v>
      </c>
      <c r="B93" s="178"/>
      <c r="C93" s="178"/>
      <c r="D93" s="181" t="s">
        <v>49</v>
      </c>
      <c r="E93" s="181"/>
      <c r="F93" s="10" t="s">
        <v>50</v>
      </c>
      <c r="G93" s="178" t="s">
        <v>51</v>
      </c>
      <c r="H93" s="178"/>
      <c r="I93" s="178"/>
      <c r="J93" s="178"/>
      <c r="K93" s="108"/>
      <c r="L93" s="108"/>
      <c r="M93" s="108"/>
      <c r="N93" s="108"/>
    </row>
    <row r="94" spans="1:15" outlineLevel="1">
      <c r="A94" s="182" t="str">
        <f>IF(VLOOKUP("эл",АО,3,FALSE)&gt;0,"Электроснабжение",0)</f>
        <v>Электроснабжение</v>
      </c>
      <c r="B94" s="182"/>
      <c r="C94" s="182"/>
      <c r="D94" s="180" t="str">
        <f>IF(VLOOKUP("эл",АО,3,FALSE)&gt;0,VLOOKUP("эл",АО,3,FALSE),0)</f>
        <v>Предоставляется</v>
      </c>
      <c r="E94" s="180"/>
      <c r="F94" s="13" t="str">
        <f>IF(VLOOKUP("эл",АО,3,FALSE)&gt;0,VLOOKUP("эл",АО,4,FALSE),0)</f>
        <v>кВт*ч</v>
      </c>
      <c r="G94" s="179">
        <f>VLOOKUP("эл",АО,5,FALSE)</f>
        <v>544745.06000000006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400547.83</v>
      </c>
      <c r="L95" s="195"/>
      <c r="O95" s="1" t="s">
        <v>112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543222.66</v>
      </c>
      <c r="L96" s="195"/>
      <c r="O96" s="1" t="s">
        <v>113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1522.4000000000233</v>
      </c>
      <c r="L97" s="195"/>
      <c r="O97" s="1" t="s">
        <v>114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544745.06000000006</v>
      </c>
      <c r="L98" s="195"/>
      <c r="O98" s="1" t="s">
        <v>115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544745.06000000006</v>
      </c>
      <c r="L99" s="195"/>
      <c r="O99" s="1" t="s">
        <v>116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117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118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226140.68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15520.98</v>
      </c>
      <c r="L103" s="195"/>
      <c r="O103" s="1" t="s">
        <v>121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231119.5</v>
      </c>
      <c r="L104" s="195"/>
      <c r="O104" s="1" t="s">
        <v>122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123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226140.68</v>
      </c>
      <c r="L106" s="195"/>
      <c r="O106" s="1" t="s">
        <v>124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226140.68</v>
      </c>
      <c r="L107" s="195"/>
      <c r="O107" s="1" t="s">
        <v>125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126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127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287795.71000000002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16250.46</v>
      </c>
      <c r="L111" s="195"/>
      <c r="O111" s="1" t="s">
        <v>129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295522.64</v>
      </c>
      <c r="L112" s="195"/>
      <c r="O112" s="1" t="s">
        <v>130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131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287795.71000000002</v>
      </c>
      <c r="L114" s="195"/>
      <c r="O114" s="1" t="s">
        <v>132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287795.71000000002</v>
      </c>
      <c r="L115" s="195"/>
      <c r="O115" s="1" t="s">
        <v>133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134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135</v>
      </c>
    </row>
    <row r="118" spans="1:15" ht="32.25" hidden="1" customHeight="1" outlineLevel="1">
      <c r="A118" s="182">
        <f>IF(VLOOKUP("тко",АО,3,FALSE)&gt;0,"Обращение с ТКО",0)</f>
        <v>0</v>
      </c>
      <c r="B118" s="182"/>
      <c r="C118" s="182"/>
      <c r="D118" s="180">
        <f>IF(VLOOKUP("тко",АО,3,FALSE)&gt;0,VLOOKUP("тко",АО,3,FALSE),0)</f>
        <v>0</v>
      </c>
      <c r="E118" s="180"/>
      <c r="F118" s="13">
        <f>IF(VLOOKUP("тко",АО,3,FALSE)&gt;0,VLOOKUP("тко",АО,4,FALSE),0)</f>
        <v>0</v>
      </c>
      <c r="G118" s="179">
        <f>VLOOKUP("тко",АО,5,FALSE)</f>
        <v>0</v>
      </c>
      <c r="H118" s="180"/>
      <c r="I118" s="180"/>
      <c r="J118" s="180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0">
        <f>IF(VLOOKUP("гвс",АО,3,FALSE)&gt;0,VLOOKUP("гвс",АО,3,FALSE),0)</f>
        <v>0</v>
      </c>
      <c r="E126" s="180"/>
      <c r="F126" s="13">
        <f>IF(VLOOKUP("гвс",АО,3,FALSE)&gt;0,VLOOKUP("гвс",АО,4,FALSE),0)</f>
        <v>0</v>
      </c>
      <c r="G126" s="179">
        <f>VLOOKUP("гвс",АО,5,FALSE)</f>
        <v>0</v>
      </c>
      <c r="H126" s="180"/>
      <c r="I126" s="180"/>
      <c r="J126" s="180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0">
        <f>IF(VLOOKUP("отопление",АО,3,FALSE)&gt;0,VLOOKUP("отопление",АО,3,FALSE),0)</f>
        <v>0</v>
      </c>
      <c r="E134" s="180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80"/>
      <c r="I134" s="180"/>
      <c r="J134" s="180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169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177" t="s">
        <v>172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123789.12</v>
      </c>
      <c r="O146" t="s">
        <v>171</v>
      </c>
    </row>
    <row r="149" spans="1:15" ht="52.5" customHeight="1">
      <c r="A149" s="173" t="s">
        <v>179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2" t="s">
        <v>191</v>
      </c>
      <c r="B154" s="172"/>
      <c r="C154" s="172"/>
      <c r="D154" s="172"/>
      <c r="E154" s="27">
        <f>ПТО!G1</f>
        <v>-168341.6</v>
      </c>
    </row>
    <row r="155" spans="1:15" ht="34.5" customHeight="1">
      <c r="A155" s="174" t="s">
        <v>195</v>
      </c>
      <c r="B155" s="174"/>
      <c r="C155" s="174"/>
      <c r="D155" s="174"/>
      <c r="E155" s="28">
        <f>J13</f>
        <v>296942.04000000004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9" t="str">
        <f t="shared" ref="A158:A163" si="14">IF(N158&gt;0,N158,0)</f>
        <v>Техническое освидетельствование лифтов.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15000</v>
      </c>
      <c r="G158" s="170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2</v>
      </c>
      <c r="J158" s="17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9" t="str">
        <f t="shared" si="14"/>
        <v>Техническое обслуживание охранной сигнализации.</v>
      </c>
      <c r="B159" s="169"/>
      <c r="C159" s="169"/>
      <c r="D159" s="169"/>
      <c r="E159" s="169"/>
      <c r="F159" s="170">
        <f t="shared" si="15"/>
        <v>12000</v>
      </c>
      <c r="G159" s="170"/>
      <c r="H159" s="24" t="str">
        <f t="shared" si="16"/>
        <v>ежемесячно</v>
      </c>
      <c r="I159" s="171">
        <f t="shared" si="17"/>
        <v>12</v>
      </c>
      <c r="J159" s="171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9" t="str">
        <f t="shared" si="14"/>
        <v>Приобретение и монтаж светодиодных светильников в кабину лифта (2 подъезд, 4 шт.).</v>
      </c>
      <c r="B160" s="169"/>
      <c r="C160" s="169"/>
      <c r="D160" s="169"/>
      <c r="E160" s="169"/>
      <c r="F160" s="170">
        <f t="shared" si="15"/>
        <v>3440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72</v>
      </c>
      <c r="N160" s="1" t="str">
        <v>Приобретение и монтаж светодиодных светильников в кабину лифта (2 подъезд, 4 шт.).</v>
      </c>
    </row>
    <row r="161" spans="1:14" ht="28.5" customHeight="1">
      <c r="A161" s="169" t="str">
        <f>IF(N161&gt;0,N161,0)</f>
        <v>Замена светодиодных светильников в кабине пассажирского лифта (1 подъезд, 4 шт.).</v>
      </c>
      <c r="B161" s="169"/>
      <c r="C161" s="169"/>
      <c r="D161" s="169"/>
      <c r="E161" s="169"/>
      <c r="F161" s="170">
        <f t="shared" si="15"/>
        <v>3920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72</v>
      </c>
      <c r="N161" s="1" t="str">
        <v>Замена светодиодных светильников в кабине пассажирского лифта (1 подъезд, 4 шт.).</v>
      </c>
    </row>
    <row r="162" spans="1:14" ht="28.5" customHeight="1">
      <c r="A162" s="169" t="str">
        <f t="shared" si="14"/>
        <v>Механизированная уборка и вывоз снега с придомовой территории.</v>
      </c>
      <c r="B162" s="169"/>
      <c r="C162" s="169"/>
      <c r="D162" s="169"/>
      <c r="E162" s="169"/>
      <c r="F162" s="170">
        <f t="shared" si="15"/>
        <v>13577.14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72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69" t="str">
        <f t="shared" si="14"/>
        <v>Благоустройство придомовой территории (разлиновка парковочных мест и покраска малых форм).</v>
      </c>
      <c r="B163" s="169"/>
      <c r="C163" s="169"/>
      <c r="D163" s="169"/>
      <c r="E163" s="169"/>
      <c r="F163" s="170">
        <f t="shared" si="15"/>
        <v>2733</v>
      </c>
      <c r="G163" s="170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72</v>
      </c>
      <c r="N163" s="1" t="str">
        <v>Благоустройство придомовой территории (разлиновка парковочных мест и покраска малых форм).</v>
      </c>
    </row>
    <row r="164" spans="1:14" ht="28.5" customHeight="1">
      <c r="A164" s="169" t="str">
        <f t="shared" ref="A164:A187" si="18">IF(N164&gt;0,N164,0)</f>
        <v>Частичный ремонт кровли с заменой водосточной воронки (1 подъезд).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85000</v>
      </c>
      <c r="G164" s="170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72</v>
      </c>
      <c r="N164" s="1" t="str">
        <v>Частичный ремонт кровли с заменой водосточной воронки (1 подъезд).</v>
      </c>
    </row>
    <row r="165" spans="1:14" ht="28.5" customHeight="1">
      <c r="A165" s="169" t="str">
        <f t="shared" si="18"/>
        <v>Ремонт подъезда (укладка керамогранита на пол 1-го подъезда с 6 по 9 этажи).</v>
      </c>
      <c r="B165" s="169"/>
      <c r="C165" s="169"/>
      <c r="D165" s="169"/>
      <c r="E165" s="169"/>
      <c r="F165" s="170">
        <f t="shared" si="19"/>
        <v>340489</v>
      </c>
      <c r="G165" s="170"/>
      <c r="H165" s="29" t="str">
        <f t="shared" si="16"/>
        <v>разово</v>
      </c>
      <c r="I165" s="171">
        <f t="shared" si="20"/>
        <v>1</v>
      </c>
      <c r="J165" s="171"/>
      <c r="M165" s="22" t="s">
        <v>72</v>
      </c>
      <c r="N165" s="1" t="str">
        <v>Ремонт подъезда (укладка керамогранита на пол 1-го подъезда с 6 по 9 этажи).</v>
      </c>
    </row>
    <row r="166" spans="1:14" ht="28.5" customHeight="1">
      <c r="A166" s="169" t="str">
        <f t="shared" si="18"/>
        <v>Генеральная уборка подъездов (1 и 2 подъезды).</v>
      </c>
      <c r="B166" s="169"/>
      <c r="C166" s="169"/>
      <c r="D166" s="169"/>
      <c r="E166" s="169"/>
      <c r="F166" s="170">
        <f t="shared" si="19"/>
        <v>29931.03</v>
      </c>
      <c r="G166" s="170"/>
      <c r="H166" s="29" t="str">
        <f t="shared" si="16"/>
        <v>разово</v>
      </c>
      <c r="I166" s="171">
        <f t="shared" si="20"/>
        <v>1</v>
      </c>
      <c r="J166" s="171"/>
      <c r="M166" s="22" t="s">
        <v>72</v>
      </c>
      <c r="N166" s="1" t="str">
        <v>Генеральная уборка подъездов (1 и 2 подъезды).</v>
      </c>
    </row>
    <row r="167" spans="1:14" ht="28.5" customHeight="1">
      <c r="A167" s="169" t="str">
        <f t="shared" si="18"/>
        <v>Проведение праздника "1Сентября".</v>
      </c>
      <c r="B167" s="169"/>
      <c r="C167" s="169"/>
      <c r="D167" s="169"/>
      <c r="E167" s="169"/>
      <c r="F167" s="170">
        <f t="shared" si="19"/>
        <v>3500</v>
      </c>
      <c r="G167" s="170"/>
      <c r="H167" s="29" t="str">
        <f t="shared" si="16"/>
        <v>разово</v>
      </c>
      <c r="I167" s="171">
        <f t="shared" si="20"/>
        <v>1</v>
      </c>
      <c r="J167" s="171"/>
      <c r="M167" s="22" t="s">
        <v>72</v>
      </c>
      <c r="N167" s="1" t="str">
        <v>Проведение праздника "1Сентября".</v>
      </c>
    </row>
    <row r="168" spans="1:14" ht="28.5" customHeight="1">
      <c r="A168" s="169" t="str">
        <f t="shared" si="18"/>
        <v>Приобретение и замена грязезащитных ковриков в подъезде (4 шт.).</v>
      </c>
      <c r="B168" s="169"/>
      <c r="C168" s="169"/>
      <c r="D168" s="169"/>
      <c r="E168" s="169"/>
      <c r="F168" s="170">
        <f t="shared" si="19"/>
        <v>8984.48</v>
      </c>
      <c r="G168" s="170"/>
      <c r="H168" s="29" t="str">
        <f t="shared" si="16"/>
        <v>разово</v>
      </c>
      <c r="I168" s="171">
        <f t="shared" si="20"/>
        <v>1</v>
      </c>
      <c r="J168" s="171"/>
      <c r="M168" s="22" t="s">
        <v>72</v>
      </c>
      <c r="N168" s="1" t="str">
        <v>Приобретение и замена грязезащитных ковриков в подъезде (4 шт.).</v>
      </c>
    </row>
    <row r="169" spans="1:14" ht="28.5" customHeight="1">
      <c r="A169" s="169" t="str">
        <f t="shared" si="18"/>
        <v>Приобретение и замена манометров и термометров в ИТП (по 8 шт.).</v>
      </c>
      <c r="B169" s="169"/>
      <c r="C169" s="169"/>
      <c r="D169" s="169"/>
      <c r="E169" s="169"/>
      <c r="F169" s="170">
        <f t="shared" si="19"/>
        <v>5614.56</v>
      </c>
      <c r="G169" s="170"/>
      <c r="H169" s="29" t="str">
        <f t="shared" si="16"/>
        <v>разово</v>
      </c>
      <c r="I169" s="171">
        <f t="shared" si="20"/>
        <v>1</v>
      </c>
      <c r="J169" s="171"/>
      <c r="M169" s="22" t="s">
        <v>72</v>
      </c>
      <c r="N169" s="1" t="str">
        <v>Приобретение и замена манометров и термометров в ИТП (по 8 шт.).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0">
        <f t="shared" si="19"/>
        <v>0</v>
      </c>
      <c r="G170" s="170"/>
      <c r="H170" s="29" t="e">
        <f t="shared" si="16"/>
        <v>#N/A</v>
      </c>
      <c r="I170" s="171" t="e">
        <f t="shared" si="20"/>
        <v>#N/A</v>
      </c>
      <c r="J170" s="171"/>
      <c r="M170" s="22" t="s">
        <v>72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0">
        <f t="shared" si="19"/>
        <v>0</v>
      </c>
      <c r="G171" s="170"/>
      <c r="H171" s="29" t="e">
        <f t="shared" si="16"/>
        <v>#N/A</v>
      </c>
      <c r="I171" s="171" t="e">
        <f t="shared" si="20"/>
        <v>#N/A</v>
      </c>
      <c r="J171" s="171"/>
      <c r="M171" s="22" t="s">
        <v>72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0">
        <f t="shared" si="19"/>
        <v>0</v>
      </c>
      <c r="G172" s="170"/>
      <c r="H172" s="29" t="e">
        <f t="shared" si="16"/>
        <v>#N/A</v>
      </c>
      <c r="I172" s="171" t="e">
        <f t="shared" si="20"/>
        <v>#N/A</v>
      </c>
      <c r="J172" s="171"/>
      <c r="M172" s="22" t="s">
        <v>72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0">
        <f t="shared" si="19"/>
        <v>0</v>
      </c>
      <c r="G173" s="170"/>
      <c r="H173" s="29" t="e">
        <f t="shared" si="16"/>
        <v>#N/A</v>
      </c>
      <c r="I173" s="171" t="e">
        <f t="shared" si="20"/>
        <v>#N/A</v>
      </c>
      <c r="J173" s="171"/>
      <c r="M173" s="22" t="s">
        <v>72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0">
        <f t="shared" si="19"/>
        <v>0</v>
      </c>
      <c r="G174" s="170"/>
      <c r="H174" s="29" t="e">
        <f t="shared" si="16"/>
        <v>#N/A</v>
      </c>
      <c r="I174" s="171" t="e">
        <f t="shared" si="20"/>
        <v>#N/A</v>
      </c>
      <c r="J174" s="171"/>
      <c r="M174" s="22" t="s">
        <v>72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72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72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72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72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72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72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72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72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72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13.5" customHeight="1">
      <c r="A188" s="103" t="s">
        <v>173</v>
      </c>
    </row>
    <row r="189" spans="1:14" ht="13.5" customHeight="1">
      <c r="A189" s="103" t="s">
        <v>173</v>
      </c>
    </row>
    <row r="190" spans="1:14" ht="36.75" customHeight="1">
      <c r="A190" s="172" t="s">
        <v>194</v>
      </c>
      <c r="B190" s="172"/>
      <c r="C190" s="172"/>
      <c r="D190" s="172"/>
      <c r="E190" s="27">
        <f>SUM(F158:G187)</f>
        <v>524189.21</v>
      </c>
    </row>
    <row r="191" spans="1:14" ht="51.75" customHeight="1">
      <c r="A191" s="172" t="s">
        <v>193</v>
      </c>
      <c r="B191" s="172"/>
      <c r="C191" s="172"/>
      <c r="D191" s="172"/>
      <c r="E191" s="27">
        <f>E190+E154-E155</f>
        <v>58905.569999999949</v>
      </c>
    </row>
    <row r="192" spans="1:14">
      <c r="A192" s="103" t="s">
        <v>173</v>
      </c>
    </row>
    <row r="193" spans="1:10" ht="62.25" customHeight="1">
      <c r="A193" s="197" t="s">
        <v>192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8">
        <f>ПТО!G12</f>
        <v>1200</v>
      </c>
      <c r="I194" s="49" t="s">
        <v>74</v>
      </c>
    </row>
    <row r="195" spans="1:10" ht="18.75" customHeight="1">
      <c r="A195" s="196" t="str">
        <f>ПТО!F13</f>
        <v xml:space="preserve">  -  техническое освидетельствование лифтов</v>
      </c>
      <c r="B195" s="196"/>
      <c r="C195" s="196"/>
      <c r="D195" s="196"/>
      <c r="E195" s="196"/>
      <c r="F195" s="196"/>
      <c r="G195" s="196"/>
      <c r="H195" s="48">
        <f>ПТО!G13</f>
        <v>15000</v>
      </c>
      <c r="I195" s="49" t="s">
        <v>74</v>
      </c>
    </row>
    <row r="196" spans="1:10" ht="18.75" customHeight="1">
      <c r="A196" s="196" t="str">
        <f>ПТО!F14</f>
        <v xml:space="preserve">  -  техническое обслуживание охранной сигнализации</v>
      </c>
      <c r="B196" s="196"/>
      <c r="C196" s="196"/>
      <c r="D196" s="196"/>
      <c r="E196" s="196"/>
      <c r="F196" s="196"/>
      <c r="G196" s="196"/>
      <c r="H196" s="48">
        <f>ПТО!G14</f>
        <v>12000</v>
      </c>
      <c r="I196" s="49" t="s">
        <v>74</v>
      </c>
    </row>
    <row r="197" spans="1:10" ht="18.75" customHeight="1">
      <c r="A197" s="196" t="str">
        <f>ПТО!F15</f>
        <v xml:space="preserve">  -  механизированная уборка и вывоз снега с придомовой территории</v>
      </c>
      <c r="B197" s="196"/>
      <c r="C197" s="196"/>
      <c r="D197" s="196"/>
      <c r="E197" s="196"/>
      <c r="F197" s="196"/>
      <c r="G197" s="196"/>
      <c r="H197" s="48">
        <f>ПТО!G15</f>
        <v>25000</v>
      </c>
      <c r="I197" s="49" t="s">
        <v>74</v>
      </c>
    </row>
    <row r="198" spans="1:10" ht="39.75" customHeight="1">
      <c r="A198" s="196" t="str">
        <f>ПТО!F16</f>
        <v xml:space="preserve">  -  благоустройство территории (завоз песка, чернозема, приобретение рассады)</v>
      </c>
      <c r="B198" s="196"/>
      <c r="C198" s="196"/>
      <c r="D198" s="196"/>
      <c r="E198" s="196"/>
      <c r="F198" s="196"/>
      <c r="G198" s="196"/>
      <c r="H198" s="48">
        <f>ПТО!G16</f>
        <v>5000</v>
      </c>
      <c r="I198" s="51" t="s">
        <v>74</v>
      </c>
    </row>
    <row r="199" spans="1:10" ht="18.75" customHeight="1">
      <c r="A199" s="196" t="str">
        <f>ПТО!F17</f>
        <v xml:space="preserve">  -  замена светильников в 1-ом подъезде</v>
      </c>
      <c r="B199" s="196"/>
      <c r="C199" s="196"/>
      <c r="D199" s="196"/>
      <c r="E199" s="196"/>
      <c r="F199" s="196"/>
      <c r="G199" s="196"/>
      <c r="H199" s="48">
        <f>ПТО!G17</f>
        <v>70000</v>
      </c>
      <c r="I199" s="49" t="s">
        <v>74</v>
      </c>
    </row>
    <row r="200" spans="1:10">
      <c r="A200" s="196" t="str">
        <f>ПТО!F18</f>
        <v xml:space="preserve">  -  генеральная уборка в подъездах</v>
      </c>
      <c r="B200" s="196"/>
      <c r="C200" s="196"/>
      <c r="D200" s="196"/>
      <c r="E200" s="196"/>
      <c r="F200" s="196"/>
      <c r="G200" s="196"/>
      <c r="H200" s="48">
        <f>ПТО!G18</f>
        <v>20000</v>
      </c>
      <c r="I200" s="49" t="s">
        <v>74</v>
      </c>
    </row>
    <row r="201" spans="1:10">
      <c r="A201" s="196" t="str">
        <f>ПТО!F19</f>
        <v xml:space="preserve">  -  монтаж системы видеонаблюдения</v>
      </c>
      <c r="B201" s="196"/>
      <c r="C201" s="196"/>
      <c r="D201" s="196"/>
      <c r="E201" s="196"/>
      <c r="F201" s="196"/>
      <c r="G201" s="196"/>
      <c r="H201" s="48">
        <f>ПТО!G19</f>
        <v>210000</v>
      </c>
      <c r="I201" s="49" t="s">
        <v>74</v>
      </c>
    </row>
    <row r="202" spans="1:10">
      <c r="A202" s="196" t="str">
        <f>ПТО!F20</f>
        <v xml:space="preserve">  -  замена деревянной двери в 1-ом подъезде</v>
      </c>
      <c r="B202" s="196"/>
      <c r="C202" s="196"/>
      <c r="D202" s="196"/>
      <c r="E202" s="196"/>
      <c r="F202" s="196"/>
      <c r="G202" s="196"/>
      <c r="H202" s="48">
        <f>ПТО!G20</f>
        <v>60000</v>
      </c>
      <c r="I202" s="49" t="s">
        <v>74</v>
      </c>
    </row>
    <row r="203" spans="1:10" ht="33.75" customHeight="1">
      <c r="A203" s="196" t="str">
        <f>ПТО!F21</f>
        <v xml:space="preserve">  -  ремонт подъезда (укладка керамогранита на пол 1-го подъезда со 2 по 5 этажи)</v>
      </c>
      <c r="B203" s="196"/>
      <c r="C203" s="196"/>
      <c r="D203" s="196"/>
      <c r="E203" s="196"/>
      <c r="F203" s="196"/>
      <c r="G203" s="196"/>
      <c r="H203" s="48">
        <f>ПТО!G21</f>
        <v>350000</v>
      </c>
      <c r="I203" s="49" t="s">
        <v>74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48">
        <f>ПТО!G22</f>
        <v>0</v>
      </c>
      <c r="I204" s="49" t="s">
        <v>74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8">
        <f>ПТО!G23</f>
        <v>0</v>
      </c>
      <c r="I205" s="49" t="s">
        <v>74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8">
        <f>ПТО!G24</f>
        <v>0</v>
      </c>
      <c r="I206" s="49" t="s">
        <v>74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8">
        <f>ПТО!G25</f>
        <v>0</v>
      </c>
      <c r="I207" s="49" t="s">
        <v>74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8">
        <f>ПТО!G26</f>
        <v>0</v>
      </c>
      <c r="I208" s="49" t="s">
        <v>74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8">
        <f>ПТО!G27</f>
        <v>0</v>
      </c>
      <c r="I209" s="49" t="s">
        <v>74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8">
        <f>ПТО!G28</f>
        <v>0</v>
      </c>
      <c r="I210" s="49" t="s">
        <v>74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8">
        <f>ПТО!G29</f>
        <v>0</v>
      </c>
      <c r="I211" s="49" t="s">
        <v>74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8">
        <f>ПТО!G30</f>
        <v>0</v>
      </c>
      <c r="I212" s="49" t="s">
        <v>74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768200</v>
      </c>
      <c r="I214" s="55" t="s">
        <v>76</v>
      </c>
    </row>
  </sheetData>
  <sheetProtection algorithmName="SHA-512" hashValue="oz4W2sr3YexuMZHg37HGiwmXG2waqpWrE/h5jSfkcbXdWEdXNGf0ShfwA1ejf/UlDgDQmUx/SQg3Gn8eXL2rIQ==" saltValue="YJ4tGUw3sDuzMpUGk+2o1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3" workbookViewId="0">
      <selection activeCell="F41" sqref="F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7.14062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191</v>
      </c>
      <c r="G1" s="100">
        <f>-168341.6</f>
        <v>-168341.6</v>
      </c>
    </row>
    <row r="2" spans="1:12" ht="18.75" customHeight="1">
      <c r="A2" s="154" t="s">
        <v>180</v>
      </c>
      <c r="B2" s="118" t="s">
        <v>176</v>
      </c>
      <c r="C2" s="118">
        <v>2</v>
      </c>
      <c r="D2" s="117">
        <v>15000</v>
      </c>
      <c r="E2" s="124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182</v>
      </c>
      <c r="B3" s="118" t="s">
        <v>177</v>
      </c>
      <c r="C3" s="118">
        <v>12</v>
      </c>
      <c r="D3" s="117">
        <v>12000</v>
      </c>
      <c r="E3" s="124" t="s">
        <v>207</v>
      </c>
      <c r="F3" s="30"/>
      <c r="G3" s="30"/>
      <c r="L3" s="33" t="str">
        <f t="shared" si="0"/>
        <v>ТР</v>
      </c>
    </row>
    <row r="4" spans="1:12" ht="30" customHeight="1">
      <c r="A4" s="140" t="s">
        <v>198</v>
      </c>
      <c r="B4" s="122" t="s">
        <v>197</v>
      </c>
      <c r="C4" s="141">
        <v>1</v>
      </c>
      <c r="D4" s="142">
        <v>3440</v>
      </c>
      <c r="E4" s="123" t="s">
        <v>199</v>
      </c>
      <c r="F4" s="30"/>
      <c r="G4" s="30"/>
      <c r="L4" s="33" t="str">
        <f t="shared" si="0"/>
        <v>ТР</v>
      </c>
    </row>
    <row r="5" spans="1:12" ht="34.5" customHeight="1">
      <c r="A5" s="143" t="s">
        <v>200</v>
      </c>
      <c r="B5" s="144" t="s">
        <v>197</v>
      </c>
      <c r="C5" s="145">
        <v>1</v>
      </c>
      <c r="D5" s="146">
        <v>3920</v>
      </c>
      <c r="E5" s="147" t="s">
        <v>201</v>
      </c>
      <c r="F5" s="44"/>
      <c r="G5" s="44"/>
      <c r="K5" s="46"/>
      <c r="L5" s="33" t="str">
        <f t="shared" si="0"/>
        <v>ТР</v>
      </c>
    </row>
    <row r="6" spans="1:12" ht="33.75" customHeight="1">
      <c r="A6" s="148" t="s">
        <v>196</v>
      </c>
      <c r="B6" s="155" t="s">
        <v>197</v>
      </c>
      <c r="C6" s="149">
        <v>1</v>
      </c>
      <c r="D6" s="136">
        <v>13577.14</v>
      </c>
      <c r="E6" s="123" t="s">
        <v>203</v>
      </c>
      <c r="F6" s="44"/>
      <c r="G6" s="44"/>
      <c r="K6" s="46"/>
      <c r="L6" s="33" t="str">
        <f t="shared" si="0"/>
        <v>ТР</v>
      </c>
    </row>
    <row r="7" spans="1:12" ht="31.5" customHeight="1">
      <c r="A7" s="168" t="s">
        <v>219</v>
      </c>
      <c r="B7" s="150" t="s">
        <v>197</v>
      </c>
      <c r="C7" s="151">
        <v>1</v>
      </c>
      <c r="D7" s="129">
        <v>2733</v>
      </c>
      <c r="E7" s="152" t="s">
        <v>204</v>
      </c>
      <c r="F7" s="45"/>
      <c r="G7" s="45"/>
      <c r="K7" s="46"/>
      <c r="L7" s="33" t="str">
        <f t="shared" si="0"/>
        <v>ТР</v>
      </c>
    </row>
    <row r="8" spans="1:12" ht="32.25" customHeight="1">
      <c r="A8" s="153" t="s">
        <v>202</v>
      </c>
      <c r="B8" s="155" t="s">
        <v>197</v>
      </c>
      <c r="C8" s="151">
        <v>1</v>
      </c>
      <c r="D8" s="129">
        <v>85000</v>
      </c>
      <c r="E8" s="152" t="s">
        <v>205</v>
      </c>
      <c r="F8" s="45"/>
      <c r="G8" s="45"/>
      <c r="K8" s="43"/>
      <c r="L8" s="33" t="str">
        <f t="shared" si="0"/>
        <v>ТР</v>
      </c>
    </row>
    <row r="9" spans="1:12">
      <c r="A9" s="167" t="s">
        <v>209</v>
      </c>
      <c r="B9" s="122" t="s">
        <v>197</v>
      </c>
      <c r="C9" s="156">
        <v>1</v>
      </c>
      <c r="D9" s="136">
        <v>340489</v>
      </c>
      <c r="E9" s="157" t="s">
        <v>210</v>
      </c>
      <c r="F9" s="44"/>
      <c r="G9" s="44"/>
      <c r="K9" s="43"/>
      <c r="L9" s="33" t="str">
        <f t="shared" si="0"/>
        <v>ТР</v>
      </c>
    </row>
    <row r="10" spans="1:12">
      <c r="A10" s="158" t="s">
        <v>208</v>
      </c>
      <c r="B10" s="122" t="s">
        <v>197</v>
      </c>
      <c r="C10" s="156">
        <v>1</v>
      </c>
      <c r="D10" s="136">
        <v>29931.03</v>
      </c>
      <c r="E10" s="159" t="s">
        <v>211</v>
      </c>
      <c r="L10" s="33" t="str">
        <f t="shared" si="0"/>
        <v>ТР</v>
      </c>
    </row>
    <row r="11" spans="1:12" ht="94.5">
      <c r="A11" s="160" t="s">
        <v>212</v>
      </c>
      <c r="B11" s="161" t="s">
        <v>197</v>
      </c>
      <c r="C11" s="135">
        <v>1</v>
      </c>
      <c r="D11" s="136">
        <v>3500</v>
      </c>
      <c r="E11" s="162" t="s">
        <v>215</v>
      </c>
      <c r="F11" s="110" t="s">
        <v>192</v>
      </c>
      <c r="G11" s="110"/>
      <c r="L11" s="33" t="str">
        <f t="shared" si="0"/>
        <v>ТР</v>
      </c>
    </row>
    <row r="12" spans="1:12" ht="31.5">
      <c r="A12" s="163" t="s">
        <v>213</v>
      </c>
      <c r="B12" s="118" t="s">
        <v>197</v>
      </c>
      <c r="C12" s="118">
        <v>1</v>
      </c>
      <c r="D12" s="164">
        <v>8984.48</v>
      </c>
      <c r="E12" s="123" t="s">
        <v>216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5" t="s">
        <v>214</v>
      </c>
      <c r="B13" s="166" t="s">
        <v>197</v>
      </c>
      <c r="C13" s="135">
        <v>1</v>
      </c>
      <c r="D13" s="136">
        <v>5614.56</v>
      </c>
      <c r="E13" s="162" t="s">
        <v>217</v>
      </c>
      <c r="F13" s="111" t="s">
        <v>184</v>
      </c>
      <c r="G13" s="112">
        <v>15000</v>
      </c>
      <c r="L13" s="33" t="str">
        <f t="shared" si="0"/>
        <v>ТР</v>
      </c>
    </row>
    <row r="14" spans="1:12" ht="31.5">
      <c r="A14" s="139"/>
      <c r="B14" s="137"/>
      <c r="C14" s="135"/>
      <c r="D14" s="136"/>
      <c r="E14" s="138"/>
      <c r="F14" s="111" t="s">
        <v>183</v>
      </c>
      <c r="G14" s="113">
        <v>12000</v>
      </c>
      <c r="L14" s="33">
        <f t="shared" si="0"/>
        <v>0</v>
      </c>
    </row>
    <row r="15" spans="1:12" ht="15.75">
      <c r="A15" s="128"/>
      <c r="B15" s="118"/>
      <c r="C15" s="122"/>
      <c r="D15" s="117"/>
      <c r="E15" s="124"/>
      <c r="F15" s="125" t="s">
        <v>189</v>
      </c>
      <c r="G15" s="113">
        <v>25000</v>
      </c>
      <c r="L15" s="33">
        <f t="shared" si="0"/>
        <v>0</v>
      </c>
    </row>
    <row r="16" spans="1:12" ht="15.75">
      <c r="A16" s="120"/>
      <c r="B16" s="118"/>
      <c r="C16" s="122"/>
      <c r="D16" s="117"/>
      <c r="E16" s="124"/>
      <c r="F16" s="126" t="s">
        <v>185</v>
      </c>
      <c r="G16" s="127">
        <v>5000</v>
      </c>
      <c r="L16" s="33">
        <f t="shared" si="0"/>
        <v>0</v>
      </c>
    </row>
    <row r="17" spans="1:12" ht="15.75">
      <c r="A17" s="128"/>
      <c r="B17" s="118"/>
      <c r="C17" s="122"/>
      <c r="D17" s="117"/>
      <c r="E17" s="124"/>
      <c r="F17" s="125" t="s">
        <v>186</v>
      </c>
      <c r="G17" s="113">
        <v>70000</v>
      </c>
      <c r="L17" s="33">
        <f t="shared" si="0"/>
        <v>0</v>
      </c>
    </row>
    <row r="18" spans="1:12" ht="15.75">
      <c r="A18" s="120"/>
      <c r="B18" s="118"/>
      <c r="C18" s="119"/>
      <c r="D18" s="117"/>
      <c r="E18" s="121"/>
      <c r="F18" s="125" t="s">
        <v>187</v>
      </c>
      <c r="G18" s="113">
        <v>20000</v>
      </c>
      <c r="L18" s="33">
        <f t="shared" si="0"/>
        <v>0</v>
      </c>
    </row>
    <row r="19" spans="1:12" ht="15.75">
      <c r="A19" s="30"/>
      <c r="B19" s="121"/>
      <c r="C19" s="121"/>
      <c r="D19" s="121"/>
      <c r="E19" s="121"/>
      <c r="F19" s="125" t="s">
        <v>188</v>
      </c>
      <c r="G19" s="113">
        <v>210000</v>
      </c>
      <c r="L19" s="33">
        <f t="shared" si="0"/>
        <v>0</v>
      </c>
    </row>
    <row r="20" spans="1:12" ht="15.75">
      <c r="A20" s="30"/>
      <c r="F20" s="125" t="s">
        <v>190</v>
      </c>
      <c r="G20" s="113">
        <v>60000</v>
      </c>
      <c r="L20" s="33">
        <f t="shared" si="0"/>
        <v>0</v>
      </c>
    </row>
    <row r="21" spans="1:12" ht="15.75">
      <c r="F21" s="125" t="s">
        <v>218</v>
      </c>
      <c r="G21" s="113">
        <v>350000</v>
      </c>
      <c r="L21" s="33">
        <f t="shared" si="0"/>
        <v>0</v>
      </c>
    </row>
    <row r="22" spans="1:12" ht="15.75">
      <c r="F22" s="125"/>
      <c r="G22" s="113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32">
        <v>367105.56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367105.56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32">
        <v>108377.63999999998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108377.63999999998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32">
        <v>92716.08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92716.08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2">
        <v>73922.28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73922.28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2">
        <v>21299.64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21299.64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2">
        <v>108377.63999999998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108377.63999999998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32">
        <v>249957.59999999998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249957.59999999998</v>
      </c>
      <c r="O46" s="41" t="str">
        <f t="shared" si="5"/>
        <v>Ежемесячно</v>
      </c>
      <c r="P46">
        <f t="shared" si="6"/>
        <v>12</v>
      </c>
    </row>
    <row r="47" spans="1:16">
      <c r="A47" s="130"/>
      <c r="B47" s="133"/>
      <c r="C47" s="131"/>
      <c r="D47" s="134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A1b1OMEi8aTJHIVWaQYajRsDlsCDybFDXYD1wqcrtkkpgAUgh8BzGUGev0qkqNisAwMZR21UFRZ1lzLbffiQbQ==" saltValue="yLU8hab5LmeRIZ0wS5Pq3Q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" zoomScale="85" zoomScaleNormal="85" workbookViewId="0">
      <selection activeCell="C32" sqref="C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5220.5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265369.15000000002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1318831.44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1021889.4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296942.04000000004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1341159.96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1341159.96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1341159.96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243040.62999999989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00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00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00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00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9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9"/>
      <c r="N26" s="62"/>
    </row>
    <row r="27" spans="1:15" ht="18.75" customHeight="1">
      <c r="A27" s="69" t="s">
        <v>104</v>
      </c>
      <c r="B27" s="74" t="s">
        <v>4</v>
      </c>
      <c r="C27" s="85">
        <v>185245.56</v>
      </c>
      <c r="D27" s="80" t="s">
        <v>60</v>
      </c>
      <c r="E27" s="63"/>
      <c r="F27" s="63"/>
      <c r="G27" s="63"/>
      <c r="H27" s="63"/>
      <c r="I27" s="63"/>
      <c r="J27" s="63"/>
      <c r="M27" s="199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9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9"/>
      <c r="N29" s="62"/>
    </row>
    <row r="30" spans="1:15" ht="18.75" customHeight="1">
      <c r="A30" s="69" t="s">
        <v>107</v>
      </c>
      <c r="B30" s="74" t="s">
        <v>18</v>
      </c>
      <c r="C30" s="85">
        <v>174062.21</v>
      </c>
      <c r="D30" s="80" t="s">
        <v>66</v>
      </c>
      <c r="E30" s="63"/>
      <c r="F30" s="63"/>
      <c r="G30" s="63"/>
      <c r="H30" s="63"/>
      <c r="I30" s="63"/>
      <c r="J30" s="63"/>
      <c r="M30" s="199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9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9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9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9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544745.06000000006</v>
      </c>
      <c r="F37" s="93" t="s">
        <v>166</v>
      </c>
      <c r="G37" s="65"/>
      <c r="H37" s="65"/>
      <c r="I37" s="65"/>
      <c r="L37" s="62"/>
      <c r="M37" s="198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400547.83</v>
      </c>
      <c r="D38" s="93" t="s">
        <v>164</v>
      </c>
      <c r="E38" s="67"/>
      <c r="G38" s="66"/>
      <c r="H38" s="66"/>
      <c r="L38" s="62"/>
      <c r="M38" s="198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543222.66</v>
      </c>
      <c r="D39" s="93" t="s">
        <v>165</v>
      </c>
      <c r="E39" s="67"/>
      <c r="G39" s="66"/>
      <c r="H39" s="66"/>
      <c r="L39" s="62"/>
      <c r="M39" s="198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1522.4000000000233</v>
      </c>
      <c r="D40" s="79" t="s">
        <v>59</v>
      </c>
      <c r="E40" s="67"/>
      <c r="G40" s="66"/>
      <c r="H40" s="66"/>
      <c r="L40" s="62"/>
      <c r="M40" s="198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544745.06000000006</v>
      </c>
      <c r="D41" s="79" t="s">
        <v>59</v>
      </c>
      <c r="E41" s="67"/>
      <c r="G41" s="66"/>
      <c r="H41" s="66"/>
      <c r="L41" s="62"/>
      <c r="M41" s="198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544745.06000000006</v>
      </c>
      <c r="D42" s="79" t="s">
        <v>59</v>
      </c>
      <c r="E42" s="67"/>
      <c r="G42" s="66"/>
      <c r="H42" s="66"/>
      <c r="L42" s="62"/>
      <c r="M42" s="198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8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8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226140.68</v>
      </c>
      <c r="F45" s="93" t="s">
        <v>166</v>
      </c>
      <c r="G45" s="65"/>
      <c r="H45" s="65"/>
      <c r="L45" s="62"/>
      <c r="M45" s="198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15520.98</v>
      </c>
      <c r="D46" s="93" t="s">
        <v>167</v>
      </c>
      <c r="E46" s="67"/>
      <c r="G46" s="66"/>
      <c r="H46" s="66"/>
      <c r="L46" s="62"/>
      <c r="M46" s="198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231119.5</v>
      </c>
      <c r="D47" s="93" t="s">
        <v>165</v>
      </c>
      <c r="E47" s="67"/>
      <c r="G47" s="66"/>
      <c r="H47" s="66"/>
      <c r="L47" s="62"/>
      <c r="M47" s="198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8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226140.68</v>
      </c>
      <c r="D49" s="79" t="s">
        <v>59</v>
      </c>
      <c r="E49" s="67"/>
      <c r="G49" s="66"/>
      <c r="H49" s="66"/>
      <c r="L49" s="62"/>
      <c r="M49" s="198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226140.68</v>
      </c>
      <c r="D50" s="79" t="s">
        <v>59</v>
      </c>
      <c r="E50" s="67"/>
      <c r="G50" s="66"/>
      <c r="H50" s="66"/>
      <c r="L50" s="62"/>
      <c r="M50" s="198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8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8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287795.71000000002</v>
      </c>
      <c r="F53" s="93" t="s">
        <v>166</v>
      </c>
      <c r="G53" s="65"/>
      <c r="H53" s="65"/>
      <c r="L53" s="62"/>
      <c r="M53" s="198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16250.46</v>
      </c>
      <c r="D54" s="93" t="s">
        <v>167</v>
      </c>
      <c r="E54" s="68"/>
      <c r="F54" s="88"/>
      <c r="G54" s="63"/>
      <c r="H54" s="63"/>
      <c r="L54" s="62"/>
      <c r="M54" s="198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295522.64</v>
      </c>
      <c r="D55" s="93" t="s">
        <v>165</v>
      </c>
      <c r="E55" s="68"/>
      <c r="G55" s="63"/>
      <c r="H55" s="63"/>
      <c r="L55" s="62"/>
      <c r="M55" s="198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8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287795.71000000002</v>
      </c>
      <c r="D57" s="79" t="s">
        <v>59</v>
      </c>
      <c r="E57" s="68"/>
      <c r="G57" s="63"/>
      <c r="H57" s="63"/>
      <c r="L57" s="62"/>
      <c r="M57" s="198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287795.71000000002</v>
      </c>
      <c r="D58" s="79" t="s">
        <v>59</v>
      </c>
      <c r="E58" s="68"/>
      <c r="G58" s="63"/>
      <c r="H58" s="63"/>
      <c r="L58" s="62"/>
      <c r="M58" s="198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8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8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6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123789.12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2024-03-28T05:43:03Z</dcterms:modified>
</cp:coreProperties>
</file>