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G1" i="2" l="1"/>
  <c r="H63" i="2" l="1"/>
  <c r="F63" i="2"/>
  <c r="H64" i="2" s="1"/>
  <c r="H65" i="2" s="1"/>
  <c r="H59" i="2"/>
  <c r="F59" i="2"/>
  <c r="H53" i="2"/>
  <c r="H54" i="2" s="1"/>
  <c r="H60" i="2" l="1"/>
  <c r="H61" i="2" s="1"/>
  <c r="D4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9" i="1"/>
  <c r="G94" i="1"/>
  <c r="D94" i="1"/>
  <c r="A94" i="1"/>
  <c r="K94" i="1"/>
  <c r="A96" i="1" l="1"/>
  <c r="F102" i="1"/>
  <c r="A114" i="1"/>
  <c r="A115" i="1"/>
  <c r="A105" i="1"/>
  <c r="F110" i="1"/>
  <c r="A111" i="1"/>
  <c r="A117" i="1"/>
  <c r="A110" i="1"/>
  <c r="A113" i="1"/>
  <c r="A119" i="1"/>
  <c r="A123" i="1"/>
  <c r="F118" i="1"/>
  <c r="D110" i="1"/>
  <c r="A112" i="1"/>
  <c r="A109" i="1"/>
  <c r="A141" i="1"/>
  <c r="F134" i="1"/>
  <c r="A100" i="1"/>
  <c r="A95" i="1"/>
  <c r="A118" i="1"/>
  <c r="A122" i="1"/>
  <c r="A137" i="1"/>
  <c r="A121" i="1"/>
  <c r="A125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1" i="1" l="1"/>
  <c r="F177" i="1"/>
  <c r="F167" i="1"/>
  <c r="F179" i="1"/>
  <c r="H165" i="1"/>
  <c r="H170" i="1"/>
  <c r="H186" i="1"/>
  <c r="H177" i="1"/>
  <c r="H179" i="1"/>
  <c r="F171" i="1"/>
  <c r="H167" i="1"/>
  <c r="F170" i="1"/>
  <c r="F165" i="1"/>
  <c r="F186" i="1"/>
  <c r="F178" i="1"/>
  <c r="H178" i="1"/>
  <c r="F181" i="1"/>
  <c r="H172" i="1"/>
  <c r="H184" i="1"/>
  <c r="F176" i="1"/>
  <c r="H166" i="1"/>
  <c r="F175" i="1"/>
  <c r="F187" i="1"/>
  <c r="F172" i="1"/>
  <c r="H164" i="1"/>
  <c r="H168" i="1"/>
  <c r="F173" i="1"/>
  <c r="H176" i="1"/>
  <c r="H173" i="1"/>
  <c r="F168" i="1"/>
  <c r="F184" i="1"/>
  <c r="F180" i="1"/>
  <c r="F185" i="1"/>
  <c r="H185" i="1"/>
  <c r="F164" i="1"/>
  <c r="F182" i="1"/>
  <c r="H169" i="1"/>
  <c r="F169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<sst xmlns="http://schemas.openxmlformats.org/spreadsheetml/2006/main" count="585" uniqueCount="225">
  <si>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</si>
  <si>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</si>
  <si>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</si>
  <si>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</si>
  <si>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</si>
  <si>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</si>
  <si>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</si>
  <si>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</si>
  <si>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</si>
  <si>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</si>
  <si>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</si>
  <si>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</si>
  <si>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</si>
  <si>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</si>
  <si>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</si>
  <si>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</si>
  <si>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</si>
  <si>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</si>
  <si>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</si>
  <si>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</si>
  <si>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</si>
  <si>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</si>
  <si>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</si>
  <si>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</si>
  <si>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</si>
  <si>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</si>
  <si>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</si>
  <si>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</si>
  <si>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</si>
  <si>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</si>
  <si>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</si>
  <si>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</si>
  <si>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</si>
  <si>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</si>
  <si>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</si>
  <si>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</si>
  <si>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</si>
  <si>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</si>
  <si>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</si>
  <si>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</si>
  <si>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</si>
  <si>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</si>
  <si>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</si>
  <si>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</si>
  <si>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</si>
  <si>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</si>
  <si>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</si>
  <si>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</si>
  <si>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</si>
  <si>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</si>
  <si>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</si>
  <si>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</si>
  <si>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</si>
  <si>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</si>
  <si>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</si>
  <si>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</si>
  <si>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</si>
  <si>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</si>
  <si>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</si>
  <si>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</si>
  <si>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</si>
  <si>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</si>
  <si>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</si>
  <si>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</si>
  <si>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</si>
  <si>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</si>
  <si>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</si>
  <si>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</si>
  <si>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</si>
  <si>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</si>
  <si>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</si>
  <si>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</si>
  <si>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</si>
  <si>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</si>
  <si>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</si>
  <si>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</si>
  <si>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</si>
  <si>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</si>
  <si>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</si>
  <si>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</si>
  <si>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</si>
  <si>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</si>
  <si>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</si>
  <si>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</si>
  <si>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</si>
  <si>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</si>
  <si>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</si>
  <si>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</si>
  <si>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</si>
  <si>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</si>
  <si>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</si>
  <si>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</si>
  <si>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</si>
  <si>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</si>
  <si>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</si>
  <si>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</si>
  <si>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</si>
  <si>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</si>
  <si>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</si>
  <si>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</si>
  <si>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</si>
  <si>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</si>
  <si>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</si>
  <si>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</si>
  <si>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</si>
  <si>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</si>
  <si>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</si>
  <si>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</si>
  <si>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</si>
  <si>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</si>
  <si>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</si>
  <si>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</si>
  <si>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</si>
  <si>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</si>
  <si>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</si>
  <si>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</si>
  <si>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</si>
  <si>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</si>
  <si>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</si>
  <si>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</si>
  <si>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</si>
  <si>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</si>
  <si>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</si>
  <si>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</si>
  <si>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</si>
  <si>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</si>
  <si>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</si>
  <si>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</si>
  <si>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</si>
  <si>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</si>
  <si>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</si>
  <si>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</si>
  <si>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</si>
  <si>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</si>
  <si>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</si>
  <si>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</si>
  <si>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</si>
  <si>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</si>
  <si>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</si>
  <si>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</si>
  <si>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</si>
  <si>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</si>
  <si>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</si>
  <si>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</si>
  <si>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</si>
  <si>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</si>
  <si>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</si>
  <si>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</si>
  <si>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</si>
  <si>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</si>
  <si>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</si>
  <si>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</si>
  <si>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</si>
  <si>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</si>
  <si>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</si>
  <si>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</si>
  <si>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</si>
  <si>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</si>
  <si>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</si>
  <si>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</si>
  <si>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</si>
  <si>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</si>
  <si>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</si>
  <si>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</si>
  <si>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</si>
  <si>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</si>
  <si>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</si>
  <si>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</si>
  <si>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</si>
  <si>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</si>
  <si>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</si>
  <si>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</si>
  <si>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</si>
  <si>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</si>
  <si>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</si>
  <si>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</si>
  <si>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</si>
  <si>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157/2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</si>
  <si>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</si>
  <si>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</si>
  <si>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</si>
  <si>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</si>
  <si>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</si>
  <si>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</si>
  <si>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освидетельствование лифтов.</t>
  </si>
  <si>
    <t xml:space="preserve">  -  техническое освидетельствование лифтов</t>
  </si>
  <si>
    <t>Отчет об исполнении договора управления многоквартирного дома 
Байкальская, 157/2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</si>
  <si>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</si>
  <si>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</si>
  <si>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</si>
  <si>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</si>
  <si>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</si>
  <si>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</si>
  <si>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</si>
  <si>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</si>
  <si>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</si>
  <si>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</si>
  <si>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ремонт подъезда 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</si>
  <si>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</si>
  <si>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</si>
  <si>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</si>
  <si>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</si>
  <si>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</si>
  <si>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Ремонт водосточной системы.</t>
  </si>
  <si>
    <t>АВР 1/23 от 03.02.2023</t>
  </si>
  <si>
    <t>Замена камеры системы видеонаблюдения.</t>
  </si>
  <si>
    <t>Замена аккумулятора охранной сигнализации.</t>
  </si>
  <si>
    <t>АВР 3/23 от 23.06.2023</t>
  </si>
  <si>
    <t>Замена входной двери в подъезд.</t>
  </si>
  <si>
    <t>Замена коммутатора системы видеонаблюдения.</t>
  </si>
  <si>
    <t>Замена конька на кровле.</t>
  </si>
  <si>
    <t>АВР 2/23 от 28.04.2023</t>
  </si>
  <si>
    <t>АВР 4/23 от 10.11.2023</t>
  </si>
  <si>
    <t>АВР 5/23 от 10.11.2023</t>
  </si>
  <si>
    <t xml:space="preserve">АВР 7/23 от 15.03.2023, Решение </t>
  </si>
  <si>
    <t>АВР 8/23 от 12.04.2023, Решение, счет №30 от 12.04.2023</t>
  </si>
  <si>
    <t>АВР 9/23 от 10.05.2023, счет 10.05.2023</t>
  </si>
  <si>
    <t>АВР 12/23 от 24.07.2023, Решение, счет №52 от 24.07.2023</t>
  </si>
  <si>
    <t>АВР 13/23 от 03.11.2023, Решение, счет №23 от 30.08.2023</t>
  </si>
  <si>
    <t>АВР 10/23 от 16.05.2023, Решение, счет №55 от 16.05.2023</t>
  </si>
  <si>
    <t>АВР 6/23 от 10.02.2023, Решение, счет №1036 от 06.02.2023</t>
  </si>
  <si>
    <t>АВР 11/23 от 11.07.2023, счет №5268 от 11.07.2023</t>
  </si>
  <si>
    <t>Дополнительная уборка придомовой территории.</t>
  </si>
  <si>
    <t>Замена светодиодного светильника.</t>
  </si>
  <si>
    <t>Приобретение и замена  манометров (10 шт.) и термометров (15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</si>
</sst>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4" fillId="0" borderId="0"/>
    <xf numFmtId="0" fontId="13" fillId="0" borderId="0"/>
    <xf numFmtId="0" fontId="5" fillId="0" borderId="0"/>
  </cellStyleXfs>
  <cellXfs count="183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32" fillId="3" borderId="0" xfId="7" applyNumberFormat="1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0" fillId="0" borderId="0" xfId="0" applyBorder="1" applyAlignment="1">
      <alignment horizontal="center"/>
    </xf>
    <xf numFmtId="0" fontId="30" fillId="0" borderId="0" xfId="6" applyFont="1" applyFill="1" applyBorder="1" applyAlignment="1"/>
    <xf numFmtId="4" fontId="30" fillId="0" borderId="0" xfId="6" applyNumberFormat="1" applyFont="1" applyFill="1" applyBorder="1" applyAlignment="1"/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17" fillId="0" borderId="0" xfId="4" applyFill="1" applyBorder="1" applyAlignment="1">
      <alignment horizontal="center"/>
    </xf>
    <xf numFmtId="4" fontId="22" fillId="0" borderId="0" xfId="1" applyNumberFormat="1" applyFont="1" applyBorder="1" applyAlignment="1" applyProtection="1">
      <alignment horizontal="center" wrapText="1"/>
      <protection locked="0"/>
    </xf>
    <xf numFmtId="0" fontId="22" fillId="0" borderId="0" xfId="0" applyFont="1" applyFill="1" applyBorder="1" applyAlignment="1">
      <alignment horizontal="left"/>
    </xf>
    <xf numFmtId="0" fontId="7" fillId="0" borderId="0" xfId="4" applyFont="1" applyFill="1" applyBorder="1" applyAlignment="1">
      <alignment horizontal="center"/>
    </xf>
    <xf numFmtId="0" fontId="15" fillId="0" borderId="0" xfId="5" applyFont="1" applyFill="1" applyBorder="1" applyAlignment="1"/>
    <xf numFmtId="0" fontId="30" fillId="0" borderId="0" xfId="5" applyFont="1" applyFill="1" applyBorder="1" applyAlignment="1">
      <alignment horizontal="center"/>
    </xf>
    <xf numFmtId="4" fontId="30" fillId="0" borderId="0" xfId="5" applyNumberFormat="1" applyFont="1" applyFill="1" applyBorder="1" applyAlignment="1"/>
    <xf numFmtId="0" fontId="16" fillId="0" borderId="0" xfId="5" applyFill="1" applyBorder="1" applyAlignment="1"/>
    <xf numFmtId="0" fontId="2" fillId="0" borderId="0" xfId="5" applyFont="1" applyFill="1" applyBorder="1"/>
    <xf numFmtId="0" fontId="10" fillId="0" borderId="0" xfId="6" applyFont="1" applyFill="1" applyBorder="1" applyAlignment="1">
      <alignment horizontal="center"/>
    </xf>
    <xf numFmtId="0" fontId="14" fillId="0" borderId="0" xfId="6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6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11" fillId="0" borderId="0" xfId="6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1" fillId="0" borderId="0" xfId="8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4 2" xfId="6"/>
    <cellStyle name="Обычный 5" xfId="5"/>
    <cellStyle name="Обычный 5 7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8" sqref="A188:XFD1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73" t="s">
        <v>177</v>
      </c>
      <c r="B2" s="173"/>
      <c r="C2" s="173"/>
      <c r="D2" s="173"/>
      <c r="E2" s="173"/>
      <c r="F2" s="173"/>
      <c r="G2" s="173"/>
      <c r="H2" s="173"/>
      <c r="I2" s="173"/>
      <c r="J2" s="17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44927</v>
      </c>
      <c r="K4" s="108"/>
      <c r="L4" s="108"/>
      <c r="M4" s="108"/>
      <c r="N4" s="108"/>
    </row>
    <row r="5" spans="1:18">
      <c r="A5" s="1" t="s">
        <v>1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8"/>
      <c r="L8" s="174"/>
      <c r="M8" s="108"/>
      <c r="N8" s="108"/>
      <c r="O8" s="69" t="s">
        <v>82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8"/>
      <c r="L9" s="174"/>
      <c r="M9" s="108"/>
      <c r="N9" s="108"/>
      <c r="O9" s="69" t="s">
        <v>83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133873.10999999999</v>
      </c>
      <c r="K10" s="108"/>
      <c r="L10" s="174"/>
      <c r="M10" s="108"/>
      <c r="N10" s="108"/>
      <c r="O10" s="69" t="s">
        <v>84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928304.06</v>
      </c>
      <c r="K11" s="108"/>
      <c r="L11" s="174"/>
      <c r="M11" s="108"/>
      <c r="N11" s="108"/>
      <c r="O11" s="69" t="s">
        <v>85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708530.06</v>
      </c>
      <c r="K12" s="108"/>
      <c r="L12" s="174"/>
      <c r="M12" s="108"/>
      <c r="N12" s="108"/>
      <c r="O12" s="69" t="s">
        <v>86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219774</v>
      </c>
      <c r="K13" s="108"/>
      <c r="L13" s="174"/>
      <c r="M13" s="108"/>
      <c r="N13" s="108"/>
      <c r="O13" s="69" t="s">
        <v>87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08"/>
      <c r="L14" s="174"/>
      <c r="M14" s="108"/>
      <c r="N14" s="108"/>
      <c r="O14" s="69" t="s">
        <v>88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902226.99</v>
      </c>
      <c r="K15" s="108"/>
      <c r="L15" s="174"/>
      <c r="M15" s="108"/>
      <c r="N15" s="108"/>
      <c r="O15" s="69" t="s">
        <v>89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902226.99</v>
      </c>
      <c r="K16" s="108"/>
      <c r="L16" s="174"/>
      <c r="M16" s="108"/>
      <c r="N16" s="108"/>
      <c r="O16" s="69" t="s">
        <v>90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8"/>
      <c r="L17" s="174"/>
      <c r="M17" s="108"/>
      <c r="N17" s="108"/>
      <c r="O17" s="69" t="s">
        <v>91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8"/>
      <c r="L18" s="174"/>
      <c r="M18" s="108"/>
      <c r="N18" s="108"/>
      <c r="O18" s="69" t="s">
        <v>92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8"/>
      <c r="L19" s="174"/>
      <c r="M19" s="108"/>
      <c r="N19" s="108"/>
      <c r="O19" s="69" t="s">
        <v>93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8"/>
      <c r="L20" s="174"/>
      <c r="M20" s="108"/>
      <c r="N20" s="108"/>
      <c r="O20" s="69" t="s">
        <v>94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902226.99</v>
      </c>
      <c r="K21" s="108"/>
      <c r="L21" s="174"/>
      <c r="M21" s="108"/>
      <c r="N21" s="108"/>
      <c r="O21" s="69" t="s">
        <v>95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8"/>
      <c r="L22" s="174"/>
      <c r="M22" s="108"/>
      <c r="N22" s="108"/>
      <c r="O22" s="69" t="s">
        <v>96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8"/>
      <c r="L23" s="174"/>
      <c r="M23" s="108"/>
      <c r="N23" s="108"/>
      <c r="O23" s="69" t="s">
        <v>97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159950.17999999993</v>
      </c>
      <c r="K24" s="108"/>
      <c r="L24" s="174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08"/>
      <c r="L27" s="17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254937.84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8"/>
      <c r="L28" s="17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Работы по содержанию лифта (лифтов)</v>
      </c>
      <c r="B29" s="151"/>
      <c r="C29" s="151"/>
      <c r="D29" s="151"/>
      <c r="E29" s="151"/>
      <c r="F29" s="152">
        <f>VLOOKUP(A29,ПТО!$A$39:$D$53,2,FALSE)</f>
        <v>54064.44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8"/>
      <c r="L29" s="175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66811.320000000007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8"/>
      <c r="L30" s="175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52745.760000000002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8"/>
      <c r="L31" s="17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8"/>
      <c r="L32" s="175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14065.56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8"/>
      <c r="L33" s="17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89667.839999999997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8"/>
      <c r="L34" s="17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1"/>
      <c r="C35" s="151"/>
      <c r="D35" s="151"/>
      <c r="E35" s="151"/>
      <c r="F35" s="152">
        <f>VLOOKUP(A35,ПТО!$A$39:$D$53,2,FALSE)</f>
        <v>175379.64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8"/>
      <c r="L35" s="175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8"/>
      <c r="L36" s="175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8"/>
      <c r="L37" s="175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8"/>
      <c r="L38" s="175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8"/>
      <c r="L39" s="175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8"/>
      <c r="L40" s="175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8"/>
      <c r="L41" s="175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8"/>
      <c r="L42" s="175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освидетельствование лифтов.</v>
      </c>
      <c r="B43" s="151"/>
      <c r="C43" s="151"/>
      <c r="D43" s="151"/>
      <c r="E43" s="151"/>
      <c r="F43" s="152">
        <f>VLOOKUP(A43,ПТО!$A$2:$D$31,4,FALSE)</f>
        <v>8100</v>
      </c>
      <c r="G43" s="152"/>
      <c r="H43" s="19" t="str">
        <f>VLOOKUP(A43,ПТО!$A$2:$D$31,2,FALSE)</f>
        <v>ежегодно</v>
      </c>
      <c r="I43" s="153">
        <f>VLOOKUP(A43,ПТО!$A$2:$D$31,3,FALSE)</f>
        <v>1</v>
      </c>
      <c r="J43" s="153"/>
      <c r="K43" s="108"/>
      <c r="L43" s="175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1" t="str">
        <f>ПТО!A3</f>
        <v>Техническое обслуживание системы видеонаблюдения.</v>
      </c>
      <c r="B44" s="151"/>
      <c r="C44" s="151"/>
      <c r="D44" s="151"/>
      <c r="E44" s="151"/>
      <c r="F44" s="152">
        <f>VLOOKUP(A44,ПТО!$A$2:$D$31,4,FALSE)</f>
        <v>26400</v>
      </c>
      <c r="G44" s="152"/>
      <c r="H44" s="25" t="str">
        <f>VLOOKUP(A44,ПТО!$A$2:$D$31,2,FALSE)</f>
        <v>ежемесячно</v>
      </c>
      <c r="I44" s="153">
        <f>VLOOKUP(A44,ПТО!$A$2:$D$31,3,FALSE)</f>
        <v>12</v>
      </c>
      <c r="J44" s="153"/>
      <c r="K44" s="108"/>
      <c r="L44" s="175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51" t="str">
        <f>ПТО!A4</f>
        <v>Техническое обслуживание охранной сигнализации.</v>
      </c>
      <c r="B45" s="151"/>
      <c r="C45" s="151"/>
      <c r="D45" s="151"/>
      <c r="E45" s="151"/>
      <c r="F45" s="152">
        <f>VLOOKUP(A45,ПТО!$A$2:$D$31,4,FALSE)</f>
        <v>14400</v>
      </c>
      <c r="G45" s="152"/>
      <c r="H45" s="25" t="str">
        <f>VLOOKUP(A45,ПТО!$A$2:$D$31,2,FALSE)</f>
        <v>ежемесячно</v>
      </c>
      <c r="I45" s="153">
        <f>VLOOKUP(A45,ПТО!$A$2:$D$31,3,FALSE)</f>
        <v>12</v>
      </c>
      <c r="J45" s="153"/>
      <c r="K45" s="108"/>
      <c r="L45" s="175"/>
      <c r="M45" s="115"/>
      <c r="N45" s="108"/>
      <c r="O45" s="23" t="str">
        <f t="shared" si="1"/>
        <v>Техническое обслуживание охранной сигнализации.</v>
      </c>
      <c r="R45" s="22" t="s">
        <v>72</v>
      </c>
    </row>
    <row r="46" spans="1:18" ht="51" customHeight="1" outlineLevel="1">
      <c r="A46" s="151" t="str">
        <f>ПТО!A5</f>
        <v>Механизированная уборка и вывоз снега с придомовой территории.</v>
      </c>
      <c r="B46" s="151"/>
      <c r="C46" s="151"/>
      <c r="D46" s="151"/>
      <c r="E46" s="151"/>
      <c r="F46" s="152">
        <f>VLOOKUP(A46,ПТО!$A$2:$D$31,4,FALSE)</f>
        <v>85380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8"/>
      <c r="L46" s="175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51" t="str">
        <f>ПТО!A6</f>
        <v>Дополнительная уборка придомовой территории.</v>
      </c>
      <c r="B47" s="151"/>
      <c r="C47" s="151"/>
      <c r="D47" s="151"/>
      <c r="E47" s="151"/>
      <c r="F47" s="152">
        <f>VLOOKUP(A47,ПТО!$A$2:$D$31,4,FALSE)</f>
        <v>2000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8"/>
      <c r="L47" s="175"/>
      <c r="M47" s="115"/>
      <c r="N47" s="108"/>
      <c r="O47" s="23" t="str">
        <f t="shared" si="1"/>
        <v>Дополнительная уборка придомовой территории.</v>
      </c>
      <c r="R47" s="22" t="s">
        <v>72</v>
      </c>
    </row>
    <row r="48" spans="1:18" ht="51" customHeight="1" outlineLevel="1">
      <c r="A48" s="151" t="str">
        <f>ПТО!A7</f>
        <v>Ремонт водосточной системы.</v>
      </c>
      <c r="B48" s="151"/>
      <c r="C48" s="151"/>
      <c r="D48" s="151"/>
      <c r="E48" s="151"/>
      <c r="F48" s="152">
        <f>VLOOKUP(A48,ПТО!$A$2:$D$31,4,FALSE)</f>
        <v>6122.18</v>
      </c>
      <c r="G48" s="152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08"/>
      <c r="L48" s="175"/>
      <c r="M48" s="115"/>
      <c r="N48" s="108"/>
      <c r="O48" s="23" t="str">
        <f t="shared" si="1"/>
        <v>Ремонт водосточной системы.</v>
      </c>
      <c r="R48" s="22" t="s">
        <v>72</v>
      </c>
    </row>
    <row r="49" spans="1:18" ht="51" customHeight="1" outlineLevel="1">
      <c r="A49" s="151" t="str">
        <f>ПТО!A8</f>
        <v>Замена светодиодного светильника.</v>
      </c>
      <c r="B49" s="151"/>
      <c r="C49" s="151"/>
      <c r="D49" s="151"/>
      <c r="E49" s="151"/>
      <c r="F49" s="152">
        <f>VLOOKUP(A49,ПТО!$A$2:$D$31,4,FALSE)</f>
        <v>1500</v>
      </c>
      <c r="G49" s="152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08"/>
      <c r="L49" s="175"/>
      <c r="M49" s="115"/>
      <c r="N49" s="108"/>
      <c r="O49" s="23" t="str">
        <f t="shared" si="1"/>
        <v>Замена светодиодного светильника.</v>
      </c>
      <c r="R49" s="22" t="s">
        <v>72</v>
      </c>
    </row>
    <row r="50" spans="1:18" ht="51" customHeight="1" outlineLevel="1">
      <c r="A50" s="151" t="str">
        <f>ПТО!A9</f>
        <v>Замена камеры системы видеонаблюдения.</v>
      </c>
      <c r="B50" s="151"/>
      <c r="C50" s="151"/>
      <c r="D50" s="151"/>
      <c r="E50" s="151"/>
      <c r="F50" s="152">
        <f>VLOOKUP(A50,ПТО!$A$2:$D$31,4,FALSE)</f>
        <v>6990</v>
      </c>
      <c r="G50" s="152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08"/>
      <c r="L50" s="175"/>
      <c r="M50" s="115"/>
      <c r="N50" s="108"/>
      <c r="O50" s="23" t="str">
        <f t="shared" si="1"/>
        <v>Замена камеры системы видеонаблюдения.</v>
      </c>
      <c r="R50" s="22" t="s">
        <v>72</v>
      </c>
    </row>
    <row r="51" spans="1:18" ht="51" customHeight="1" outlineLevel="1">
      <c r="A51" s="151" t="str">
        <f>ПТО!A10</f>
        <v>Замена аккумулятора охранной сигнализации.</v>
      </c>
      <c r="B51" s="151"/>
      <c r="C51" s="151"/>
      <c r="D51" s="151"/>
      <c r="E51" s="151"/>
      <c r="F51" s="152">
        <f>VLOOKUP(A51,ПТО!$A$2:$D$31,4,FALSE)</f>
        <v>2510</v>
      </c>
      <c r="G51" s="152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08"/>
      <c r="L51" s="175"/>
      <c r="M51" s="115"/>
      <c r="N51" s="108"/>
      <c r="O51" s="23" t="str">
        <f t="shared" si="1"/>
        <v>Замена аккумулятора охранной сигнализации.</v>
      </c>
      <c r="R51" s="22" t="s">
        <v>72</v>
      </c>
    </row>
    <row r="52" spans="1:18" ht="51" customHeight="1" outlineLevel="1">
      <c r="A52" s="151" t="str">
        <f>ПТО!A11</f>
        <v>Замена входной двери в подъезд.</v>
      </c>
      <c r="B52" s="151"/>
      <c r="C52" s="151"/>
      <c r="D52" s="151"/>
      <c r="E52" s="151"/>
      <c r="F52" s="152">
        <f>VLOOKUP(A52,ПТО!$A$2:$D$31,4,FALSE)</f>
        <v>45100</v>
      </c>
      <c r="G52" s="152"/>
      <c r="H52" s="25" t="str">
        <f>VLOOKUP(A52,ПТО!$A$2:$D$31,2,FALSE)</f>
        <v>разово</v>
      </c>
      <c r="I52" s="153">
        <f>VLOOKUP(A52,ПТО!$A$2:$D$31,3,FALSE)</f>
        <v>1</v>
      </c>
      <c r="J52" s="153"/>
      <c r="K52" s="108"/>
      <c r="L52" s="175"/>
      <c r="M52" s="115"/>
      <c r="N52" s="108"/>
      <c r="O52" s="23" t="str">
        <f t="shared" si="1"/>
        <v>Замена входной двери в подъезд.</v>
      </c>
      <c r="R52" s="22" t="s">
        <v>72</v>
      </c>
    </row>
    <row r="53" spans="1:18" ht="51" customHeight="1" outlineLevel="1">
      <c r="A53" s="151" t="str">
        <f>ПТО!A12</f>
        <v>Приобретение и замена  манометров (10 шт.) и термометров (15 шт.).</v>
      </c>
      <c r="B53" s="151"/>
      <c r="C53" s="151"/>
      <c r="D53" s="151"/>
      <c r="E53" s="151"/>
      <c r="F53" s="152">
        <f>VLOOKUP(A53,ПТО!$A$2:$D$31,4,FALSE)</f>
        <v>3430.27</v>
      </c>
      <c r="G53" s="152"/>
      <c r="H53" s="25" t="str">
        <f>VLOOKUP(A53,ПТО!$A$2:$D$31,2,FALSE)</f>
        <v>разово</v>
      </c>
      <c r="I53" s="153">
        <f>VLOOKUP(A53,ПТО!$A$2:$D$31,3,FALSE)</f>
        <v>1</v>
      </c>
      <c r="J53" s="153"/>
      <c r="K53" s="108"/>
      <c r="L53" s="175"/>
      <c r="M53" s="115"/>
      <c r="N53" s="108"/>
      <c r="O53" s="23" t="str">
        <f t="shared" si="1"/>
        <v>Приобретение и замена  манометров (10 шт.) и термометров (15 шт.).</v>
      </c>
      <c r="R53" s="22" t="s">
        <v>72</v>
      </c>
    </row>
    <row r="54" spans="1:18" ht="51" customHeight="1" outlineLevel="1">
      <c r="A54" s="151" t="str">
        <f>ПТО!A13</f>
        <v>Замена коммутатора системы видеонаблюдения.</v>
      </c>
      <c r="B54" s="151"/>
      <c r="C54" s="151"/>
      <c r="D54" s="151"/>
      <c r="E54" s="151"/>
      <c r="F54" s="152">
        <f>VLOOKUP(A54,ПТО!$A$2:$D$31,4,FALSE)</f>
        <v>4899</v>
      </c>
      <c r="G54" s="152"/>
      <c r="H54" s="25" t="str">
        <f>VLOOKUP(A54,ПТО!$A$2:$D$31,2,FALSE)</f>
        <v>разово</v>
      </c>
      <c r="I54" s="153">
        <f>VLOOKUP(A54,ПТО!$A$2:$D$31,3,FALSE)</f>
        <v>1</v>
      </c>
      <c r="J54" s="153"/>
      <c r="K54" s="108"/>
      <c r="L54" s="175"/>
      <c r="M54" s="115"/>
      <c r="N54" s="108"/>
      <c r="O54" s="23" t="str">
        <f t="shared" si="1"/>
        <v>Замена коммутатора системы видеонаблюдения.</v>
      </c>
      <c r="R54" s="22" t="s">
        <v>72</v>
      </c>
    </row>
    <row r="55" spans="1:18" ht="51" customHeight="1" outlineLevel="1">
      <c r="A55" s="151" t="str">
        <f>ПТО!A14</f>
        <v>Замена конька на кровле.</v>
      </c>
      <c r="B55" s="151"/>
      <c r="C55" s="151"/>
      <c r="D55" s="151"/>
      <c r="E55" s="151"/>
      <c r="F55" s="152">
        <f>VLOOKUP(A55,ПТО!$A$2:$D$31,4,FALSE)</f>
        <v>50969</v>
      </c>
      <c r="G55" s="152"/>
      <c r="H55" s="25" t="str">
        <f>VLOOKUP(A55,ПТО!$A$2:$D$31,2,FALSE)</f>
        <v>разово</v>
      </c>
      <c r="I55" s="153">
        <f>VLOOKUP(A55,ПТО!$A$2:$D$31,3,FALSE)</f>
        <v>1</v>
      </c>
      <c r="J55" s="153"/>
      <c r="K55" s="108"/>
      <c r="L55" s="175"/>
      <c r="M55" s="115"/>
      <c r="N55" s="108"/>
      <c r="O55" s="23" t="str">
        <f t="shared" si="1"/>
        <v>Замена конька на кровле.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8"/>
      <c r="L56" s="175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8"/>
      <c r="L57" s="175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8"/>
      <c r="L58" s="175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8"/>
      <c r="L59" s="175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8"/>
      <c r="L60" s="175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8"/>
      <c r="L61" s="175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8"/>
      <c r="L62" s="175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8"/>
      <c r="L63" s="175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8"/>
      <c r="L64" s="175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8"/>
      <c r="L65" s="175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8"/>
      <c r="L66" s="175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8"/>
      <c r="L67" s="175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8"/>
      <c r="L68" s="175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8"/>
      <c r="L69" s="175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8"/>
      <c r="L70" s="175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8"/>
      <c r="L72" s="175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8"/>
      <c r="L75" s="158"/>
      <c r="M75" s="108"/>
      <c r="N75" s="108"/>
      <c r="O75" s="69" t="s">
        <v>99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8"/>
      <c r="L76" s="158"/>
      <c r="M76" s="108"/>
      <c r="N76" s="108"/>
      <c r="O76" s="69" t="s">
        <v>100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8"/>
      <c r="L77" s="158"/>
      <c r="M77" s="108"/>
      <c r="N77" s="108"/>
      <c r="O77" s="69" t="s">
        <v>101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6">
        <f>VLOOKUP(O78,АО,3,FALSE)</f>
        <v>0</v>
      </c>
      <c r="K78" s="108"/>
      <c r="L78" s="158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6">
        <f t="shared" ref="J81:J90" si="2">VLOOKUP(O81,АО,3,FALSE)</f>
        <v>0</v>
      </c>
      <c r="K81" s="108"/>
      <c r="L81" s="176"/>
      <c r="M81" s="108"/>
      <c r="N81" s="108"/>
      <c r="O81" s="69" t="s">
        <v>103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6">
        <f t="shared" si="2"/>
        <v>0</v>
      </c>
      <c r="K82" s="108"/>
      <c r="L82" s="176"/>
      <c r="M82" s="108"/>
      <c r="N82" s="108"/>
      <c r="O82" s="69" t="s">
        <v>104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6">
        <f t="shared" si="2"/>
        <v>134626.75</v>
      </c>
      <c r="K83" s="108"/>
      <c r="L83" s="176"/>
      <c r="M83" s="108"/>
      <c r="N83" s="108"/>
      <c r="O83" s="69" t="s">
        <v>105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6">
        <f t="shared" si="2"/>
        <v>0</v>
      </c>
      <c r="K84" s="108"/>
      <c r="L84" s="176"/>
      <c r="M84" s="108"/>
      <c r="N84" s="108"/>
      <c r="O84" s="69" t="s">
        <v>106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6">
        <f t="shared" si="2"/>
        <v>0</v>
      </c>
      <c r="K85" s="108"/>
      <c r="L85" s="176"/>
      <c r="M85" s="108"/>
      <c r="N85" s="108"/>
      <c r="O85" s="69" t="s">
        <v>107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6">
        <f t="shared" si="2"/>
        <v>144521.34</v>
      </c>
      <c r="K86" s="108"/>
      <c r="L86" s="176"/>
      <c r="M86" s="108"/>
      <c r="N86" s="108"/>
      <c r="O86" s="69" t="s">
        <v>108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8"/>
      <c r="L87" s="176"/>
      <c r="M87" s="108"/>
      <c r="N87" s="108"/>
      <c r="O87" s="69" t="s">
        <v>109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8"/>
      <c r="L88" s="176"/>
      <c r="M88" s="108"/>
      <c r="N88" s="108"/>
      <c r="O88" s="69" t="s">
        <v>110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8"/>
      <c r="L89" s="176"/>
      <c r="M89" s="108"/>
      <c r="N89" s="108"/>
      <c r="O89" s="69" t="s">
        <v>111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6">
        <f t="shared" si="2"/>
        <v>0</v>
      </c>
      <c r="K90" s="108"/>
      <c r="L90" s="176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0" t="s">
        <v>48</v>
      </c>
      <c r="B93" s="160"/>
      <c r="C93" s="160"/>
      <c r="D93" s="163" t="s">
        <v>49</v>
      </c>
      <c r="E93" s="163"/>
      <c r="F93" s="10" t="s">
        <v>50</v>
      </c>
      <c r="G93" s="160" t="s">
        <v>51</v>
      </c>
      <c r="H93" s="160"/>
      <c r="I93" s="160"/>
      <c r="J93" s="160"/>
      <c r="K93" s="108"/>
      <c r="L93" s="108"/>
      <c r="M93" s="108"/>
      <c r="N93" s="108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482634.29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354878.15</v>
      </c>
      <c r="L95" s="177"/>
      <c r="O95" s="1" t="s">
        <v>113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478250.54</v>
      </c>
      <c r="L96" s="177"/>
      <c r="O96" s="1" t="s">
        <v>114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4383.75</v>
      </c>
      <c r="L97" s="177"/>
      <c r="O97" s="1" t="s">
        <v>115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482634.29</v>
      </c>
      <c r="L98" s="177"/>
      <c r="O98" s="1" t="s">
        <v>116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482634.29</v>
      </c>
      <c r="L99" s="177"/>
      <c r="O99" s="1" t="s">
        <v>117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118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119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191401.46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13136.68</v>
      </c>
      <c r="L103" s="177"/>
      <c r="O103" s="1" t="s">
        <v>122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191845.72</v>
      </c>
      <c r="L104" s="177"/>
      <c r="O104" s="1" t="s">
        <v>123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77"/>
      <c r="O105" s="1" t="s">
        <v>124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191401.46</v>
      </c>
      <c r="L106" s="177"/>
      <c r="O106" s="1" t="s">
        <v>125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191401.46</v>
      </c>
      <c r="L107" s="177"/>
      <c r="O107" s="1" t="s">
        <v>126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127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128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225155.33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12713.46</v>
      </c>
      <c r="L111" s="177"/>
      <c r="O111" s="1" t="s">
        <v>130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225296.49</v>
      </c>
      <c r="L112" s="177"/>
      <c r="O112" s="1" t="s">
        <v>131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77"/>
      <c r="O113" s="1" t="s">
        <v>132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225155.33</v>
      </c>
      <c r="L114" s="177"/>
      <c r="O114" s="1" t="s">
        <v>133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225155.33</v>
      </c>
      <c r="L115" s="177"/>
      <c r="O115" s="1" t="s">
        <v>134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135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136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1">
        <f>VLOOKUP("тко",АО,5,FALSE)</f>
        <v>175468.57</v>
      </c>
      <c r="H118" s="162"/>
      <c r="I118" s="162"/>
      <c r="J118" s="162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324.7</v>
      </c>
      <c r="L119" s="47"/>
      <c r="O119" s="1" t="s">
        <v>138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169372.31</v>
      </c>
      <c r="L120" s="47"/>
      <c r="O120" s="1" t="s">
        <v>139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6096.2600000000093</v>
      </c>
      <c r="L121" s="47"/>
      <c r="O121" s="1" t="s">
        <v>140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175468.57</v>
      </c>
      <c r="L122" s="47"/>
      <c r="O122" s="1" t="s">
        <v>141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175468.57</v>
      </c>
      <c r="L123" s="47"/>
      <c r="O123" s="1" t="s">
        <v>142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170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59" t="s">
        <v>173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74200</v>
      </c>
      <c r="O146" t="s">
        <v>172</v>
      </c>
    </row>
    <row r="149" spans="1:15" ht="42.75" customHeight="1">
      <c r="A149" s="155" t="s">
        <v>186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0" spans="1:15" ht="17.25" customHeight="1"/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54" t="s">
        <v>202</v>
      </c>
      <c r="B154" s="154"/>
      <c r="C154" s="154"/>
      <c r="D154" s="154"/>
      <c r="E154" s="27">
        <f>ПТО!G1</f>
        <v>-98947.01</v>
      </c>
    </row>
    <row r="155" spans="1:15" ht="34.5" customHeight="1">
      <c r="A155" s="156" t="s">
        <v>201</v>
      </c>
      <c r="B155" s="156"/>
      <c r="C155" s="156"/>
      <c r="D155" s="156"/>
      <c r="E155" s="28">
        <f>J13</f>
        <v>219774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51" t="str">
        <f t="shared" ref="A158:A163" si="14">IF(N158&gt;0,N158,0)</f>
        <v>Техническое освидетельствование лифтов.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8100</v>
      </c>
      <c r="G158" s="152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1" t="str">
        <f t="shared" si="14"/>
        <v>Техническое обслуживание системы видеонаблюдения.</v>
      </c>
      <c r="B159" s="151"/>
      <c r="C159" s="151"/>
      <c r="D159" s="151"/>
      <c r="E159" s="151"/>
      <c r="F159" s="152">
        <f t="shared" si="15"/>
        <v>26400</v>
      </c>
      <c r="G159" s="152"/>
      <c r="H159" s="24" t="str">
        <f t="shared" si="16"/>
        <v>ежемесячно</v>
      </c>
      <c r="I159" s="153">
        <f t="shared" si="17"/>
        <v>12</v>
      </c>
      <c r="J159" s="153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51" t="str">
        <f t="shared" si="14"/>
        <v>Техническое обслуживание охранной сигнализации.</v>
      </c>
      <c r="B160" s="151"/>
      <c r="C160" s="151"/>
      <c r="D160" s="151"/>
      <c r="E160" s="151"/>
      <c r="F160" s="152">
        <f t="shared" si="15"/>
        <v>14400</v>
      </c>
      <c r="G160" s="152"/>
      <c r="H160" s="24" t="str">
        <f t="shared" si="16"/>
        <v>ежемесячно</v>
      </c>
      <c r="I160" s="153">
        <f t="shared" si="17"/>
        <v>12</v>
      </c>
      <c r="J160" s="153"/>
      <c r="M160" s="22" t="s">
        <v>72</v>
      </c>
      <c r="N160" s="1" t="str">
        <v>Техническое обслуживание охранной сигнализации.</v>
      </c>
    </row>
    <row r="161" spans="1:14" ht="28.5" customHeight="1">
      <c r="A161" s="151" t="str">
        <f>IF(N161&gt;0,N161,0)</f>
        <v>Механизированная уборка и вывоз снега с придомовой территории.</v>
      </c>
      <c r="B161" s="151"/>
      <c r="C161" s="151"/>
      <c r="D161" s="151"/>
      <c r="E161" s="151"/>
      <c r="F161" s="152">
        <f t="shared" si="15"/>
        <v>85380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1" t="str">
        <f t="shared" si="14"/>
        <v>Дополнительная уборка придомовой территории.</v>
      </c>
      <c r="B162" s="151"/>
      <c r="C162" s="151"/>
      <c r="D162" s="151"/>
      <c r="E162" s="151"/>
      <c r="F162" s="152">
        <f t="shared" si="15"/>
        <v>2000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Дополнительная уборка придомовой территории.</v>
      </c>
    </row>
    <row r="163" spans="1:14" ht="28.5" customHeight="1">
      <c r="A163" s="151" t="str">
        <f t="shared" si="14"/>
        <v>Ремонт водосточной системы.</v>
      </c>
      <c r="B163" s="151"/>
      <c r="C163" s="151"/>
      <c r="D163" s="151"/>
      <c r="E163" s="151"/>
      <c r="F163" s="152">
        <f t="shared" si="15"/>
        <v>6122.18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Ремонт водосточной системы.</v>
      </c>
    </row>
    <row r="164" spans="1:14" ht="28.5" customHeight="1">
      <c r="A164" s="151" t="str">
        <f t="shared" ref="A164:A187" si="18">IF(N164&gt;0,N164,0)</f>
        <v>Замена светодиодного светильника.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1500</v>
      </c>
      <c r="G164" s="152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Замена светодиодного светильника.</v>
      </c>
    </row>
    <row r="165" spans="1:14" ht="28.5" customHeight="1">
      <c r="A165" s="151" t="str">
        <f t="shared" si="18"/>
        <v>Замена камеры системы видеонаблюдения.</v>
      </c>
      <c r="B165" s="151"/>
      <c r="C165" s="151"/>
      <c r="D165" s="151"/>
      <c r="E165" s="151"/>
      <c r="F165" s="152">
        <f t="shared" si="19"/>
        <v>6990</v>
      </c>
      <c r="G165" s="152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Замена камеры системы видеонаблюдения.</v>
      </c>
    </row>
    <row r="166" spans="1:14" ht="28.5" customHeight="1">
      <c r="A166" s="151" t="str">
        <f t="shared" si="18"/>
        <v>Замена аккумулятора охранной сигнализации.</v>
      </c>
      <c r="B166" s="151"/>
      <c r="C166" s="151"/>
      <c r="D166" s="151"/>
      <c r="E166" s="151"/>
      <c r="F166" s="152">
        <f t="shared" si="19"/>
        <v>2510</v>
      </c>
      <c r="G166" s="152"/>
      <c r="H166" s="29" t="str">
        <f t="shared" si="16"/>
        <v>разово</v>
      </c>
      <c r="I166" s="153">
        <f t="shared" si="20"/>
        <v>1</v>
      </c>
      <c r="J166" s="153"/>
      <c r="M166" s="22" t="s">
        <v>72</v>
      </c>
      <c r="N166" s="1" t="str">
        <v>Замена аккумулятора охранной сигнализации.</v>
      </c>
    </row>
    <row r="167" spans="1:14" ht="28.5" customHeight="1">
      <c r="A167" s="151" t="str">
        <f t="shared" si="18"/>
        <v>Замена входной двери в подъезд.</v>
      </c>
      <c r="B167" s="151"/>
      <c r="C167" s="151"/>
      <c r="D167" s="151"/>
      <c r="E167" s="151"/>
      <c r="F167" s="152">
        <f t="shared" si="19"/>
        <v>45100</v>
      </c>
      <c r="G167" s="152"/>
      <c r="H167" s="29" t="str">
        <f t="shared" si="16"/>
        <v>разово</v>
      </c>
      <c r="I167" s="153">
        <f t="shared" si="20"/>
        <v>1</v>
      </c>
      <c r="J167" s="153"/>
      <c r="M167" s="22" t="s">
        <v>72</v>
      </c>
      <c r="N167" s="1" t="str">
        <v>Замена входной двери в подъезд.</v>
      </c>
    </row>
    <row r="168" spans="1:14" ht="28.5" customHeight="1">
      <c r="A168" s="151" t="str">
        <f t="shared" si="18"/>
        <v>Приобретение и замена  манометров (10 шт.) и термометров (15 шт.).</v>
      </c>
      <c r="B168" s="151"/>
      <c r="C168" s="151"/>
      <c r="D168" s="151"/>
      <c r="E168" s="151"/>
      <c r="F168" s="152">
        <f t="shared" si="19"/>
        <v>3430.27</v>
      </c>
      <c r="G168" s="152"/>
      <c r="H168" s="29" t="str">
        <f t="shared" si="16"/>
        <v>разово</v>
      </c>
      <c r="I168" s="153">
        <f t="shared" si="20"/>
        <v>1</v>
      </c>
      <c r="J168" s="153"/>
      <c r="M168" s="22" t="s">
        <v>72</v>
      </c>
      <c r="N168" s="1" t="str">
        <v>Приобретение и замена  манометров (10 шт.) и термометров (15 шт.).</v>
      </c>
    </row>
    <row r="169" spans="1:14" ht="28.5" customHeight="1">
      <c r="A169" s="151" t="str">
        <f t="shared" si="18"/>
        <v>Замена коммутатора системы видеонаблюдения.</v>
      </c>
      <c r="B169" s="151"/>
      <c r="C169" s="151"/>
      <c r="D169" s="151"/>
      <c r="E169" s="151"/>
      <c r="F169" s="152">
        <f t="shared" si="19"/>
        <v>4899</v>
      </c>
      <c r="G169" s="152"/>
      <c r="H169" s="29" t="str">
        <f t="shared" si="16"/>
        <v>разово</v>
      </c>
      <c r="I169" s="153">
        <f t="shared" si="20"/>
        <v>1</v>
      </c>
      <c r="J169" s="153"/>
      <c r="M169" s="22" t="s">
        <v>72</v>
      </c>
      <c r="N169" s="1" t="str">
        <v>Замена коммутатора системы видеонаблюдения.</v>
      </c>
    </row>
    <row r="170" spans="1:14" ht="28.5" customHeight="1">
      <c r="A170" s="151" t="str">
        <f t="shared" si="18"/>
        <v>Замена конька на кровле.</v>
      </c>
      <c r="B170" s="151"/>
      <c r="C170" s="151"/>
      <c r="D170" s="151"/>
      <c r="E170" s="151"/>
      <c r="F170" s="152">
        <f t="shared" si="19"/>
        <v>50969</v>
      </c>
      <c r="G170" s="152"/>
      <c r="H170" s="29" t="str">
        <f t="shared" si="16"/>
        <v>разово</v>
      </c>
      <c r="I170" s="153">
        <f t="shared" si="20"/>
        <v>1</v>
      </c>
      <c r="J170" s="153"/>
      <c r="M170" s="22" t="s">
        <v>72</v>
      </c>
      <c r="N170" s="1" t="str">
        <v>Замена конька на кровле.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9.75" customHeight="1">
      <c r="A188" s="103" t="s">
        <v>174</v>
      </c>
    </row>
    <row r="189" spans="1:14" ht="9.75" customHeight="1">
      <c r="A189" s="103" t="s">
        <v>174</v>
      </c>
    </row>
    <row r="190" spans="1:14" ht="36.75" customHeight="1">
      <c r="A190" s="154" t="s">
        <v>200</v>
      </c>
      <c r="B190" s="154"/>
      <c r="C190" s="154"/>
      <c r="D190" s="154"/>
      <c r="E190" s="27">
        <f>SUM(F158:G187)</f>
        <v>257800.44999999998</v>
      </c>
    </row>
    <row r="191" spans="1:14" ht="51.75" customHeight="1">
      <c r="A191" s="154" t="s">
        <v>199</v>
      </c>
      <c r="B191" s="154"/>
      <c r="C191" s="154"/>
      <c r="D191" s="154"/>
      <c r="E191" s="27">
        <f>E190+E154-E155</f>
        <v>-60920.56</v>
      </c>
    </row>
    <row r="192" spans="1:14" ht="12" customHeight="1">
      <c r="A192" s="103" t="s">
        <v>174</v>
      </c>
    </row>
    <row r="193" spans="1:10" ht="62.25" customHeight="1">
      <c r="A193" s="179" t="s">
        <v>198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8">
        <f>ПТО!G12</f>
        <v>1200</v>
      </c>
      <c r="I194" s="49" t="s">
        <v>74</v>
      </c>
    </row>
    <row r="195" spans="1:10" ht="18.75" customHeight="1">
      <c r="A195" s="178" t="str">
        <f>ПТО!F13</f>
        <v xml:space="preserve">  -  техническое освидетельствование лифтов</v>
      </c>
      <c r="B195" s="178"/>
      <c r="C195" s="178"/>
      <c r="D195" s="178"/>
      <c r="E195" s="178"/>
      <c r="F195" s="178"/>
      <c r="G195" s="178"/>
      <c r="H195" s="48">
        <f>ПТО!G13</f>
        <v>16200</v>
      </c>
      <c r="I195" s="49" t="s">
        <v>74</v>
      </c>
    </row>
    <row r="196" spans="1:10" ht="18.75" customHeight="1">
      <c r="A196" s="178" t="str">
        <f>ПТО!F14</f>
        <v xml:space="preserve">  -  техническое обслуживание охранной сигнализации</v>
      </c>
      <c r="B196" s="178"/>
      <c r="C196" s="178"/>
      <c r="D196" s="178"/>
      <c r="E196" s="178"/>
      <c r="F196" s="178"/>
      <c r="G196" s="178"/>
      <c r="H196" s="48">
        <f>ПТО!G14</f>
        <v>14400</v>
      </c>
      <c r="I196" s="49" t="s">
        <v>74</v>
      </c>
    </row>
    <row r="197" spans="1:10" ht="18.75" customHeight="1">
      <c r="A197" s="178" t="str">
        <f>ПТО!F15</f>
        <v xml:space="preserve">  -  техническое обслуживание системы видеонаблюдения</v>
      </c>
      <c r="B197" s="178"/>
      <c r="C197" s="178"/>
      <c r="D197" s="178"/>
      <c r="E197" s="178"/>
      <c r="F197" s="178"/>
      <c r="G197" s="178"/>
      <c r="H197" s="48">
        <f>ПТО!G15</f>
        <v>26400</v>
      </c>
      <c r="I197" s="49" t="s">
        <v>74</v>
      </c>
    </row>
    <row r="198" spans="1:10" ht="38.25" customHeight="1">
      <c r="A198" s="178" t="str">
        <f>ПТО!F16</f>
        <v xml:space="preserve">  -  механизированная уборка и вывоз снега с придомовой территории</v>
      </c>
      <c r="B198" s="178"/>
      <c r="C198" s="178"/>
      <c r="D198" s="178"/>
      <c r="E198" s="178"/>
      <c r="F198" s="178"/>
      <c r="G198" s="178"/>
      <c r="H198" s="48">
        <f>ПТО!G16</f>
        <v>20000</v>
      </c>
      <c r="I198" s="51" t="s">
        <v>74</v>
      </c>
    </row>
    <row r="199" spans="1:10" ht="18.75" customHeight="1">
      <c r="A199" s="178" t="str">
        <f>ПТО!F17</f>
        <v xml:space="preserve">  -  ремонт подъезда </v>
      </c>
      <c r="B199" s="178"/>
      <c r="C199" s="178"/>
      <c r="D199" s="178"/>
      <c r="E199" s="178"/>
      <c r="F199" s="178"/>
      <c r="G199" s="178"/>
      <c r="H199" s="48">
        <f>ПТО!G17</f>
        <v>650000</v>
      </c>
      <c r="I199" s="49" t="s">
        <v>74</v>
      </c>
    </row>
    <row r="200" spans="1:10" hidden="1">
      <c r="A200" s="178">
        <f>ПТО!F18</f>
        <v>0</v>
      </c>
      <c r="B200" s="178"/>
      <c r="C200" s="178"/>
      <c r="D200" s="178"/>
      <c r="E200" s="178"/>
      <c r="F200" s="178"/>
      <c r="G200" s="178"/>
      <c r="H200" s="48">
        <f>ПТО!G18</f>
        <v>0</v>
      </c>
      <c r="I200" s="49" t="s">
        <v>74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8">
        <f>ПТО!G19</f>
        <v>0</v>
      </c>
      <c r="I201" s="49" t="s">
        <v>74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8">
        <f>ПТО!G20</f>
        <v>0</v>
      </c>
      <c r="I202" s="49" t="s">
        <v>74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8">
        <f>ПТО!G21</f>
        <v>0</v>
      </c>
      <c r="I203" s="49" t="s">
        <v>74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8">
        <f>ПТО!G22</f>
        <v>0</v>
      </c>
      <c r="I204" s="49" t="s">
        <v>74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8">
        <f>ПТО!G23</f>
        <v>0</v>
      </c>
      <c r="I205" s="49" t="s">
        <v>74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8">
        <f>ПТО!G24</f>
        <v>0</v>
      </c>
      <c r="I206" s="49" t="s">
        <v>74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8">
        <f>ПТО!G25</f>
        <v>0</v>
      </c>
      <c r="I207" s="49" t="s">
        <v>74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8">
        <f>ПТО!G26</f>
        <v>0</v>
      </c>
      <c r="I208" s="49" t="s">
        <v>74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8">
        <f>ПТО!G27</f>
        <v>0</v>
      </c>
      <c r="I209" s="49" t="s">
        <v>74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8">
        <f>ПТО!G28</f>
        <v>0</v>
      </c>
      <c r="I210" s="49" t="s">
        <v>74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8">
        <f>ПТО!G29</f>
        <v>0</v>
      </c>
      <c r="I211" s="49" t="s">
        <v>74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8">
        <f>ПТО!G30</f>
        <v>0</v>
      </c>
      <c r="I212" s="49" t="s">
        <v>74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728200</v>
      </c>
      <c r="I214" s="55" t="s">
        <v>77</v>
      </c>
    </row>
  </sheetData>
  <sheetProtection algorithmName="SHA-512" hashValue="Tju9ygRGH/lQv6I7thlekzK9kwMTsMlrT4oJXYLtGRbAlYylejCAYVC3fLLwsCYO4ASJSGLDjvrgeGQKqfSFYA==" saltValue="/QiDxTK83GhtK9onnlFpD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202</v>
      </c>
      <c r="G1" s="100">
        <f>-98947.01</f>
        <v>-98947.01</v>
      </c>
    </row>
    <row r="2" spans="1:12" ht="18.75" customHeight="1">
      <c r="A2" s="131" t="s">
        <v>184</v>
      </c>
      <c r="B2" s="132" t="s">
        <v>180</v>
      </c>
      <c r="C2" s="132">
        <v>1</v>
      </c>
      <c r="D2" s="133">
        <v>8100</v>
      </c>
      <c r="E2" s="117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178</v>
      </c>
      <c r="B3" s="132" t="s">
        <v>181</v>
      </c>
      <c r="C3" s="132">
        <v>12</v>
      </c>
      <c r="D3" s="133">
        <f>2200*12</f>
        <v>26400</v>
      </c>
      <c r="E3" s="117" t="s">
        <v>212</v>
      </c>
      <c r="F3" s="30"/>
      <c r="G3" s="30"/>
      <c r="L3" s="33" t="str">
        <f t="shared" si="0"/>
        <v>ТР</v>
      </c>
    </row>
    <row r="4" spans="1:12" ht="18.75" customHeight="1">
      <c r="A4" s="131" t="s">
        <v>179</v>
      </c>
      <c r="B4" s="132" t="s">
        <v>181</v>
      </c>
      <c r="C4" s="132">
        <v>12</v>
      </c>
      <c r="D4" s="133">
        <f>1200*12</f>
        <v>14400</v>
      </c>
      <c r="E4" s="135" t="s">
        <v>213</v>
      </c>
      <c r="F4" s="30"/>
      <c r="G4" s="30"/>
      <c r="L4" s="33" t="str">
        <f t="shared" si="0"/>
        <v>ТР</v>
      </c>
    </row>
    <row r="5" spans="1:12" ht="18.75" customHeight="1">
      <c r="A5" s="125" t="s">
        <v>195</v>
      </c>
      <c r="B5" s="126" t="s">
        <v>194</v>
      </c>
      <c r="C5" s="127">
        <v>1</v>
      </c>
      <c r="D5" s="124">
        <v>85380</v>
      </c>
      <c r="E5" s="123" t="s">
        <v>204</v>
      </c>
      <c r="F5" s="44"/>
      <c r="G5" s="44"/>
      <c r="K5" s="46"/>
      <c r="L5" s="33" t="str">
        <f t="shared" si="0"/>
        <v>ТР</v>
      </c>
    </row>
    <row r="6" spans="1:12" ht="27" customHeight="1">
      <c r="A6" s="149" t="s">
        <v>222</v>
      </c>
      <c r="B6" s="130" t="s">
        <v>194</v>
      </c>
      <c r="C6" s="127">
        <v>1</v>
      </c>
      <c r="D6" s="46">
        <v>2000</v>
      </c>
      <c r="E6" s="117" t="s">
        <v>207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203</v>
      </c>
      <c r="B7" s="147" t="s">
        <v>194</v>
      </c>
      <c r="C7" s="137">
        <v>1</v>
      </c>
      <c r="D7" s="124">
        <v>6122.18</v>
      </c>
      <c r="E7" s="123" t="s">
        <v>220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223</v>
      </c>
      <c r="B8" s="136" t="s">
        <v>194</v>
      </c>
      <c r="C8" s="137">
        <v>1</v>
      </c>
      <c r="D8" s="124">
        <v>1500</v>
      </c>
      <c r="E8" s="123" t="s">
        <v>214</v>
      </c>
      <c r="F8" s="45"/>
      <c r="G8" s="45"/>
      <c r="K8" s="43"/>
      <c r="L8" s="33" t="str">
        <f t="shared" si="0"/>
        <v>ТР</v>
      </c>
    </row>
    <row r="9" spans="1:12">
      <c r="A9" s="138" t="s">
        <v>205</v>
      </c>
      <c r="B9" s="139" t="s">
        <v>194</v>
      </c>
      <c r="C9" s="127">
        <v>1</v>
      </c>
      <c r="D9" s="46">
        <v>6990</v>
      </c>
      <c r="E9" s="117" t="s">
        <v>215</v>
      </c>
      <c r="F9" s="44"/>
      <c r="G9" s="44"/>
      <c r="K9" s="43"/>
      <c r="L9" s="33" t="str">
        <f t="shared" si="0"/>
        <v>ТР</v>
      </c>
    </row>
    <row r="10" spans="1:12">
      <c r="A10" s="123" t="s">
        <v>206</v>
      </c>
      <c r="B10" s="140" t="s">
        <v>194</v>
      </c>
      <c r="C10" s="137">
        <v>1</v>
      </c>
      <c r="D10" s="124">
        <v>2510</v>
      </c>
      <c r="E10" s="123" t="s">
        <v>216</v>
      </c>
      <c r="L10" s="33" t="str">
        <f t="shared" si="0"/>
        <v>ТР</v>
      </c>
    </row>
    <row r="11" spans="1:12" ht="94.5">
      <c r="A11" s="145" t="s">
        <v>208</v>
      </c>
      <c r="B11" s="146" t="s">
        <v>194</v>
      </c>
      <c r="C11" s="127">
        <v>1</v>
      </c>
      <c r="D11" s="46">
        <v>45100</v>
      </c>
      <c r="E11" s="117" t="s">
        <v>219</v>
      </c>
      <c r="F11" s="110" t="s">
        <v>198</v>
      </c>
      <c r="G11" s="110"/>
      <c r="L11" s="33" t="str">
        <f t="shared" si="0"/>
        <v>ТР</v>
      </c>
    </row>
    <row r="12" spans="1:12" ht="31.5">
      <c r="A12" s="150" t="s">
        <v>224</v>
      </c>
      <c r="B12" s="148" t="s">
        <v>194</v>
      </c>
      <c r="C12" s="127">
        <v>1</v>
      </c>
      <c r="D12" s="46">
        <v>3430.27</v>
      </c>
      <c r="E12" s="117" t="s">
        <v>221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41" t="s">
        <v>209</v>
      </c>
      <c r="B13" s="142" t="s">
        <v>194</v>
      </c>
      <c r="C13" s="127">
        <v>1</v>
      </c>
      <c r="D13" s="46">
        <v>4899</v>
      </c>
      <c r="E13" s="117" t="s">
        <v>217</v>
      </c>
      <c r="F13" s="111" t="s">
        <v>185</v>
      </c>
      <c r="G13" s="112">
        <v>16200</v>
      </c>
      <c r="L13" s="33" t="str">
        <f t="shared" si="0"/>
        <v>ТР</v>
      </c>
    </row>
    <row r="14" spans="1:12" ht="31.5">
      <c r="A14" s="143" t="s">
        <v>210</v>
      </c>
      <c r="B14" s="144" t="s">
        <v>194</v>
      </c>
      <c r="C14" s="127">
        <v>1</v>
      </c>
      <c r="D14" s="46">
        <v>50969</v>
      </c>
      <c r="E14" s="117" t="s">
        <v>218</v>
      </c>
      <c r="F14" s="111" t="s">
        <v>183</v>
      </c>
      <c r="G14" s="112">
        <v>14400</v>
      </c>
      <c r="L14" s="33" t="str">
        <f t="shared" si="0"/>
        <v>ТР</v>
      </c>
    </row>
    <row r="15" spans="1:12" ht="31.5">
      <c r="A15" s="30"/>
      <c r="F15" s="111" t="s">
        <v>75</v>
      </c>
      <c r="G15" s="113">
        <v>26400</v>
      </c>
      <c r="L15" s="33">
        <f t="shared" si="0"/>
        <v>0</v>
      </c>
    </row>
    <row r="16" spans="1:12" ht="15.75">
      <c r="A16" s="30"/>
      <c r="F16" s="129" t="s">
        <v>196</v>
      </c>
      <c r="G16" s="113">
        <v>20000</v>
      </c>
      <c r="L16" s="33">
        <f t="shared" si="0"/>
        <v>0</v>
      </c>
    </row>
    <row r="17" spans="1:12" ht="15.75">
      <c r="A17" s="30"/>
      <c r="F17" s="129" t="s">
        <v>197</v>
      </c>
      <c r="G17" s="113">
        <v>650000</v>
      </c>
      <c r="L17" s="33">
        <f t="shared" si="0"/>
        <v>0</v>
      </c>
    </row>
    <row r="18" spans="1:12" ht="15.75">
      <c r="A18" s="30"/>
      <c r="F18" s="129"/>
      <c r="G18" s="113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254937.84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254937.84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54064.44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54064.44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66811.320000000007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66811.320000000007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52745.760000000002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52745.760000000002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14065.56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14065.56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89667.839999999997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89667.839999999997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175379.64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175379.64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18"/>
      <c r="C47" s="119"/>
      <c r="D47" s="120"/>
      <c r="E47" s="118">
        <v>1202.8</v>
      </c>
      <c r="F47" s="118">
        <v>675.6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21"/>
      <c r="C48" s="119"/>
      <c r="D48" s="120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2" t="s">
        <v>187</v>
      </c>
      <c r="F52" s="122" t="s">
        <v>188</v>
      </c>
      <c r="G52" s="122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2">
        <v>35.896999999999998</v>
      </c>
      <c r="F53" s="118">
        <v>3690.15</v>
      </c>
      <c r="G53" s="122">
        <v>3.48</v>
      </c>
      <c r="H53" s="122">
        <f>G53*E47/F53</f>
        <v>1.134301857648063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2"/>
      <c r="F54" s="122" t="s">
        <v>190</v>
      </c>
      <c r="G54" s="122" t="s">
        <v>191</v>
      </c>
      <c r="H54" s="122">
        <f>H53*G56</f>
        <v>37.8856820454453</v>
      </c>
    </row>
    <row r="55" spans="5:16">
      <c r="E55" s="122"/>
      <c r="F55" s="122">
        <v>1.17</v>
      </c>
      <c r="G55" s="122">
        <v>1.23</v>
      </c>
      <c r="H55" s="122"/>
    </row>
    <row r="56" spans="5:16">
      <c r="E56" s="122"/>
      <c r="F56" s="122"/>
      <c r="G56" s="122">
        <v>33.4</v>
      </c>
      <c r="H56" s="122"/>
    </row>
    <row r="57" spans="5:16">
      <c r="E57" s="122"/>
      <c r="F57" s="122"/>
      <c r="G57" s="122"/>
      <c r="H57" s="122"/>
    </row>
    <row r="58" spans="5:16">
      <c r="E58" s="122" t="s">
        <v>192</v>
      </c>
      <c r="F58" s="122"/>
      <c r="G58" s="122"/>
      <c r="H58" s="122"/>
    </row>
    <row r="59" spans="5:16">
      <c r="E59" s="122">
        <v>0.59599999999999997</v>
      </c>
      <c r="F59" s="118">
        <f>F53</f>
        <v>3690.15</v>
      </c>
      <c r="G59" s="122">
        <v>7.4999999999999997E-2</v>
      </c>
      <c r="H59" s="122">
        <f>G59*F47</f>
        <v>50.67</v>
      </c>
    </row>
    <row r="60" spans="5:16">
      <c r="E60" s="122"/>
      <c r="F60" s="122" t="s">
        <v>190</v>
      </c>
      <c r="G60" s="122" t="s">
        <v>191</v>
      </c>
      <c r="H60" s="122">
        <f>H59/F59</f>
        <v>1.3731149140278851E-2</v>
      </c>
    </row>
    <row r="61" spans="5:16">
      <c r="E61" s="122"/>
      <c r="F61" s="122">
        <v>12.94</v>
      </c>
      <c r="G61" s="122">
        <v>13.45</v>
      </c>
      <c r="H61" s="122">
        <f>H60*G56</f>
        <v>0.45862038128531357</v>
      </c>
    </row>
    <row r="62" spans="5:16">
      <c r="E62" s="122" t="s">
        <v>193</v>
      </c>
      <c r="F62" s="122"/>
      <c r="G62" s="122"/>
      <c r="H62" s="122"/>
    </row>
    <row r="63" spans="5:16">
      <c r="E63" s="122">
        <v>0.59599999999999997</v>
      </c>
      <c r="F63" s="118">
        <f>F53</f>
        <v>3690.15</v>
      </c>
      <c r="G63" s="122">
        <v>7.4999999999999997E-2</v>
      </c>
      <c r="H63" s="122">
        <f>G63*F47</f>
        <v>50.67</v>
      </c>
    </row>
    <row r="64" spans="5:16">
      <c r="E64" s="122"/>
      <c r="F64" s="122" t="s">
        <v>190</v>
      </c>
      <c r="G64" s="122" t="s">
        <v>191</v>
      </c>
      <c r="H64" s="122">
        <f>H63/F63</f>
        <v>1.3731149140278851E-2</v>
      </c>
    </row>
    <row r="65" spans="4:13" ht="18.75" customHeight="1">
      <c r="E65" s="122"/>
      <c r="F65" s="122">
        <v>15.73</v>
      </c>
      <c r="G65" s="122">
        <v>16.350000000000001</v>
      </c>
      <c r="H65" s="122">
        <f>H64*G56</f>
        <v>0.45862038128531357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VNnB75mlxmcymBuxeJ1pzMpPIsYhNj6BSblm1DtPzKZKtYL7WFgBTpxN0bwlMvqnVwN7W+DtQ7cA8Dv3H8TX+g==" saltValue="aXKxPuEnRCdFQVjRI8jAF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27" sqref="C2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182</v>
      </c>
      <c r="F1" s="59">
        <v>3662.9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133873.10999999999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928304.06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708530.06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F1*5*12</f>
        <v>219774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902226.99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902226.99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902226.99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159950.17999999993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82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82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82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82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1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1"/>
      <c r="N26" s="62"/>
    </row>
    <row r="27" spans="1:15" ht="18.75" customHeight="1">
      <c r="A27" s="69" t="s">
        <v>105</v>
      </c>
      <c r="B27" s="74" t="s">
        <v>4</v>
      </c>
      <c r="C27" s="85">
        <v>134626.75</v>
      </c>
      <c r="D27" s="80" t="s">
        <v>60</v>
      </c>
      <c r="E27" s="63"/>
      <c r="F27" s="63"/>
      <c r="G27" s="63"/>
      <c r="H27" s="63"/>
      <c r="I27" s="63"/>
      <c r="J27" s="63"/>
      <c r="M27" s="181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1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1"/>
      <c r="N29" s="62"/>
    </row>
    <row r="30" spans="1:15" ht="18.75" customHeight="1">
      <c r="A30" s="69" t="s">
        <v>108</v>
      </c>
      <c r="B30" s="74" t="s">
        <v>18</v>
      </c>
      <c r="C30" s="85">
        <v>144521.34</v>
      </c>
      <c r="D30" s="80" t="s">
        <v>66</v>
      </c>
      <c r="E30" s="63"/>
      <c r="F30" s="63"/>
      <c r="G30" s="63"/>
      <c r="H30" s="63"/>
      <c r="I30" s="63"/>
      <c r="J30" s="63"/>
      <c r="M30" s="181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1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1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1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1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482634.29</v>
      </c>
      <c r="F37" s="93" t="s">
        <v>167</v>
      </c>
      <c r="G37" s="65"/>
      <c r="H37" s="65"/>
      <c r="I37" s="65"/>
      <c r="L37" s="62"/>
      <c r="M37" s="180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354878.15</v>
      </c>
      <c r="D38" s="93" t="s">
        <v>165</v>
      </c>
      <c r="E38" s="67"/>
      <c r="G38" s="66"/>
      <c r="H38" s="66"/>
      <c r="L38" s="62"/>
      <c r="M38" s="180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478250.54</v>
      </c>
      <c r="D39" s="93" t="s">
        <v>166</v>
      </c>
      <c r="E39" s="67"/>
      <c r="G39" s="66"/>
      <c r="H39" s="66"/>
      <c r="L39" s="62"/>
      <c r="M39" s="180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4383.75</v>
      </c>
      <c r="D40" s="79" t="s">
        <v>59</v>
      </c>
      <c r="E40" s="67"/>
      <c r="G40" s="66"/>
      <c r="H40" s="66"/>
      <c r="L40" s="62"/>
      <c r="M40" s="180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482634.29</v>
      </c>
      <c r="D41" s="79" t="s">
        <v>59</v>
      </c>
      <c r="E41" s="67"/>
      <c r="G41" s="66"/>
      <c r="H41" s="66"/>
      <c r="L41" s="62"/>
      <c r="M41" s="180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482634.29</v>
      </c>
      <c r="D42" s="79" t="s">
        <v>59</v>
      </c>
      <c r="E42" s="67"/>
      <c r="G42" s="66"/>
      <c r="H42" s="66"/>
      <c r="L42" s="62"/>
      <c r="M42" s="180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0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0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191401.46</v>
      </c>
      <c r="F45" s="93" t="s">
        <v>167</v>
      </c>
      <c r="G45" s="65"/>
      <c r="H45" s="65"/>
      <c r="L45" s="62"/>
      <c r="M45" s="180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13136.68</v>
      </c>
      <c r="D46" s="93" t="s">
        <v>168</v>
      </c>
      <c r="E46" s="67"/>
      <c r="G46" s="66"/>
      <c r="H46" s="66"/>
      <c r="L46" s="62"/>
      <c r="M46" s="180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191845.72</v>
      </c>
      <c r="D47" s="93" t="s">
        <v>166</v>
      </c>
      <c r="E47" s="67"/>
      <c r="G47" s="66"/>
      <c r="H47" s="66"/>
      <c r="L47" s="62"/>
      <c r="M47" s="180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80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191401.46</v>
      </c>
      <c r="D49" s="79" t="s">
        <v>59</v>
      </c>
      <c r="E49" s="67"/>
      <c r="G49" s="66"/>
      <c r="H49" s="66"/>
      <c r="L49" s="62"/>
      <c r="M49" s="180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191401.46</v>
      </c>
      <c r="D50" s="79" t="s">
        <v>59</v>
      </c>
      <c r="E50" s="67"/>
      <c r="G50" s="66"/>
      <c r="H50" s="66"/>
      <c r="L50" s="62"/>
      <c r="M50" s="180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0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0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225155.33</v>
      </c>
      <c r="F53" s="93" t="s">
        <v>167</v>
      </c>
      <c r="G53" s="65"/>
      <c r="H53" s="65"/>
      <c r="L53" s="62"/>
      <c r="M53" s="180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12713.46</v>
      </c>
      <c r="D54" s="93" t="s">
        <v>168</v>
      </c>
      <c r="E54" s="68"/>
      <c r="F54" s="88"/>
      <c r="G54" s="63"/>
      <c r="H54" s="63"/>
      <c r="L54" s="62"/>
      <c r="M54" s="180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225296.49</v>
      </c>
      <c r="D55" s="93" t="s">
        <v>166</v>
      </c>
      <c r="E55" s="68"/>
      <c r="G55" s="63"/>
      <c r="H55" s="63"/>
      <c r="L55" s="62"/>
      <c r="M55" s="180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80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225155.33</v>
      </c>
      <c r="D57" s="79" t="s">
        <v>59</v>
      </c>
      <c r="E57" s="68"/>
      <c r="G57" s="63"/>
      <c r="H57" s="63"/>
      <c r="L57" s="62"/>
      <c r="M57" s="180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225155.33</v>
      </c>
      <c r="D58" s="79" t="s">
        <v>59</v>
      </c>
      <c r="E58" s="68"/>
      <c r="G58" s="63"/>
      <c r="H58" s="63"/>
      <c r="L58" s="62"/>
      <c r="M58" s="180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0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0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175468.57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324.7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169372.31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6096.2600000000093</v>
      </c>
      <c r="D64" s="79" t="s">
        <v>59</v>
      </c>
      <c r="E64" s="12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175468.57</v>
      </c>
      <c r="D65" s="79" t="s">
        <v>59</v>
      </c>
      <c r="E65" s="12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175468.57</v>
      </c>
      <c r="D66" s="79" t="s">
        <v>59</v>
      </c>
      <c r="E66" s="12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12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55</v>
      </c>
      <c r="E69" s="94"/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/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/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/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/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/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3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74200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2024-03-29T01:39:20Z</dcterms:modified>
</cp:coreProperties>
</file>