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H63" i="2" l="1"/>
  <c r="F63" i="2"/>
  <c r="H59" i="2"/>
  <c r="F59" i="2"/>
  <c r="H53" i="2"/>
  <c r="H54" i="2" s="1"/>
  <c r="H60" i="2" l="1"/>
  <c r="H61" i="2" s="1"/>
  <c r="H64" i="2"/>
  <c r="H65" i="2" s="1"/>
  <c r="D4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D110" i="1"/>
  <c r="J109" i="1"/>
  <c r="J104" i="1"/>
  <c r="J103" i="1"/>
  <c r="A103" i="1"/>
  <c r="G102" i="1"/>
  <c r="A102" i="1"/>
  <c r="J101" i="1"/>
  <c r="J96" i="1"/>
  <c r="J95" i="1"/>
  <c r="A96" i="1"/>
  <c r="G94" i="1"/>
  <c r="D94" i="1"/>
  <c r="K94" i="1"/>
  <c r="A107" i="1" l="1"/>
  <c r="A114" i="1"/>
  <c r="A100" i="1"/>
  <c r="F94" i="1"/>
  <c r="A115" i="1"/>
  <c r="A116" i="1"/>
  <c r="A111" i="1"/>
  <c r="A110" i="1"/>
  <c r="A112" i="1"/>
  <c r="F110" i="1"/>
  <c r="A113" i="1"/>
  <c r="A141" i="1"/>
  <c r="F134" i="1"/>
  <c r="A97" i="1"/>
  <c r="A98" i="1"/>
  <c r="A101" i="1"/>
  <c r="A94" i="1"/>
  <c r="A95" i="1"/>
  <c r="A119" i="1"/>
  <c r="A137" i="1"/>
  <c r="A122" i="1"/>
  <c r="A118" i="1"/>
  <c r="A123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F185" i="1"/>
  <c r="F173" i="1"/>
  <c r="H174" i="1"/>
  <c r="H176" i="1"/>
  <c r="F165" i="1"/>
  <c r="H169" i="1"/>
  <c r="H180" i="1"/>
  <c r="F180" i="1"/>
  <c r="H172" i="1"/>
  <c r="F169" i="1"/>
  <c r="H168" i="1"/>
  <c r="H184" i="1"/>
  <c r="F174" i="1"/>
  <c r="F184" i="1"/>
  <c r="F179" i="1"/>
  <c r="H164" i="1"/>
  <c r="F168" i="1"/>
  <c r="F176" i="1"/>
  <c r="H179" i="1"/>
  <c r="H187" i="1"/>
  <c r="F178" i="1"/>
  <c r="H178" i="1"/>
  <c r="H165" i="1"/>
  <c r="F164" i="1"/>
  <c r="H170" i="1"/>
  <c r="H185" i="1"/>
  <c r="H183" i="1"/>
  <c r="H186" i="1"/>
  <c r="F187" i="1"/>
  <c r="F172" i="1"/>
  <c r="F170" i="1"/>
  <c r="F171" i="1"/>
  <c r="H171" i="1"/>
  <c r="F183" i="1"/>
  <c r="H166" i="1"/>
  <c r="H167" i="1"/>
  <c r="F175" i="1"/>
  <c r="H177" i="1"/>
  <c r="F182" i="1"/>
  <c r="F166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<sst xmlns="http://schemas.openxmlformats.org/spreadsheetml/2006/main" count="565" uniqueCount="212">
  <si>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</si>
  <si>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</si>
  <si>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</si>
  <si>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</si>
  <si>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</si>
  <si>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</si>
  <si>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</si>
  <si>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</si>
  <si>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</si>
  <si>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</si>
  <si>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</si>
  <si>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</si>
  <si>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</si>
  <si>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</si>
  <si>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</si>
  <si>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</si>
  <si>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</si>
  <si>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</si>
  <si>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</si>
  <si>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</si>
  <si>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</si>
  <si>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</si>
  <si>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</si>
  <si>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</si>
  <si>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</si>
  <si>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</si>
  <si>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</si>
  <si>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</si>
  <si>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</si>
  <si>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</si>
  <si>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</si>
  <si>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</si>
  <si>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</si>
  <si>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</si>
  <si>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</si>
  <si>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</si>
  <si>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</si>
  <si>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</si>
  <si>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</si>
  <si>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</si>
  <si>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</si>
  <si>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</si>
  <si>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</si>
  <si>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</si>
  <si>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</si>
  <si>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</si>
  <si>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</si>
  <si>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</si>
  <si>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</si>
  <si>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</si>
  <si>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</si>
  <si>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</si>
  <si>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</si>
  <si>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</si>
  <si>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</si>
  <si>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</si>
  <si>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</si>
  <si>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</si>
  <si>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</si>
  <si>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</si>
  <si>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</si>
  <si>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</si>
  <si>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</si>
  <si>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</si>
  <si>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</si>
  <si>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</si>
  <si>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</si>
  <si>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</si>
  <si>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</si>
  <si>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</si>
  <si>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</si>
  <si>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</si>
  <si>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</si>
  <si>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</si>
  <si>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</si>
  <si>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</si>
  <si>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</si>
  <si>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</si>
  <si>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</si>
  <si>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</si>
  <si>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</si>
  <si>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</si>
  <si>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</si>
  <si>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</si>
  <si>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</si>
  <si>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</si>
  <si>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</si>
  <si>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</si>
  <si>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</si>
  <si>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</si>
  <si>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</si>
  <si>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</si>
  <si>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</si>
  <si>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</si>
  <si>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</si>
  <si>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</si>
  <si>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</si>
  <si>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</si>
  <si>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</si>
  <si>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</si>
  <si>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</si>
  <si>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</si>
  <si>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</si>
  <si>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</si>
  <si>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</si>
  <si>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</si>
  <si>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</si>
  <si>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</si>
  <si>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</si>
  <si>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</si>
  <si>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</si>
  <si>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</si>
  <si>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</si>
  <si>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</si>
  <si>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</si>
  <si>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</si>
  <si>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</si>
  <si>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</si>
  <si>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</si>
  <si>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</si>
  <si>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</si>
  <si>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</si>
  <si>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</si>
  <si>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</si>
  <si>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</si>
  <si>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</si>
  <si>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</si>
  <si>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</si>
  <si>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</si>
  <si>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</si>
  <si>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</si>
  <si>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</si>
  <si>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</si>
  <si>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</si>
  <si>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</si>
  <si>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</si>
  <si>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</si>
  <si>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</si>
  <si>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</si>
  <si>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</si>
  <si>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</si>
  <si>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</si>
  <si>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</si>
  <si>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</si>
  <si>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</si>
  <si>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</si>
  <si>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</si>
  <si>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</si>
  <si>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</si>
  <si>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</si>
  <si>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</si>
  <si>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</si>
  <si>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</si>
  <si>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</si>
  <si>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</si>
  <si>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</si>
  <si>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</si>
  <si>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</si>
  <si>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</si>
  <si>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</si>
  <si>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</si>
  <si>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</si>
  <si>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</si>
  <si>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</si>
  <si>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</si>
  <si>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</si>
  <si>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</si>
  <si>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</si>
  <si>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</si>
  <si>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</si>
  <si>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</si>
  <si>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</si>
  <si>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</si>
  <si>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</si>
  <si>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</si>
  <si>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</si>
  <si>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</si>
  <si>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</si>
  <si>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244/3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</si>
  <si>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</si>
  <si>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</si>
  <si>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</si>
  <si>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</si>
  <si>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</si>
  <si>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видеонаблюдения.</t>
  </si>
  <si>
    <t>Отчет об исполнении договора управления многоквартирного дома 
Байкальская, 244/3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</si>
  <si>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</si>
  <si>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</si>
  <si>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</si>
  <si>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</si>
  <si>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</si>
  <si>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</si>
  <si>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</si>
  <si>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</si>
  <si>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</si>
  <si>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</si>
  <si>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</si>
  <si>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ремонт подъезда 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</si>
  <si>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</si>
  <si>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</si>
  <si>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</si>
  <si>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</si>
  <si>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</si>
  <si>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Приобретение и монтаж грязезащитного покрытия в подъезде (1 этаж).</t>
  </si>
  <si>
    <t>АВР 2/23 от 26.06.2023, Решение, счет №124475 от 13.01.2023</t>
  </si>
  <si>
    <t>АВР 1/23 от 02.02.2023</t>
  </si>
  <si>
    <t>Ремонт подъезда (укладка керамогранита на 1 этаже).</t>
  </si>
  <si>
    <t>АВР 6/23 от 31.12.2023</t>
  </si>
  <si>
    <t>АВР 5/23 от 31.12.2023</t>
  </si>
  <si>
    <t>АВР 4/23 от 27.10.2023, Решение, счет №100923/1 от 10.09.2023</t>
  </si>
  <si>
    <t>АВР 3/23 от 10.07.2023</t>
  </si>
  <si>
    <t xml:space="preserve">  -  ремонт контейнерной площадки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</si>
</sst>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87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9" fillId="3" borderId="0" xfId="24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0" fontId="14" fillId="0" borderId="0" xfId="4" applyFill="1" applyBorder="1" applyAlignment="1">
      <alignment horizontal="center"/>
    </xf>
    <xf numFmtId="0" fontId="0" fillId="0" borderId="0" xfId="0" applyFill="1" applyBorder="1"/>
    <xf numFmtId="0" fontId="27" fillId="0" borderId="0" xfId="5" applyFont="1" applyFill="1" applyBorder="1" applyAlignment="1"/>
    <xf numFmtId="0" fontId="0" fillId="0" borderId="0" xfId="0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7" applyFont="1" applyFill="1" applyBorder="1" applyAlignment="1"/>
    <xf numFmtId="0" fontId="8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7" fillId="0" borderId="0" xfId="34" applyFont="1" applyFill="1" applyBorder="1" applyAlignment="1">
      <alignment wrapText="1"/>
    </xf>
    <xf numFmtId="0" fontId="7" fillId="0" borderId="0" xfId="34" applyFont="1" applyFill="1" applyBorder="1" applyAlignment="1">
      <alignment horizontal="center"/>
    </xf>
    <xf numFmtId="0" fontId="10" fillId="0" borderId="0" xfId="34" applyFont="1" applyFill="1" applyBorder="1" applyAlignment="1">
      <alignment horizontal="center"/>
    </xf>
    <xf numFmtId="4" fontId="10" fillId="0" borderId="0" xfId="34" applyNumberFormat="1" applyFill="1" applyBorder="1" applyAlignment="1"/>
    <xf numFmtId="0" fontId="5" fillId="0" borderId="0" xfId="7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4" fontId="0" fillId="0" borderId="0" xfId="0" applyNumberFormat="1" applyFill="1" applyBorder="1"/>
    <xf numFmtId="0" fontId="19" fillId="0" borderId="0" xfId="0" applyFont="1" applyFill="1" applyBorder="1" applyAlignment="1">
      <alignment horizontal="left"/>
    </xf>
    <xf numFmtId="0" fontId="27" fillId="0" borderId="0" xfId="5" applyFont="1" applyFill="1" applyBorder="1" applyAlignment="1">
      <alignment horizontal="center" vertical="center"/>
    </xf>
    <xf numFmtId="0" fontId="27" fillId="0" borderId="0" xfId="5" applyFont="1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2" fillId="0" borderId="0" xfId="5" applyFont="1" applyFill="1" applyBorder="1"/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12" fillId="0" borderId="0" xfId="5" applyFont="1" applyFill="1" applyBorder="1" applyAlignment="1"/>
    <xf numFmtId="0" fontId="13" fillId="0" borderId="0" xfId="5" applyFill="1" applyBorder="1" applyAlignment="1">
      <alignment horizontal="center"/>
    </xf>
    <xf numFmtId="4" fontId="13" fillId="0" borderId="0" xfId="5" applyNumberFormat="1" applyFill="1" applyBorder="1" applyAlignment="1"/>
    <xf numFmtId="0" fontId="1" fillId="0" borderId="0" xfId="5" applyFont="1" applyFill="1" applyBorder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3" fillId="0" borderId="0" xfId="5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6"/>
    <cellStyle name="Обычный 2 3 2" xfId="29"/>
    <cellStyle name="Обычный 2 3 3" xfId="20"/>
    <cellStyle name="Обычный 2 4" xfId="16"/>
    <cellStyle name="Обычный 2 5" xfId="24"/>
    <cellStyle name="Обычный 2 6" xfId="10"/>
    <cellStyle name="Обычный 3" xfId="2"/>
    <cellStyle name="Обычный 3 2" xfId="7"/>
    <cellStyle name="Обычный 3 2 2" xfId="30"/>
    <cellStyle name="Обычный 3 2 3" xfId="21"/>
    <cellStyle name="Обычный 3 3" xfId="17"/>
    <cellStyle name="Обычный 3 4" xfId="25"/>
    <cellStyle name="Обычный 3 5" xfId="11"/>
    <cellStyle name="Обычный 4" xfId="4"/>
    <cellStyle name="Обычный 4 2" xfId="8"/>
    <cellStyle name="Обычный 4 2 2" xfId="15"/>
    <cellStyle name="Обычный 4 2 3" xfId="31"/>
    <cellStyle name="Обычный 4 2 4" xfId="22"/>
    <cellStyle name="Обычный 4 3" xfId="18"/>
    <cellStyle name="Обычный 4 4" xfId="26"/>
    <cellStyle name="Обычный 4 5" xfId="12"/>
    <cellStyle name="Обычный 5" xfId="5"/>
    <cellStyle name="Обычный 5 2" xfId="9"/>
    <cellStyle name="Обычный 5 2 2" xfId="32"/>
    <cellStyle name="Обычный 5 2 3" xfId="23"/>
    <cellStyle name="Обычный 5 3" xfId="14"/>
    <cellStyle name="Обычный 5 3 2" xfId="35"/>
    <cellStyle name="Обычный 5 4" xfId="19"/>
    <cellStyle name="Обычный 5 5" xfId="27"/>
    <cellStyle name="Обычный 5 6" xfId="13"/>
    <cellStyle name="Обычный 6" xfId="28"/>
    <cellStyle name="Обычный 6 2" xfId="33"/>
    <cellStyle name="Обычный 6 3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6" sqref="A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73" t="s">
        <v>178</v>
      </c>
      <c r="B2" s="173"/>
      <c r="C2" s="173"/>
      <c r="D2" s="173"/>
      <c r="E2" s="173"/>
      <c r="F2" s="173"/>
      <c r="G2" s="173"/>
      <c r="H2" s="173"/>
      <c r="I2" s="173"/>
      <c r="J2" s="17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186</v>
      </c>
      <c r="E4" s="116">
        <v>44927</v>
      </c>
      <c r="K4" s="108"/>
      <c r="L4" s="108"/>
      <c r="M4" s="108"/>
      <c r="N4" s="108"/>
    </row>
    <row r="5" spans="1:18">
      <c r="A5" s="1" t="s">
        <v>0</v>
      </c>
      <c r="E5" s="116">
        <v>45291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67" t="s">
        <v>1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91640.25</v>
      </c>
      <c r="K8" s="108"/>
      <c r="L8" s="174"/>
      <c r="M8" s="108"/>
      <c r="N8" s="108"/>
      <c r="O8" s="69" t="s">
        <v>83</v>
      </c>
      <c r="R8" s="16"/>
    </row>
    <row r="9" spans="1:18" ht="18.75" customHeight="1" outlineLevel="1">
      <c r="A9" s="167" t="s">
        <v>2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08"/>
      <c r="L9" s="174"/>
      <c r="M9" s="108"/>
      <c r="N9" s="108"/>
      <c r="O9" s="69" t="s">
        <v>84</v>
      </c>
    </row>
    <row r="10" spans="1:18" ht="18.75" customHeight="1" outlineLevel="1">
      <c r="A10" s="167" t="s">
        <v>3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0</v>
      </c>
      <c r="K10" s="108"/>
      <c r="L10" s="174"/>
      <c r="M10" s="108"/>
      <c r="N10" s="108"/>
      <c r="O10" s="69" t="s">
        <v>85</v>
      </c>
    </row>
    <row r="11" spans="1:18" outlineLevel="1">
      <c r="A11" s="167" t="s">
        <v>4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672617.85600000003</v>
      </c>
      <c r="K11" s="108"/>
      <c r="L11" s="174"/>
      <c r="M11" s="108"/>
      <c r="N11" s="108"/>
      <c r="O11" s="69" t="s">
        <v>86</v>
      </c>
    </row>
    <row r="12" spans="1:18" ht="18.75" customHeight="1" outlineLevel="1">
      <c r="A12" s="167" t="s">
        <v>5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508194.84</v>
      </c>
      <c r="K12" s="108"/>
      <c r="L12" s="174"/>
      <c r="M12" s="108"/>
      <c r="N12" s="108"/>
      <c r="O12" s="69" t="s">
        <v>87</v>
      </c>
    </row>
    <row r="13" spans="1:18" ht="18.75" customHeight="1" outlineLevel="1">
      <c r="A13" s="167" t="s">
        <v>6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164423.016</v>
      </c>
      <c r="K13" s="108"/>
      <c r="L13" s="174"/>
      <c r="M13" s="108"/>
      <c r="N13" s="108"/>
      <c r="O13" s="69" t="s">
        <v>88</v>
      </c>
    </row>
    <row r="14" spans="1:18" ht="18.75" customHeight="1" outlineLevel="1">
      <c r="A14" s="167" t="s">
        <v>7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08"/>
      <c r="L14" s="174"/>
      <c r="M14" s="108"/>
      <c r="N14" s="108"/>
      <c r="O14" s="69" t="s">
        <v>89</v>
      </c>
    </row>
    <row r="15" spans="1:18" ht="18.75" customHeight="1" outlineLevel="1">
      <c r="A15" s="167" t="s">
        <v>8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603725.68999999994</v>
      </c>
      <c r="K15" s="108"/>
      <c r="L15" s="174"/>
      <c r="M15" s="108"/>
      <c r="N15" s="108"/>
      <c r="O15" s="69" t="s">
        <v>90</v>
      </c>
    </row>
    <row r="16" spans="1:18" ht="18.75" customHeight="1" outlineLevel="1">
      <c r="A16" s="167" t="s">
        <v>9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603725.68999999994</v>
      </c>
      <c r="K16" s="108"/>
      <c r="L16" s="174"/>
      <c r="M16" s="108"/>
      <c r="N16" s="108"/>
      <c r="O16" s="69" t="s">
        <v>91</v>
      </c>
    </row>
    <row r="17" spans="1:23" ht="18.75" customHeight="1" outlineLevel="1">
      <c r="A17" s="167" t="s">
        <v>10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08"/>
      <c r="L17" s="174"/>
      <c r="M17" s="108"/>
      <c r="N17" s="108"/>
      <c r="O17" s="69" t="s">
        <v>92</v>
      </c>
    </row>
    <row r="18" spans="1:23" ht="18.75" customHeight="1" outlineLevel="1">
      <c r="A18" s="167" t="s">
        <v>11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08"/>
      <c r="L18" s="174"/>
      <c r="M18" s="108"/>
      <c r="N18" s="108"/>
      <c r="O18" s="69" t="s">
        <v>93</v>
      </c>
    </row>
    <row r="19" spans="1:23" ht="18.75" customHeight="1" outlineLevel="1">
      <c r="A19" s="167" t="s">
        <v>12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08"/>
      <c r="L19" s="174"/>
      <c r="M19" s="108"/>
      <c r="N19" s="108"/>
      <c r="O19" s="69" t="s">
        <v>94</v>
      </c>
    </row>
    <row r="20" spans="1:23" ht="18.75" customHeight="1" outlineLevel="1">
      <c r="A20" s="167" t="s">
        <v>13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08"/>
      <c r="L20" s="174"/>
      <c r="M20" s="108"/>
      <c r="N20" s="108"/>
      <c r="O20" s="69" t="s">
        <v>95</v>
      </c>
    </row>
    <row r="21" spans="1:23" ht="18.75" customHeight="1" outlineLevel="1">
      <c r="A21" s="167" t="s">
        <v>14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603725.68999999994</v>
      </c>
      <c r="K21" s="108"/>
      <c r="L21" s="174"/>
      <c r="M21" s="108"/>
      <c r="N21" s="108"/>
      <c r="O21" s="69" t="s">
        <v>96</v>
      </c>
    </row>
    <row r="22" spans="1:23" ht="18.75" customHeight="1" outlineLevel="1">
      <c r="A22" s="167" t="s">
        <v>15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22748.083999999915</v>
      </c>
      <c r="K22" s="108"/>
      <c r="L22" s="174"/>
      <c r="M22" s="108"/>
      <c r="N22" s="108"/>
      <c r="O22" s="69" t="s">
        <v>97</v>
      </c>
    </row>
    <row r="23" spans="1:23" ht="18.75" customHeight="1" outlineLevel="1">
      <c r="A23" s="167" t="s">
        <v>16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08"/>
      <c r="L23" s="174"/>
      <c r="M23" s="108"/>
      <c r="N23" s="108"/>
      <c r="O23" s="69" t="s">
        <v>98</v>
      </c>
    </row>
    <row r="24" spans="1:23" ht="18.75" customHeight="1" outlineLevel="1">
      <c r="A24" s="167" t="s">
        <v>17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0</v>
      </c>
      <c r="K24" s="108"/>
      <c r="L24" s="174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6" t="s">
        <v>18</v>
      </c>
      <c r="B27" s="166"/>
      <c r="C27" s="166"/>
      <c r="D27" s="166"/>
      <c r="E27" s="166"/>
      <c r="F27" s="166" t="s">
        <v>19</v>
      </c>
      <c r="G27" s="166"/>
      <c r="H27" s="5" t="s">
        <v>56</v>
      </c>
      <c r="I27" s="166" t="s">
        <v>20</v>
      </c>
      <c r="J27" s="166"/>
      <c r="K27" s="108"/>
      <c r="L27" s="17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63">
        <f>VLOOKUP(A28,ПТО!$A$39:$D$53,2,FALSE)</f>
        <v>106318.08</v>
      </c>
      <c r="G28" s="163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8"/>
      <c r="L28" s="17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8" t="str">
        <f>ПТО!A40</f>
        <v>Работы по содержанию лифта (лифтов)</v>
      </c>
      <c r="B29" s="158"/>
      <c r="C29" s="158"/>
      <c r="D29" s="158"/>
      <c r="E29" s="158"/>
      <c r="F29" s="163">
        <f>VLOOKUP(A29,ПТО!$A$39:$D$53,2,FALSE)</f>
        <v>60800.639999999999</v>
      </c>
      <c r="G29" s="163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8"/>
      <c r="L29" s="175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63">
        <f>VLOOKUP(A30,ПТО!$A$39:$D$53,2,FALSE)</f>
        <v>111301.8</v>
      </c>
      <c r="G30" s="163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8"/>
      <c r="L30" s="17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63">
        <f>VLOOKUP(A31,ПТО!$A$39:$D$53,2,FALSE)</f>
        <v>39869.279999999999</v>
      </c>
      <c r="G31" s="163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8"/>
      <c r="L31" s="17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63" t="e">
        <f>VLOOKUP(A32,ПТО!$A$39:$D$53,2,FALSE)</f>
        <v>#N/A</v>
      </c>
      <c r="G32" s="163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8"/>
      <c r="L32" s="175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63">
        <f>VLOOKUP(A33,ПТО!$A$39:$D$53,2,FALSE)</f>
        <v>11628.6</v>
      </c>
      <c r="G33" s="163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8"/>
      <c r="L33" s="17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63">
        <f>VLOOKUP(A34,ПТО!$A$39:$D$53,2,FALSE)</f>
        <v>47510.879999999997</v>
      </c>
      <c r="G34" s="163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8"/>
      <c r="L34" s="17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8"/>
      <c r="C35" s="158"/>
      <c r="D35" s="158"/>
      <c r="E35" s="158"/>
      <c r="F35" s="163">
        <f>VLOOKUP(A35,ПТО!$A$39:$D$53,2,FALSE)</f>
        <v>132565.32</v>
      </c>
      <c r="G35" s="163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8"/>
      <c r="L35" s="175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63" t="e">
        <f>VLOOKUP(A36,ПТО!$A$39:$D$53,2,FALSE)</f>
        <v>#N/A</v>
      </c>
      <c r="G36" s="163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8"/>
      <c r="L36" s="175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63" t="e">
        <f>VLOOKUP(A37,ПТО!$A$39:$D$53,2,FALSE)</f>
        <v>#N/A</v>
      </c>
      <c r="G37" s="163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8"/>
      <c r="L37" s="175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63" t="e">
        <f>VLOOKUP(A38,ПТО!$A$39:$D$53,2,FALSE)</f>
        <v>#N/A</v>
      </c>
      <c r="G38" s="163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8"/>
      <c r="L38" s="175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63" t="e">
        <f>VLOOKUP(A39,ПТО!$A$39:$D$53,2,FALSE)</f>
        <v>#N/A</v>
      </c>
      <c r="G39" s="163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8"/>
      <c r="L39" s="175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63" t="e">
        <f>VLOOKUP(A40,ПТО!$A$39:$D$53,2,FALSE)</f>
        <v>#N/A</v>
      </c>
      <c r="G40" s="163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8"/>
      <c r="L40" s="175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63" t="e">
        <f>VLOOKUP(A41,ПТО!$A$39:$D$53,2,FALSE)</f>
        <v>#N/A</v>
      </c>
      <c r="G41" s="163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8"/>
      <c r="L41" s="175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63" t="e">
        <f>VLOOKUP(A42,ПТО!$A$39:$D$53,2,FALSE)</f>
        <v>#N/A</v>
      </c>
      <c r="G42" s="163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8"/>
      <c r="L42" s="175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63">
        <f>VLOOKUP(A43,ПТО!$A$2:$D$31,4,FALSE)</f>
        <v>8100</v>
      </c>
      <c r="G43" s="163"/>
      <c r="H43" s="19" t="str">
        <f>VLOOKUP(A43,ПТО!$A$2:$D$31,2,FALSE)</f>
        <v>ежегодно</v>
      </c>
      <c r="I43" s="159">
        <f>VLOOKUP(A43,ПТО!$A$2:$D$31,3,FALSE)</f>
        <v>1</v>
      </c>
      <c r="J43" s="159"/>
      <c r="K43" s="108"/>
      <c r="L43" s="175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8" t="str">
        <f>ПТО!A3</f>
        <v>Техническое обслуживание охранной сигнализации.</v>
      </c>
      <c r="B44" s="158"/>
      <c r="C44" s="158"/>
      <c r="D44" s="158"/>
      <c r="E44" s="158"/>
      <c r="F44" s="163">
        <f>VLOOKUP(A44,ПТО!$A$2:$D$31,4,FALSE)</f>
        <v>12000</v>
      </c>
      <c r="G44" s="163"/>
      <c r="H44" s="25" t="str">
        <f>VLOOKUP(A44,ПТО!$A$2:$D$31,2,FALSE)</f>
        <v>ежемесячно</v>
      </c>
      <c r="I44" s="159">
        <f>VLOOKUP(A44,ПТО!$A$2:$D$31,3,FALSE)</f>
        <v>12</v>
      </c>
      <c r="J44" s="159"/>
      <c r="K44" s="108"/>
      <c r="L44" s="175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8" t="str">
        <f>ПТО!A4</f>
        <v>Техническое обслуживание видеонаблюдения.</v>
      </c>
      <c r="B45" s="158"/>
      <c r="C45" s="158"/>
      <c r="D45" s="158"/>
      <c r="E45" s="158"/>
      <c r="F45" s="163">
        <f>VLOOKUP(A45,ПТО!$A$2:$D$31,4,FALSE)</f>
        <v>30000</v>
      </c>
      <c r="G45" s="163"/>
      <c r="H45" s="25" t="str">
        <f>VLOOKUP(A45,ПТО!$A$2:$D$31,2,FALSE)</f>
        <v>ежемесячно</v>
      </c>
      <c r="I45" s="159">
        <f>VLOOKUP(A45,ПТО!$A$2:$D$31,3,FALSE)</f>
        <v>12</v>
      </c>
      <c r="J45" s="159"/>
      <c r="K45" s="108"/>
      <c r="L45" s="175"/>
      <c r="M45" s="115"/>
      <c r="N45" s="108"/>
      <c r="O45" s="23" t="str">
        <f t="shared" si="1"/>
        <v>Техническое обслуживание видеонаблюдения.</v>
      </c>
      <c r="R45" s="22" t="s">
        <v>71</v>
      </c>
    </row>
    <row r="46" spans="1:18" ht="51" customHeight="1" outlineLevel="1">
      <c r="A46" s="158" t="str">
        <f>ПТО!A5</f>
        <v>Механизированная уборка и вывоз снега с придомовой территории.</v>
      </c>
      <c r="B46" s="158"/>
      <c r="C46" s="158"/>
      <c r="D46" s="158"/>
      <c r="E46" s="158"/>
      <c r="F46" s="163">
        <f>VLOOKUP(A46,ПТО!$A$2:$D$31,4,FALSE)</f>
        <v>12391.94</v>
      </c>
      <c r="G46" s="163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8"/>
      <c r="L46" s="175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71</v>
      </c>
    </row>
    <row r="47" spans="1:18" ht="51" customHeight="1" outlineLevel="1">
      <c r="A47" s="158" t="str">
        <f>ПТО!A6</f>
        <v>Приобретение и монтаж грязезащитного покрытия в подъезде (1 этаж).</v>
      </c>
      <c r="B47" s="158"/>
      <c r="C47" s="158"/>
      <c r="D47" s="158"/>
      <c r="E47" s="158"/>
      <c r="F47" s="163">
        <f>VLOOKUP(A47,ПТО!$A$2:$D$31,4,FALSE)</f>
        <v>14133.85</v>
      </c>
      <c r="G47" s="163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8"/>
      <c r="L47" s="175"/>
      <c r="M47" s="115"/>
      <c r="N47" s="108"/>
      <c r="O47" s="23" t="str">
        <f t="shared" si="1"/>
        <v>Приобретение и монтаж грязезащитного покрытия в подъезде (1 этаж).</v>
      </c>
      <c r="R47" s="22" t="s">
        <v>71</v>
      </c>
    </row>
    <row r="48" spans="1:18" ht="51" customHeight="1" outlineLevel="1">
      <c r="A48" s="158" t="str">
        <f>ПТО!A7</f>
        <v>Ремонт подъезда (укладка керамогранита на 1 этаже).</v>
      </c>
      <c r="B48" s="158"/>
      <c r="C48" s="158"/>
      <c r="D48" s="158"/>
      <c r="E48" s="158"/>
      <c r="F48" s="163">
        <f>VLOOKUP(A48,ПТО!$A$2:$D$31,4,FALSE)</f>
        <v>227623</v>
      </c>
      <c r="G48" s="163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8"/>
      <c r="L48" s="175"/>
      <c r="M48" s="115"/>
      <c r="N48" s="108"/>
      <c r="O48" s="23" t="str">
        <f t="shared" si="1"/>
        <v>Ремонт подъезда (укладка керамогранита на 1 этаже).</v>
      </c>
      <c r="R48" s="22" t="s">
        <v>71</v>
      </c>
    </row>
    <row r="49" spans="1:18" ht="51" hidden="1" customHeight="1" outlineLevel="1">
      <c r="A49" s="158">
        <f>ПТО!A8</f>
        <v>0</v>
      </c>
      <c r="B49" s="158"/>
      <c r="C49" s="158"/>
      <c r="D49" s="158"/>
      <c r="E49" s="158"/>
      <c r="F49" s="163" t="e">
        <f>VLOOKUP(A49,ПТО!$A$2:$D$31,4,FALSE)</f>
        <v>#N/A</v>
      </c>
      <c r="G49" s="163"/>
      <c r="H49" s="25" t="e">
        <f>VLOOKUP(A49,ПТО!$A$2:$D$31,2,FALSE)</f>
        <v>#N/A</v>
      </c>
      <c r="I49" s="159" t="e">
        <f>VLOOKUP(A49,ПТО!$A$2:$D$31,3,FALSE)</f>
        <v>#N/A</v>
      </c>
      <c r="J49" s="159"/>
      <c r="K49" s="108"/>
      <c r="L49" s="175"/>
      <c r="M49" s="115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58">
        <f>ПТО!A9</f>
        <v>0</v>
      </c>
      <c r="B50" s="158"/>
      <c r="C50" s="158"/>
      <c r="D50" s="158"/>
      <c r="E50" s="158"/>
      <c r="F50" s="163" t="e">
        <f>VLOOKUP(A50,ПТО!$A$2:$D$31,4,FALSE)</f>
        <v>#N/A</v>
      </c>
      <c r="G50" s="163"/>
      <c r="H50" s="25" t="e">
        <f>VLOOKUP(A50,ПТО!$A$2:$D$31,2,FALSE)</f>
        <v>#N/A</v>
      </c>
      <c r="I50" s="159" t="e">
        <f>VLOOKUP(A50,ПТО!$A$2:$D$31,3,FALSE)</f>
        <v>#N/A</v>
      </c>
      <c r="J50" s="159"/>
      <c r="K50" s="108"/>
      <c r="L50" s="175"/>
      <c r="M50" s="115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63" t="e">
        <f>VLOOKUP(A51,ПТО!$A$2:$D$31,4,FALSE)</f>
        <v>#N/A</v>
      </c>
      <c r="G51" s="163"/>
      <c r="H51" s="25" t="e">
        <f>VLOOKUP(A51,ПТО!$A$2:$D$31,2,FALSE)</f>
        <v>#N/A</v>
      </c>
      <c r="I51" s="159" t="e">
        <f>VLOOKUP(A51,ПТО!$A$2:$D$31,3,FALSE)</f>
        <v>#N/A</v>
      </c>
      <c r="J51" s="159"/>
      <c r="K51" s="108"/>
      <c r="L51" s="175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63" t="e">
        <f>VLOOKUP(A52,ПТО!$A$2:$D$31,4,FALSE)</f>
        <v>#N/A</v>
      </c>
      <c r="G52" s="163"/>
      <c r="H52" s="25" t="e">
        <f>VLOOKUP(A52,ПТО!$A$2:$D$31,2,FALSE)</f>
        <v>#N/A</v>
      </c>
      <c r="I52" s="159" t="e">
        <f>VLOOKUP(A52,ПТО!$A$2:$D$31,3,FALSE)</f>
        <v>#N/A</v>
      </c>
      <c r="J52" s="159"/>
      <c r="K52" s="108"/>
      <c r="L52" s="175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63" t="e">
        <f>VLOOKUP(A53,ПТО!$A$2:$D$31,4,FALSE)</f>
        <v>#N/A</v>
      </c>
      <c r="G53" s="163"/>
      <c r="H53" s="25" t="e">
        <f>VLOOKUP(A53,ПТО!$A$2:$D$31,2,FALSE)</f>
        <v>#N/A</v>
      </c>
      <c r="I53" s="159" t="e">
        <f>VLOOKUP(A53,ПТО!$A$2:$D$31,3,FALSE)</f>
        <v>#N/A</v>
      </c>
      <c r="J53" s="159"/>
      <c r="K53" s="108"/>
      <c r="L53" s="175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63" t="e">
        <f>VLOOKUP(A54,ПТО!$A$2:$D$31,4,FALSE)</f>
        <v>#N/A</v>
      </c>
      <c r="G54" s="163"/>
      <c r="H54" s="25" t="e">
        <f>VLOOKUP(A54,ПТО!$A$2:$D$31,2,FALSE)</f>
        <v>#N/A</v>
      </c>
      <c r="I54" s="159" t="e">
        <f>VLOOKUP(A54,ПТО!$A$2:$D$31,3,FALSE)</f>
        <v>#N/A</v>
      </c>
      <c r="J54" s="159"/>
      <c r="K54" s="108"/>
      <c r="L54" s="175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63" t="e">
        <f>VLOOKUP(A55,ПТО!$A$2:$D$31,4,FALSE)</f>
        <v>#N/A</v>
      </c>
      <c r="G55" s="163"/>
      <c r="H55" s="25" t="e">
        <f>VLOOKUP(A55,ПТО!$A$2:$D$31,2,FALSE)</f>
        <v>#N/A</v>
      </c>
      <c r="I55" s="159" t="e">
        <f>VLOOKUP(A55,ПТО!$A$2:$D$31,3,FALSE)</f>
        <v>#N/A</v>
      </c>
      <c r="J55" s="159"/>
      <c r="K55" s="108"/>
      <c r="L55" s="175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63" t="e">
        <f>VLOOKUP(A56,ПТО!$A$2:$D$31,4,FALSE)</f>
        <v>#N/A</v>
      </c>
      <c r="G56" s="163"/>
      <c r="H56" s="25" t="e">
        <f>VLOOKUP(A56,ПТО!$A$2:$D$31,2,FALSE)</f>
        <v>#N/A</v>
      </c>
      <c r="I56" s="159" t="e">
        <f>VLOOKUP(A56,ПТО!$A$2:$D$31,3,FALSE)</f>
        <v>#N/A</v>
      </c>
      <c r="J56" s="159"/>
      <c r="K56" s="108"/>
      <c r="L56" s="175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63" t="e">
        <f>VLOOKUP(A57,ПТО!$A$2:$D$31,4,FALSE)</f>
        <v>#N/A</v>
      </c>
      <c r="G57" s="163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8"/>
      <c r="L57" s="175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63" t="e">
        <f>VLOOKUP(A58,ПТО!$A$2:$D$31,4,FALSE)</f>
        <v>#N/A</v>
      </c>
      <c r="G58" s="163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8"/>
      <c r="L58" s="175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63" t="e">
        <f>VLOOKUP(A59,ПТО!$A$2:$D$31,4,FALSE)</f>
        <v>#N/A</v>
      </c>
      <c r="G59" s="163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8"/>
      <c r="L59" s="175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63" t="e">
        <f>VLOOKUP(A60,ПТО!$A$2:$D$31,4,FALSE)</f>
        <v>#N/A</v>
      </c>
      <c r="G60" s="163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8"/>
      <c r="L60" s="175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63" t="e">
        <f>VLOOKUP(A61,ПТО!$A$2:$D$31,4,FALSE)</f>
        <v>#N/A</v>
      </c>
      <c r="G61" s="163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8"/>
      <c r="L61" s="175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63" t="e">
        <f>VLOOKUP(A62,ПТО!$A$2:$D$31,4,FALSE)</f>
        <v>#N/A</v>
      </c>
      <c r="G62" s="163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8"/>
      <c r="L62" s="175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63" t="e">
        <f>VLOOKUP(A63,ПТО!$A$2:$D$31,4,FALSE)</f>
        <v>#N/A</v>
      </c>
      <c r="G63" s="163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8"/>
      <c r="L63" s="175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63" t="e">
        <f>VLOOKUP(A64,ПТО!$A$2:$D$31,4,FALSE)</f>
        <v>#N/A</v>
      </c>
      <c r="G64" s="163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8"/>
      <c r="L64" s="175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63" t="e">
        <f>VLOOKUP(A65,ПТО!$A$2:$D$31,4,FALSE)</f>
        <v>#N/A</v>
      </c>
      <c r="G65" s="163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8"/>
      <c r="L65" s="175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63" t="e">
        <f>VLOOKUP(A66,ПТО!$A$2:$D$31,4,FALSE)</f>
        <v>#N/A</v>
      </c>
      <c r="G66" s="163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8"/>
      <c r="L66" s="175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63" t="e">
        <f>VLOOKUP(A67,ПТО!$A$2:$D$31,4,FALSE)</f>
        <v>#N/A</v>
      </c>
      <c r="G67" s="163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8"/>
      <c r="L67" s="175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63" t="e">
        <f>VLOOKUP(A68,ПТО!$A$2:$D$31,4,FALSE)</f>
        <v>#N/A</v>
      </c>
      <c r="G68" s="163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8"/>
      <c r="L68" s="175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63" t="e">
        <f>VLOOKUP(A69,ПТО!$A$2:$D$31,4,FALSE)</f>
        <v>#N/A</v>
      </c>
      <c r="G69" s="163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8"/>
      <c r="L69" s="175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63" t="e">
        <f>VLOOKUP(A70,ПТО!$A$2:$D$31,4,FALSE)</f>
        <v>#N/A</v>
      </c>
      <c r="G70" s="163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8"/>
      <c r="L70" s="175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63" t="e">
        <f>VLOOKUP(A71,ПТО!$A$2:$D$31,4,FALSE)</f>
        <v>#N/A</v>
      </c>
      <c r="G71" s="163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63" t="e">
        <f>VLOOKUP(A72,ПТО!$A$2:$D$31,4,FALSE)</f>
        <v>#N/A</v>
      </c>
      <c r="G72" s="163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8"/>
      <c r="L72" s="175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6" t="s">
        <v>26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08"/>
      <c r="L75" s="178"/>
      <c r="M75" s="108"/>
      <c r="N75" s="108"/>
      <c r="O75" s="69" t="s">
        <v>100</v>
      </c>
    </row>
    <row r="76" spans="1:16384" ht="18.75" customHeight="1" outlineLevel="1">
      <c r="A76" s="176" t="s">
        <v>27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08"/>
      <c r="L76" s="178"/>
      <c r="M76" s="108"/>
      <c r="N76" s="108"/>
      <c r="O76" s="69" t="s">
        <v>101</v>
      </c>
    </row>
    <row r="77" spans="1:16384" ht="21.75" customHeight="1" outlineLevel="1">
      <c r="A77" s="176" t="s">
        <v>28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08"/>
      <c r="L77" s="178"/>
      <c r="M77" s="108"/>
      <c r="N77" s="108"/>
      <c r="O77" s="69" t="s">
        <v>102</v>
      </c>
    </row>
    <row r="78" spans="1:16384" ht="18.75" customHeight="1" outlineLevel="1">
      <c r="A78" s="176" t="s">
        <v>29</v>
      </c>
      <c r="B78" s="176"/>
      <c r="C78" s="176"/>
      <c r="D78" s="176"/>
      <c r="E78" s="176"/>
      <c r="F78" s="176"/>
      <c r="G78" s="176"/>
      <c r="H78" s="176"/>
      <c r="I78" s="176"/>
      <c r="J78" s="96">
        <f>VLOOKUP(O78,АО,3,FALSE)</f>
        <v>0</v>
      </c>
      <c r="K78" s="108"/>
      <c r="L78" s="178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56" t="s">
        <v>1</v>
      </c>
      <c r="B81" s="156"/>
      <c r="C81" s="156"/>
      <c r="D81" s="156"/>
      <c r="E81" s="156"/>
      <c r="F81" s="156"/>
      <c r="G81" s="156"/>
      <c r="H81" s="156"/>
      <c r="I81" s="156"/>
      <c r="J81" s="96">
        <f t="shared" ref="J81:J90" si="2">VLOOKUP(O81,АО,3,FALSE)</f>
        <v>22426.5</v>
      </c>
      <c r="K81" s="108"/>
      <c r="L81" s="164"/>
      <c r="M81" s="108"/>
      <c r="N81" s="108"/>
      <c r="O81" s="69" t="s">
        <v>104</v>
      </c>
    </row>
    <row r="82" spans="1:15" outlineLevel="1">
      <c r="A82" s="156" t="s">
        <v>2</v>
      </c>
      <c r="B82" s="156"/>
      <c r="C82" s="156"/>
      <c r="D82" s="156"/>
      <c r="E82" s="156"/>
      <c r="F82" s="156"/>
      <c r="G82" s="156"/>
      <c r="H82" s="156"/>
      <c r="I82" s="156"/>
      <c r="J82" s="96">
        <f t="shared" si="2"/>
        <v>0</v>
      </c>
      <c r="K82" s="108"/>
      <c r="L82" s="164"/>
      <c r="M82" s="108"/>
      <c r="N82" s="108"/>
      <c r="O82" s="69" t="s">
        <v>105</v>
      </c>
    </row>
    <row r="83" spans="1:15" outlineLevel="1">
      <c r="A83" s="170" t="s">
        <v>3</v>
      </c>
      <c r="B83" s="171"/>
      <c r="C83" s="171"/>
      <c r="D83" s="171"/>
      <c r="E83" s="171"/>
      <c r="F83" s="171"/>
      <c r="G83" s="171"/>
      <c r="H83" s="171"/>
      <c r="I83" s="172"/>
      <c r="J83" s="96">
        <f t="shared" si="2"/>
        <v>0</v>
      </c>
      <c r="K83" s="108"/>
      <c r="L83" s="164"/>
      <c r="M83" s="108"/>
      <c r="N83" s="108"/>
      <c r="O83" s="69" t="s">
        <v>106</v>
      </c>
    </row>
    <row r="84" spans="1:15" outlineLevel="1">
      <c r="A84" s="170" t="s">
        <v>15</v>
      </c>
      <c r="B84" s="171"/>
      <c r="C84" s="171"/>
      <c r="D84" s="171"/>
      <c r="E84" s="171"/>
      <c r="F84" s="171"/>
      <c r="G84" s="171"/>
      <c r="H84" s="171"/>
      <c r="I84" s="172"/>
      <c r="J84" s="96">
        <f t="shared" si="2"/>
        <v>2242.37</v>
      </c>
      <c r="K84" s="108"/>
      <c r="L84" s="164"/>
      <c r="M84" s="108"/>
      <c r="N84" s="108"/>
      <c r="O84" s="69" t="s">
        <v>107</v>
      </c>
    </row>
    <row r="85" spans="1:15" outlineLevel="1">
      <c r="A85" s="170" t="s">
        <v>16</v>
      </c>
      <c r="B85" s="171"/>
      <c r="C85" s="171"/>
      <c r="D85" s="171"/>
      <c r="E85" s="171"/>
      <c r="F85" s="171"/>
      <c r="G85" s="171"/>
      <c r="H85" s="171"/>
      <c r="I85" s="172"/>
      <c r="J85" s="96">
        <f t="shared" si="2"/>
        <v>0</v>
      </c>
      <c r="K85" s="108"/>
      <c r="L85" s="164"/>
      <c r="M85" s="108"/>
      <c r="N85" s="108"/>
      <c r="O85" s="69" t="s">
        <v>108</v>
      </c>
    </row>
    <row r="86" spans="1:15" outlineLevel="1">
      <c r="A86" s="170" t="s">
        <v>17</v>
      </c>
      <c r="B86" s="171"/>
      <c r="C86" s="171"/>
      <c r="D86" s="171"/>
      <c r="E86" s="171"/>
      <c r="F86" s="171"/>
      <c r="G86" s="171"/>
      <c r="H86" s="171"/>
      <c r="I86" s="172"/>
      <c r="J86" s="96">
        <f t="shared" si="2"/>
        <v>0</v>
      </c>
      <c r="K86" s="108"/>
      <c r="L86" s="164"/>
      <c r="M86" s="108"/>
      <c r="N86" s="108"/>
      <c r="O86" s="69" t="s">
        <v>109</v>
      </c>
    </row>
    <row r="87" spans="1:15" ht="18.75" customHeight="1" outlineLevel="1">
      <c r="A87" s="170" t="s">
        <v>26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08"/>
      <c r="L87" s="164"/>
      <c r="M87" s="108"/>
      <c r="N87" s="108"/>
      <c r="O87" s="69" t="s">
        <v>110</v>
      </c>
    </row>
    <row r="88" spans="1:15" ht="18.75" customHeight="1" outlineLevel="1">
      <c r="A88" s="170" t="s">
        <v>27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08"/>
      <c r="L88" s="164"/>
      <c r="M88" s="108"/>
      <c r="N88" s="108"/>
      <c r="O88" s="69" t="s">
        <v>111</v>
      </c>
    </row>
    <row r="89" spans="1:15" ht="18.75" customHeight="1" outlineLevel="1">
      <c r="A89" s="170" t="s">
        <v>28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08"/>
      <c r="L89" s="164"/>
      <c r="M89" s="108"/>
      <c r="N89" s="108"/>
      <c r="O89" s="69" t="s">
        <v>112</v>
      </c>
    </row>
    <row r="90" spans="1:15" ht="18.75" customHeight="1" outlineLevel="1">
      <c r="A90" s="170" t="s">
        <v>29</v>
      </c>
      <c r="B90" s="171"/>
      <c r="C90" s="171"/>
      <c r="D90" s="171"/>
      <c r="E90" s="171"/>
      <c r="F90" s="171"/>
      <c r="G90" s="171"/>
      <c r="H90" s="171"/>
      <c r="I90" s="172"/>
      <c r="J90" s="96">
        <f t="shared" si="2"/>
        <v>0</v>
      </c>
      <c r="K90" s="108"/>
      <c r="L90" s="164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9" t="s">
        <v>47</v>
      </c>
      <c r="B93" s="179"/>
      <c r="C93" s="179"/>
      <c r="D93" s="180" t="s">
        <v>48</v>
      </c>
      <c r="E93" s="180"/>
      <c r="F93" s="10" t="s">
        <v>49</v>
      </c>
      <c r="G93" s="179" t="s">
        <v>50</v>
      </c>
      <c r="H93" s="179"/>
      <c r="I93" s="179"/>
      <c r="J93" s="179"/>
      <c r="K93" s="108"/>
      <c r="L93" s="108"/>
      <c r="M93" s="108"/>
      <c r="N93" s="108"/>
    </row>
    <row r="94" spans="1:15" outlineLevel="1">
      <c r="A94" s="160" t="str">
        <f>IF(VLOOKUP("эл",АО,3,FALSE)&gt;0,"Электроснабжение",0)</f>
        <v>Электроснабжение</v>
      </c>
      <c r="B94" s="160"/>
      <c r="C94" s="160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2">
        <f>VLOOKUP("эл",АО,5,FALSE)</f>
        <v>158791.54999999999</v>
      </c>
      <c r="H94" s="161"/>
      <c r="I94" s="161"/>
      <c r="J94" s="161"/>
      <c r="K94" s="1" t="str">
        <f>VLOOKUP("эл",АО,2,FALSE)</f>
        <v>Электроснабжение</v>
      </c>
      <c r="L94" s="165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116758.49</v>
      </c>
      <c r="L95" s="165"/>
      <c r="O95" s="1" t="s">
        <v>114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144064.43</v>
      </c>
      <c r="L96" s="165"/>
      <c r="O96" s="1" t="s">
        <v>115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14727.119999999995</v>
      </c>
      <c r="L97" s="165"/>
      <c r="O97" s="1" t="s">
        <v>116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158791.54999999999</v>
      </c>
      <c r="L98" s="165"/>
      <c r="O98" s="1" t="s">
        <v>117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158791.54999999999</v>
      </c>
      <c r="L99" s="165"/>
      <c r="O99" s="1" t="s">
        <v>118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65"/>
      <c r="O100" s="1" t="s">
        <v>119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65"/>
      <c r="O101" s="1" t="s">
        <v>120</v>
      </c>
    </row>
    <row r="102" spans="1:15" ht="28.5" customHeight="1" outlineLevel="1">
      <c r="A102" s="160" t="str">
        <f>IF(VLOOKUP("хвс",АО,3,FALSE)&gt;0,"Холодное водоснабжение",0)</f>
        <v>Холодное водоснабжение</v>
      </c>
      <c r="B102" s="160"/>
      <c r="C102" s="160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2">
        <f>VLOOKUP("хвс",АО,5,FALSE)</f>
        <v>89629.3</v>
      </c>
      <c r="H102" s="161"/>
      <c r="I102" s="161"/>
      <c r="J102" s="161"/>
      <c r="L102" s="165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6151.63</v>
      </c>
      <c r="L103" s="165"/>
      <c r="O103" s="1" t="s">
        <v>123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86068.57</v>
      </c>
      <c r="L104" s="165"/>
      <c r="O104" s="1" t="s">
        <v>124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3560.7299999999959</v>
      </c>
      <c r="L105" s="165"/>
      <c r="O105" s="1" t="s">
        <v>125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89629.3</v>
      </c>
      <c r="L106" s="165"/>
      <c r="O106" s="1" t="s">
        <v>126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89629.3</v>
      </c>
      <c r="L107" s="165"/>
      <c r="O107" s="1" t="s">
        <v>127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65"/>
      <c r="O108" s="1" t="s">
        <v>128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65"/>
      <c r="O109" s="1" t="s">
        <v>129</v>
      </c>
    </row>
    <row r="110" spans="1:15" ht="27" customHeight="1" outlineLevel="1">
      <c r="A110" s="160" t="str">
        <f>IF(VLOOKUP("воо",АО,3,FALSE)&gt;0,"Водоотведение",0)</f>
        <v>Водоотведение</v>
      </c>
      <c r="B110" s="160"/>
      <c r="C110" s="160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2">
        <f>VLOOKUP("воо",АО,5,FALSE)</f>
        <v>108718.53</v>
      </c>
      <c r="H110" s="161"/>
      <c r="I110" s="161"/>
      <c r="J110" s="161"/>
      <c r="L110" s="165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6138.82</v>
      </c>
      <c r="L111" s="165"/>
      <c r="O111" s="1" t="s">
        <v>131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104825.02</v>
      </c>
      <c r="L112" s="165"/>
      <c r="O112" s="1" t="s">
        <v>132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3893.5099999999948</v>
      </c>
      <c r="L113" s="165"/>
      <c r="O113" s="1" t="s">
        <v>133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108718.53</v>
      </c>
      <c r="L114" s="165"/>
      <c r="O114" s="1" t="s">
        <v>134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108718.53</v>
      </c>
      <c r="L115" s="165"/>
      <c r="O115" s="1" t="s">
        <v>135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65"/>
      <c r="O116" s="1" t="s">
        <v>136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65"/>
      <c r="O117" s="1" t="s">
        <v>137</v>
      </c>
    </row>
    <row r="118" spans="1:15" ht="32.25" customHeight="1" outlineLevel="1">
      <c r="A118" s="160" t="str">
        <f>IF(VLOOKUP("тко",АО,3,FALSE)&gt;0,"Обращение с ТКО",0)</f>
        <v>Обращение с ТКО</v>
      </c>
      <c r="B118" s="160"/>
      <c r="C118" s="160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2">
        <f>VLOOKUP("тко",АО,5,FALSE)</f>
        <v>94755.839999999997</v>
      </c>
      <c r="H118" s="161"/>
      <c r="I118" s="161"/>
      <c r="J118" s="161"/>
      <c r="L118" s="47"/>
    </row>
    <row r="119" spans="1:15" ht="32.25" customHeight="1" outlineLevel="2">
      <c r="A119" s="156" t="str">
        <f t="shared" ref="A119:A125" si="8">IF(VLOOKUP("тко",АО,3,FALSE)&gt;0,VLOOKUP(O119,АО,2,FALSE),0)</f>
        <v>Общий объем потребления, нат. показ.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175.34</v>
      </c>
      <c r="L119" s="47"/>
      <c r="O119" s="1" t="s">
        <v>139</v>
      </c>
    </row>
    <row r="120" spans="1:15" ht="32.25" customHeight="1" outlineLevel="2">
      <c r="A120" s="156" t="str">
        <f t="shared" si="8"/>
        <v>Оплачено потребителями, руб.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92268.33</v>
      </c>
      <c r="L120" s="47"/>
      <c r="O120" s="1" t="s">
        <v>140</v>
      </c>
    </row>
    <row r="121" spans="1:15" ht="32.25" customHeight="1" outlineLevel="2">
      <c r="A121" s="156" t="str">
        <f t="shared" si="8"/>
        <v>Задолженность потребителей, руб.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2487.5099999999948</v>
      </c>
      <c r="L121" s="47"/>
      <c r="O121" s="1" t="s">
        <v>141</v>
      </c>
    </row>
    <row r="122" spans="1:15" ht="32.25" customHeight="1" outlineLevel="2">
      <c r="A122" s="156" t="str">
        <f t="shared" si="8"/>
        <v>Начислено поставщиком (поставщиками) коммунального ресурса, руб.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94755.839999999997</v>
      </c>
      <c r="L122" s="47"/>
      <c r="O122" s="1" t="s">
        <v>142</v>
      </c>
    </row>
    <row r="123" spans="1:15" ht="32.25" customHeight="1" outlineLevel="2">
      <c r="A123" s="156" t="str">
        <f t="shared" si="8"/>
        <v>Оплачено поставщику (поставщикам) коммунального ресурса, руб.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94755.839999999997</v>
      </c>
      <c r="L123" s="47"/>
      <c r="O123" s="1" t="s">
        <v>143</v>
      </c>
    </row>
    <row r="124" spans="1:15" ht="32.25" customHeight="1" outlineLevel="2">
      <c r="A124" s="156" t="str">
        <f t="shared" si="8"/>
        <v>Задолженность перед поставщиком (поставщиками) коммунального ресурса, руб.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56" t="str">
        <f t="shared" si="8"/>
        <v>Размер пени и штрафов, уплаченных поставщику (поставщикам) коммунального ресурса, руб.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0">
        <f>IF(VLOOKUP("гвс",АО,3,FALSE)&gt;0,"Горячее водоснабжение",0)</f>
        <v>0</v>
      </c>
      <c r="B126" s="160"/>
      <c r="C126" s="160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2">
        <f>VLOOKUP("гвс",АО,5,FALSE)</f>
        <v>0</v>
      </c>
      <c r="H126" s="161"/>
      <c r="I126" s="161"/>
      <c r="J126" s="161"/>
      <c r="L126" s="47"/>
    </row>
    <row r="127" spans="1:15" ht="32.25" hidden="1" customHeight="1" outlineLevel="2">
      <c r="A127" s="156">
        <f t="shared" ref="A127:A133" si="10">IF(VLOOKUP("гвс",АО,3,FALSE)&gt;0,VLOOKUP(O127,АО,2,FALSE),0)</f>
        <v>0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6">
        <f t="shared" si="10"/>
        <v>0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6">
        <f t="shared" si="10"/>
        <v>0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6">
        <f t="shared" si="10"/>
        <v>0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6">
        <f t="shared" si="10"/>
        <v>0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6">
        <f t="shared" si="10"/>
        <v>0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6">
        <f t="shared" si="10"/>
        <v>0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0">
        <f>IF(VLOOKUP("отопление",АО,3,FALSE)&gt;0,"Отопление",0)</f>
        <v>0</v>
      </c>
      <c r="B134" s="160"/>
      <c r="C134" s="160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7"/>
      <c r="O141" s="1" t="s">
        <v>161</v>
      </c>
    </row>
    <row r="143" spans="1:15">
      <c r="A143" s="11" t="s">
        <v>43</v>
      </c>
    </row>
    <row r="144" spans="1:15" ht="18.75" customHeight="1" outlineLevel="1">
      <c r="A144" s="156" t="s">
        <v>44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171</v>
      </c>
    </row>
    <row r="145" spans="1:15" ht="18.75" customHeight="1" outlineLevel="1">
      <c r="A145" s="156" t="s">
        <v>45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56" t="s">
        <v>174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24500</v>
      </c>
      <c r="O146" t="s">
        <v>173</v>
      </c>
    </row>
    <row r="149" spans="1:15" ht="52.5" customHeight="1">
      <c r="A149" s="181" t="s">
        <v>185</v>
      </c>
      <c r="B149" s="181"/>
      <c r="C149" s="181"/>
      <c r="D149" s="181"/>
      <c r="E149" s="181"/>
      <c r="F149" s="181"/>
      <c r="G149" s="181"/>
      <c r="H149" s="181"/>
      <c r="I149" s="181"/>
      <c r="J149" s="181"/>
    </row>
    <row r="151" spans="1:15">
      <c r="A151" s="1" t="s">
        <v>186</v>
      </c>
      <c r="E151" s="3">
        <v>44927</v>
      </c>
    </row>
    <row r="152" spans="1:15">
      <c r="A152" s="1" t="s">
        <v>0</v>
      </c>
      <c r="E152" s="3">
        <v>45291</v>
      </c>
    </row>
    <row r="154" spans="1:15" ht="39.75" customHeight="1">
      <c r="A154" s="183" t="s">
        <v>198</v>
      </c>
      <c r="B154" s="183"/>
      <c r="C154" s="183"/>
      <c r="D154" s="183"/>
      <c r="E154" s="27">
        <f>ПТО!G1</f>
        <v>-400302.43</v>
      </c>
    </row>
    <row r="155" spans="1:15" ht="34.5" customHeight="1">
      <c r="A155" s="182" t="s">
        <v>199</v>
      </c>
      <c r="B155" s="182"/>
      <c r="C155" s="182"/>
      <c r="D155" s="182"/>
      <c r="E155" s="28">
        <f>J13</f>
        <v>164423.016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6" t="s">
        <v>18</v>
      </c>
      <c r="B157" s="166"/>
      <c r="C157" s="166"/>
      <c r="D157" s="166"/>
      <c r="E157" s="166"/>
      <c r="F157" s="166" t="s">
        <v>19</v>
      </c>
      <c r="G157" s="166"/>
      <c r="H157" s="20" t="s">
        <v>56</v>
      </c>
      <c r="I157" s="166" t="s">
        <v>20</v>
      </c>
      <c r="J157" s="166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63">
        <f t="shared" ref="F158:F163" si="15">IF(ISERROR(VLOOKUP(A158,$A$28:$J$72,6,FALSE)),0,VLOOKUP(A158,$A$28:$J$72,6,FALSE))</f>
        <v>8100</v>
      </c>
      <c r="G158" s="163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1</v>
      </c>
      <c r="J158" s="15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охранной сигнализации.</v>
      </c>
      <c r="B159" s="158"/>
      <c r="C159" s="158"/>
      <c r="D159" s="158"/>
      <c r="E159" s="158"/>
      <c r="F159" s="163">
        <f t="shared" si="15"/>
        <v>12000</v>
      </c>
      <c r="G159" s="163"/>
      <c r="H159" s="24" t="str">
        <f t="shared" si="16"/>
        <v>ежемесячно</v>
      </c>
      <c r="I159" s="159">
        <f t="shared" si="17"/>
        <v>12</v>
      </c>
      <c r="J159" s="159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8" t="str">
        <f t="shared" si="14"/>
        <v>Техническое обслуживание видеонаблюдения.</v>
      </c>
      <c r="B160" s="158"/>
      <c r="C160" s="158"/>
      <c r="D160" s="158"/>
      <c r="E160" s="158"/>
      <c r="F160" s="163">
        <f t="shared" si="15"/>
        <v>30000</v>
      </c>
      <c r="G160" s="163"/>
      <c r="H160" s="24" t="str">
        <f t="shared" si="16"/>
        <v>ежемесячно</v>
      </c>
      <c r="I160" s="159">
        <f t="shared" si="17"/>
        <v>12</v>
      </c>
      <c r="J160" s="159"/>
      <c r="M160" s="22" t="s">
        <v>71</v>
      </c>
      <c r="N160" s="1" t="str">
        <v>Техническое обслуживание видеонаблюдения.</v>
      </c>
    </row>
    <row r="161" spans="1:14" ht="28.5" customHeight="1">
      <c r="A161" s="158" t="str">
        <f>IF(N161&gt;0,N161,0)</f>
        <v>Механизированная уборка и вывоз снега с придомовой территории.</v>
      </c>
      <c r="B161" s="158"/>
      <c r="C161" s="158"/>
      <c r="D161" s="158"/>
      <c r="E161" s="158"/>
      <c r="F161" s="163">
        <f t="shared" si="15"/>
        <v>12391.94</v>
      </c>
      <c r="G161" s="163"/>
      <c r="H161" s="24" t="str">
        <f t="shared" si="16"/>
        <v>разово</v>
      </c>
      <c r="I161" s="159">
        <f t="shared" si="17"/>
        <v>1</v>
      </c>
      <c r="J161" s="159"/>
      <c r="M161" s="22" t="s">
        <v>71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58" t="str">
        <f t="shared" si="14"/>
        <v>Приобретение и монтаж грязезащитного покрытия в подъезде (1 этаж).</v>
      </c>
      <c r="B162" s="158"/>
      <c r="C162" s="158"/>
      <c r="D162" s="158"/>
      <c r="E162" s="158"/>
      <c r="F162" s="163">
        <f t="shared" si="15"/>
        <v>14133.85</v>
      </c>
      <c r="G162" s="163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71</v>
      </c>
      <c r="N162" s="1" t="str">
        <v>Приобретение и монтаж грязезащитного покрытия в подъезде (1 этаж).</v>
      </c>
    </row>
    <row r="163" spans="1:14" ht="28.5" customHeight="1">
      <c r="A163" s="158" t="str">
        <f t="shared" si="14"/>
        <v>Ремонт подъезда (укладка керамогранита на 1 этаже).</v>
      </c>
      <c r="B163" s="158"/>
      <c r="C163" s="158"/>
      <c r="D163" s="158"/>
      <c r="E163" s="158"/>
      <c r="F163" s="163">
        <f t="shared" si="15"/>
        <v>227623</v>
      </c>
      <c r="G163" s="163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71</v>
      </c>
      <c r="N163" s="1" t="str">
        <v>Ремонт подъезда (укладка керамогранита на 1 этаже).</v>
      </c>
    </row>
    <row r="164" spans="1:14" ht="28.5" hidden="1" customHeight="1">
      <c r="A164" s="158">
        <f t="shared" ref="A164:A187" si="18">IF(N164&gt;0,N164,0)</f>
        <v>0</v>
      </c>
      <c r="B164" s="158"/>
      <c r="C164" s="158"/>
      <c r="D164" s="158"/>
      <c r="E164" s="158"/>
      <c r="F164" s="163">
        <f t="shared" ref="F164:F187" si="19">IF(ISERROR(VLOOKUP(A164,$A$28:$J$72,6,FALSE)),0,VLOOKUP(A164,$A$28:$J$72,6,FALSE))</f>
        <v>0</v>
      </c>
      <c r="G164" s="163"/>
      <c r="H164" s="29" t="e">
        <f t="shared" si="16"/>
        <v>#N/A</v>
      </c>
      <c r="I164" s="159" t="e">
        <f t="shared" ref="I164:I187" si="20">VLOOKUP(A164,$A$28:$J$72,9,FALSE)</f>
        <v>#N/A</v>
      </c>
      <c r="J164" s="159"/>
      <c r="M164" s="22" t="s">
        <v>71</v>
      </c>
      <c r="N164" s="1">
        <v>0</v>
      </c>
    </row>
    <row r="165" spans="1:14" ht="28.5" hidden="1" customHeight="1">
      <c r="A165" s="158">
        <f t="shared" si="18"/>
        <v>0</v>
      </c>
      <c r="B165" s="158"/>
      <c r="C165" s="158"/>
      <c r="D165" s="158"/>
      <c r="E165" s="158"/>
      <c r="F165" s="163">
        <f t="shared" si="19"/>
        <v>0</v>
      </c>
      <c r="G165" s="163"/>
      <c r="H165" s="29" t="e">
        <f t="shared" si="16"/>
        <v>#N/A</v>
      </c>
      <c r="I165" s="159" t="e">
        <f t="shared" si="20"/>
        <v>#N/A</v>
      </c>
      <c r="J165" s="159"/>
      <c r="M165" s="22" t="s">
        <v>71</v>
      </c>
      <c r="N165" s="1">
        <v>0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63">
        <f t="shared" si="19"/>
        <v>0</v>
      </c>
      <c r="G166" s="163"/>
      <c r="H166" s="29" t="e">
        <f t="shared" si="16"/>
        <v>#N/A</v>
      </c>
      <c r="I166" s="159" t="e">
        <f t="shared" si="20"/>
        <v>#N/A</v>
      </c>
      <c r="J166" s="159"/>
      <c r="M166" s="22" t="s">
        <v>71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63">
        <f t="shared" si="19"/>
        <v>0</v>
      </c>
      <c r="G167" s="163"/>
      <c r="H167" s="29" t="e">
        <f t="shared" si="16"/>
        <v>#N/A</v>
      </c>
      <c r="I167" s="159" t="e">
        <f t="shared" si="20"/>
        <v>#N/A</v>
      </c>
      <c r="J167" s="159"/>
      <c r="M167" s="22" t="s">
        <v>71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63">
        <f t="shared" si="19"/>
        <v>0</v>
      </c>
      <c r="G168" s="163"/>
      <c r="H168" s="29" t="e">
        <f t="shared" si="16"/>
        <v>#N/A</v>
      </c>
      <c r="I168" s="159" t="e">
        <f t="shared" si="20"/>
        <v>#N/A</v>
      </c>
      <c r="J168" s="159"/>
      <c r="M168" s="22" t="s">
        <v>71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63">
        <f t="shared" si="19"/>
        <v>0</v>
      </c>
      <c r="G169" s="163"/>
      <c r="H169" s="29" t="e">
        <f t="shared" si="16"/>
        <v>#N/A</v>
      </c>
      <c r="I169" s="159" t="e">
        <f t="shared" si="20"/>
        <v>#N/A</v>
      </c>
      <c r="J169" s="159"/>
      <c r="M169" s="22" t="s">
        <v>71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63">
        <f t="shared" si="19"/>
        <v>0</v>
      </c>
      <c r="G170" s="163"/>
      <c r="H170" s="29" t="e">
        <f t="shared" si="16"/>
        <v>#N/A</v>
      </c>
      <c r="I170" s="159" t="e">
        <f t="shared" si="20"/>
        <v>#N/A</v>
      </c>
      <c r="J170" s="159"/>
      <c r="M170" s="22" t="s">
        <v>71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63">
        <f t="shared" si="19"/>
        <v>0</v>
      </c>
      <c r="G171" s="163"/>
      <c r="H171" s="29" t="e">
        <f t="shared" si="16"/>
        <v>#N/A</v>
      </c>
      <c r="I171" s="159" t="e">
        <f t="shared" si="20"/>
        <v>#N/A</v>
      </c>
      <c r="J171" s="159"/>
      <c r="M171" s="22" t="s">
        <v>71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63">
        <f t="shared" si="19"/>
        <v>0</v>
      </c>
      <c r="G172" s="163"/>
      <c r="H172" s="29" t="e">
        <f t="shared" si="16"/>
        <v>#N/A</v>
      </c>
      <c r="I172" s="159" t="e">
        <f t="shared" si="20"/>
        <v>#N/A</v>
      </c>
      <c r="J172" s="159"/>
      <c r="M172" s="22" t="s">
        <v>71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63">
        <f t="shared" si="19"/>
        <v>0</v>
      </c>
      <c r="G173" s="163"/>
      <c r="H173" s="29" t="e">
        <f t="shared" si="16"/>
        <v>#N/A</v>
      </c>
      <c r="I173" s="159" t="e">
        <f t="shared" si="20"/>
        <v>#N/A</v>
      </c>
      <c r="J173" s="159"/>
      <c r="M173" s="22" t="s">
        <v>71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63">
        <f t="shared" si="19"/>
        <v>0</v>
      </c>
      <c r="G174" s="163"/>
      <c r="H174" s="29" t="e">
        <f t="shared" si="16"/>
        <v>#N/A</v>
      </c>
      <c r="I174" s="159" t="e">
        <f t="shared" si="20"/>
        <v>#N/A</v>
      </c>
      <c r="J174" s="159"/>
      <c r="M174" s="22" t="s">
        <v>71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63">
        <f t="shared" si="19"/>
        <v>0</v>
      </c>
      <c r="G175" s="163"/>
      <c r="H175" s="29" t="e">
        <f t="shared" si="16"/>
        <v>#N/A</v>
      </c>
      <c r="I175" s="159" t="e">
        <f t="shared" si="20"/>
        <v>#N/A</v>
      </c>
      <c r="J175" s="159"/>
      <c r="M175" s="22" t="s">
        <v>71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63">
        <f t="shared" si="19"/>
        <v>0</v>
      </c>
      <c r="G176" s="163"/>
      <c r="H176" s="29" t="e">
        <f t="shared" si="16"/>
        <v>#N/A</v>
      </c>
      <c r="I176" s="159" t="e">
        <f t="shared" si="20"/>
        <v>#N/A</v>
      </c>
      <c r="J176" s="159"/>
      <c r="M176" s="22" t="s">
        <v>71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63">
        <f t="shared" si="19"/>
        <v>0</v>
      </c>
      <c r="G177" s="163"/>
      <c r="H177" s="29" t="e">
        <f t="shared" si="16"/>
        <v>#N/A</v>
      </c>
      <c r="I177" s="159" t="e">
        <f t="shared" si="20"/>
        <v>#N/A</v>
      </c>
      <c r="J177" s="159"/>
      <c r="M177" s="22" t="s">
        <v>71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63">
        <f t="shared" si="19"/>
        <v>0</v>
      </c>
      <c r="G178" s="163"/>
      <c r="H178" s="29" t="e">
        <f t="shared" si="16"/>
        <v>#N/A</v>
      </c>
      <c r="I178" s="159" t="e">
        <f t="shared" si="20"/>
        <v>#N/A</v>
      </c>
      <c r="J178" s="159"/>
      <c r="M178" s="22" t="s">
        <v>71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63">
        <f t="shared" si="19"/>
        <v>0</v>
      </c>
      <c r="G179" s="163"/>
      <c r="H179" s="29" t="e">
        <f t="shared" si="16"/>
        <v>#N/A</v>
      </c>
      <c r="I179" s="159" t="e">
        <f t="shared" si="20"/>
        <v>#N/A</v>
      </c>
      <c r="J179" s="159"/>
      <c r="M179" s="22" t="s">
        <v>71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63">
        <f t="shared" si="19"/>
        <v>0</v>
      </c>
      <c r="G180" s="163"/>
      <c r="H180" s="29" t="e">
        <f t="shared" si="16"/>
        <v>#N/A</v>
      </c>
      <c r="I180" s="159" t="e">
        <f t="shared" si="20"/>
        <v>#N/A</v>
      </c>
      <c r="J180" s="159"/>
      <c r="M180" s="22" t="s">
        <v>71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63">
        <f t="shared" si="19"/>
        <v>0</v>
      </c>
      <c r="G181" s="163"/>
      <c r="H181" s="29" t="e">
        <f t="shared" si="16"/>
        <v>#N/A</v>
      </c>
      <c r="I181" s="159" t="e">
        <f t="shared" si="20"/>
        <v>#N/A</v>
      </c>
      <c r="J181" s="159"/>
      <c r="M181" s="22" t="s">
        <v>71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63">
        <f t="shared" si="19"/>
        <v>0</v>
      </c>
      <c r="G182" s="163"/>
      <c r="H182" s="29" t="e">
        <f t="shared" si="16"/>
        <v>#N/A</v>
      </c>
      <c r="I182" s="159" t="e">
        <f t="shared" si="20"/>
        <v>#N/A</v>
      </c>
      <c r="J182" s="159"/>
      <c r="M182" s="22" t="s">
        <v>71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63">
        <f t="shared" si="19"/>
        <v>0</v>
      </c>
      <c r="G183" s="163"/>
      <c r="H183" s="29" t="e">
        <f t="shared" si="16"/>
        <v>#N/A</v>
      </c>
      <c r="I183" s="159" t="e">
        <f t="shared" si="20"/>
        <v>#N/A</v>
      </c>
      <c r="J183" s="159"/>
      <c r="M183" s="22" t="s">
        <v>71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63">
        <f t="shared" si="19"/>
        <v>0</v>
      </c>
      <c r="G184" s="163"/>
      <c r="H184" s="29" t="e">
        <f t="shared" si="16"/>
        <v>#N/A</v>
      </c>
      <c r="I184" s="159" t="e">
        <f t="shared" si="20"/>
        <v>#N/A</v>
      </c>
      <c r="J184" s="159"/>
      <c r="M184" s="22" t="s">
        <v>71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63">
        <f t="shared" si="19"/>
        <v>0</v>
      </c>
      <c r="G185" s="163"/>
      <c r="H185" s="29" t="e">
        <f t="shared" si="16"/>
        <v>#N/A</v>
      </c>
      <c r="I185" s="159" t="e">
        <f t="shared" si="20"/>
        <v>#N/A</v>
      </c>
      <c r="J185" s="159"/>
      <c r="M185" s="22" t="s">
        <v>71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63">
        <f t="shared" si="19"/>
        <v>0</v>
      </c>
      <c r="G186" s="163"/>
      <c r="H186" s="29" t="e">
        <f t="shared" si="16"/>
        <v>#N/A</v>
      </c>
      <c r="I186" s="159" t="e">
        <f t="shared" si="20"/>
        <v>#N/A</v>
      </c>
      <c r="J186" s="159"/>
      <c r="M186" s="22" t="s">
        <v>71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63">
        <f t="shared" si="19"/>
        <v>0</v>
      </c>
      <c r="G187" s="163"/>
      <c r="H187" s="29" t="e">
        <f t="shared" si="16"/>
        <v>#N/A</v>
      </c>
      <c r="I187" s="159" t="e">
        <f t="shared" si="20"/>
        <v>#N/A</v>
      </c>
      <c r="J187" s="159"/>
      <c r="M187" s="22" t="s">
        <v>71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83" t="s">
        <v>200</v>
      </c>
      <c r="B190" s="183"/>
      <c r="C190" s="183"/>
      <c r="D190" s="183"/>
      <c r="E190" s="27">
        <f>SUM(F158:G187)</f>
        <v>304248.79000000004</v>
      </c>
    </row>
    <row r="191" spans="1:14" ht="51.75" customHeight="1">
      <c r="A191" s="183" t="s">
        <v>201</v>
      </c>
      <c r="B191" s="183"/>
      <c r="C191" s="183"/>
      <c r="D191" s="183"/>
      <c r="E191" s="27">
        <f>E190+E154-E155</f>
        <v>-260476.65599999996</v>
      </c>
    </row>
    <row r="192" spans="1:14">
      <c r="A192" s="103" t="s">
        <v>175</v>
      </c>
    </row>
    <row r="193" spans="1:10" ht="62.25" customHeight="1">
      <c r="A193" s="157" t="s">
        <v>202</v>
      </c>
      <c r="B193" s="157"/>
      <c r="C193" s="157"/>
      <c r="D193" s="157"/>
      <c r="E193" s="157"/>
      <c r="F193" s="157"/>
      <c r="G193" s="157"/>
      <c r="H193" s="157"/>
      <c r="I193" s="157"/>
      <c r="J193" s="157"/>
    </row>
    <row r="194" spans="1:10">
      <c r="A194" s="155" t="str">
        <f>ПТО!F12</f>
        <v xml:space="preserve">  -  поверка (замена) манометров и термометров</v>
      </c>
      <c r="B194" s="155"/>
      <c r="C194" s="155"/>
      <c r="D194" s="155"/>
      <c r="E194" s="155"/>
      <c r="F194" s="155"/>
      <c r="G194" s="155"/>
      <c r="H194" s="48">
        <f>ПТО!G12</f>
        <v>1200</v>
      </c>
      <c r="I194" s="49" t="s">
        <v>74</v>
      </c>
    </row>
    <row r="195" spans="1:10" ht="18.75" customHeight="1">
      <c r="A195" s="155" t="str">
        <f>ПТО!F13</f>
        <v xml:space="preserve">  -  техническое освидетельствование лифта</v>
      </c>
      <c r="B195" s="155"/>
      <c r="C195" s="155"/>
      <c r="D195" s="155"/>
      <c r="E195" s="155"/>
      <c r="F195" s="155"/>
      <c r="G195" s="155"/>
      <c r="H195" s="48">
        <f>ПТО!G13</f>
        <v>8100</v>
      </c>
      <c r="I195" s="49" t="s">
        <v>74</v>
      </c>
    </row>
    <row r="196" spans="1:10" ht="18.75" customHeight="1">
      <c r="A196" s="155" t="str">
        <f>ПТО!F14</f>
        <v xml:space="preserve">  -  техническое обслуживание охранной сигнализации</v>
      </c>
      <c r="B196" s="155"/>
      <c r="C196" s="155"/>
      <c r="D196" s="155"/>
      <c r="E196" s="155"/>
      <c r="F196" s="155"/>
      <c r="G196" s="155"/>
      <c r="H196" s="48">
        <f>ПТО!G14</f>
        <v>12000</v>
      </c>
      <c r="I196" s="49" t="s">
        <v>74</v>
      </c>
    </row>
    <row r="197" spans="1:10" ht="18.75" customHeight="1">
      <c r="A197" s="155" t="str">
        <f>ПТО!F15</f>
        <v xml:space="preserve">  -  техническое обслуживание системы видеонаблюдения</v>
      </c>
      <c r="B197" s="155"/>
      <c r="C197" s="155"/>
      <c r="D197" s="155"/>
      <c r="E197" s="155"/>
      <c r="F197" s="155"/>
      <c r="G197" s="155"/>
      <c r="H197" s="48">
        <f>ПТО!G15</f>
        <v>30000</v>
      </c>
      <c r="I197" s="49" t="s">
        <v>74</v>
      </c>
    </row>
    <row r="198" spans="1:10" ht="38.25" customHeight="1">
      <c r="A198" s="155" t="str">
        <f>ПТО!F16</f>
        <v xml:space="preserve">  -  механизированная уборка и вывоз снега с придомовой территории</v>
      </c>
      <c r="B198" s="155"/>
      <c r="C198" s="155"/>
      <c r="D198" s="155"/>
      <c r="E198" s="155"/>
      <c r="F198" s="155"/>
      <c r="G198" s="155"/>
      <c r="H198" s="48">
        <f>ПТО!G16</f>
        <v>20000</v>
      </c>
      <c r="I198" s="51" t="s">
        <v>74</v>
      </c>
    </row>
    <row r="199" spans="1:10" ht="18.75" customHeight="1">
      <c r="A199" s="155" t="str">
        <f>ПТО!F17</f>
        <v xml:space="preserve">  -  ремонт подъезда </v>
      </c>
      <c r="B199" s="155"/>
      <c r="C199" s="155"/>
      <c r="D199" s="155"/>
      <c r="E199" s="155"/>
      <c r="F199" s="155"/>
      <c r="G199" s="155"/>
      <c r="H199" s="48">
        <f>ПТО!G17</f>
        <v>650000</v>
      </c>
      <c r="I199" s="49" t="s">
        <v>74</v>
      </c>
    </row>
    <row r="200" spans="1:10">
      <c r="A200" s="155" t="str">
        <f>ПТО!F18</f>
        <v xml:space="preserve">  -  ремонт контейнерной площадки</v>
      </c>
      <c r="B200" s="155"/>
      <c r="C200" s="155"/>
      <c r="D200" s="155"/>
      <c r="E200" s="155"/>
      <c r="F200" s="155"/>
      <c r="G200" s="155"/>
      <c r="H200" s="48">
        <f>ПТО!G18</f>
        <v>35000</v>
      </c>
      <c r="I200" s="49" t="s">
        <v>74</v>
      </c>
    </row>
    <row r="201" spans="1:10" hidden="1">
      <c r="A201" s="155">
        <f>ПТО!F19</f>
        <v>0</v>
      </c>
      <c r="B201" s="155"/>
      <c r="C201" s="155"/>
      <c r="D201" s="155"/>
      <c r="E201" s="155"/>
      <c r="F201" s="155"/>
      <c r="G201" s="155"/>
      <c r="H201" s="48">
        <f>ПТО!G19</f>
        <v>0</v>
      </c>
      <c r="I201" s="49" t="s">
        <v>74</v>
      </c>
    </row>
    <row r="202" spans="1:10" hidden="1">
      <c r="A202" s="155">
        <f>ПТО!F20</f>
        <v>0</v>
      </c>
      <c r="B202" s="155"/>
      <c r="C202" s="155"/>
      <c r="D202" s="155"/>
      <c r="E202" s="155"/>
      <c r="F202" s="155"/>
      <c r="G202" s="155"/>
      <c r="H202" s="48">
        <f>ПТО!G20</f>
        <v>0</v>
      </c>
      <c r="I202" s="49" t="s">
        <v>74</v>
      </c>
    </row>
    <row r="203" spans="1:10" hidden="1">
      <c r="A203" s="155">
        <f>ПТО!F21</f>
        <v>0</v>
      </c>
      <c r="B203" s="155"/>
      <c r="C203" s="155"/>
      <c r="D203" s="155"/>
      <c r="E203" s="155"/>
      <c r="F203" s="155"/>
      <c r="G203" s="155"/>
      <c r="H203" s="48">
        <f>ПТО!G21</f>
        <v>0</v>
      </c>
      <c r="I203" s="49" t="s">
        <v>74</v>
      </c>
    </row>
    <row r="204" spans="1:10" hidden="1">
      <c r="A204" s="155">
        <f>ПТО!F22</f>
        <v>0</v>
      </c>
      <c r="B204" s="155"/>
      <c r="C204" s="155"/>
      <c r="D204" s="155"/>
      <c r="E204" s="155"/>
      <c r="F204" s="155"/>
      <c r="G204" s="155"/>
      <c r="H204" s="48">
        <f>ПТО!G22</f>
        <v>0</v>
      </c>
      <c r="I204" s="49" t="s">
        <v>74</v>
      </c>
    </row>
    <row r="205" spans="1:10" hidden="1">
      <c r="A205" s="155">
        <f>ПТО!F23</f>
        <v>0</v>
      </c>
      <c r="B205" s="155"/>
      <c r="C205" s="155"/>
      <c r="D205" s="155"/>
      <c r="E205" s="155"/>
      <c r="F205" s="155"/>
      <c r="G205" s="155"/>
      <c r="H205" s="48">
        <f>ПТО!G23</f>
        <v>0</v>
      </c>
      <c r="I205" s="49" t="s">
        <v>74</v>
      </c>
    </row>
    <row r="206" spans="1:10" hidden="1">
      <c r="A206" s="155">
        <f>ПТО!F24</f>
        <v>0</v>
      </c>
      <c r="B206" s="155"/>
      <c r="C206" s="155"/>
      <c r="D206" s="155"/>
      <c r="E206" s="155"/>
      <c r="F206" s="155"/>
      <c r="G206" s="155"/>
      <c r="H206" s="48">
        <f>ПТО!G24</f>
        <v>0</v>
      </c>
      <c r="I206" s="49" t="s">
        <v>74</v>
      </c>
    </row>
    <row r="207" spans="1:10" hidden="1">
      <c r="A207" s="155">
        <f>ПТО!F25</f>
        <v>0</v>
      </c>
      <c r="B207" s="155"/>
      <c r="C207" s="155"/>
      <c r="D207" s="155"/>
      <c r="E207" s="155"/>
      <c r="F207" s="155"/>
      <c r="G207" s="155"/>
      <c r="H207" s="48">
        <f>ПТО!G25</f>
        <v>0</v>
      </c>
      <c r="I207" s="49" t="s">
        <v>74</v>
      </c>
    </row>
    <row r="208" spans="1:10" hidden="1">
      <c r="A208" s="155">
        <f>ПТО!F26</f>
        <v>0</v>
      </c>
      <c r="B208" s="155"/>
      <c r="C208" s="155"/>
      <c r="D208" s="155"/>
      <c r="E208" s="155"/>
      <c r="F208" s="155"/>
      <c r="G208" s="155"/>
      <c r="H208" s="48">
        <f>ПТО!G26</f>
        <v>0</v>
      </c>
      <c r="I208" s="49" t="s">
        <v>74</v>
      </c>
    </row>
    <row r="209" spans="1:9" hidden="1">
      <c r="A209" s="155">
        <f>ПТО!F27</f>
        <v>0</v>
      </c>
      <c r="B209" s="155"/>
      <c r="C209" s="155"/>
      <c r="D209" s="155"/>
      <c r="E209" s="155"/>
      <c r="F209" s="155"/>
      <c r="G209" s="155"/>
      <c r="H209" s="48">
        <f>ПТО!G27</f>
        <v>0</v>
      </c>
      <c r="I209" s="49" t="s">
        <v>74</v>
      </c>
    </row>
    <row r="210" spans="1:9" hidden="1">
      <c r="A210" s="155">
        <f>ПТО!F28</f>
        <v>0</v>
      </c>
      <c r="B210" s="155"/>
      <c r="C210" s="155"/>
      <c r="D210" s="155"/>
      <c r="E210" s="155"/>
      <c r="F210" s="155"/>
      <c r="G210" s="155"/>
      <c r="H210" s="48">
        <f>ПТО!G28</f>
        <v>0</v>
      </c>
      <c r="I210" s="49" t="s">
        <v>74</v>
      </c>
    </row>
    <row r="211" spans="1:9" hidden="1">
      <c r="A211" s="155">
        <f>ПТО!F29</f>
        <v>0</v>
      </c>
      <c r="B211" s="155"/>
      <c r="C211" s="155"/>
      <c r="D211" s="155"/>
      <c r="E211" s="155"/>
      <c r="F211" s="155"/>
      <c r="G211" s="155"/>
      <c r="H211" s="48">
        <f>ПТО!G29</f>
        <v>0</v>
      </c>
      <c r="I211" s="49" t="s">
        <v>74</v>
      </c>
    </row>
    <row r="212" spans="1:9" hidden="1">
      <c r="A212" s="155">
        <f>ПТО!F30</f>
        <v>0</v>
      </c>
      <c r="B212" s="155"/>
      <c r="C212" s="155"/>
      <c r="D212" s="155"/>
      <c r="E212" s="155"/>
      <c r="F212" s="155"/>
      <c r="G212" s="155"/>
      <c r="H212" s="48">
        <f>ПТО!G30</f>
        <v>0</v>
      </c>
      <c r="I212" s="49" t="s">
        <v>74</v>
      </c>
    </row>
    <row r="213" spans="1:9" hidden="1">
      <c r="A213" s="155">
        <f>ПТО!F31</f>
        <v>0</v>
      </c>
      <c r="B213" s="155"/>
      <c r="C213" s="155"/>
      <c r="D213" s="155"/>
      <c r="E213" s="155"/>
      <c r="F213" s="155"/>
      <c r="G213" s="155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756300</v>
      </c>
      <c r="I214" s="55" t="s">
        <v>78</v>
      </c>
    </row>
  </sheetData>
  <sheetProtection algorithmName="SHA-512" hashValue="rWrebtsowNvzETr0j5EL9jzSTti3voym00e7c9IOySnUmkGCWsbad5EJUZ2INXYDSzF3x1v4OjoYezpYLmgAVQ==" saltValue="L+u8RznUG+rpvl1RtM4S7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198</v>
      </c>
      <c r="G1" s="100">
        <f>-400302.43</f>
        <v>-400302.43</v>
      </c>
    </row>
    <row r="2" spans="1:12" ht="18.75" customHeight="1">
      <c r="A2" s="154" t="s">
        <v>72</v>
      </c>
      <c r="B2" s="148" t="s">
        <v>180</v>
      </c>
      <c r="C2" s="148">
        <v>1</v>
      </c>
      <c r="D2" s="143">
        <v>8100</v>
      </c>
      <c r="E2" s="150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179</v>
      </c>
      <c r="B3" s="148" t="s">
        <v>181</v>
      </c>
      <c r="C3" s="148">
        <v>12</v>
      </c>
      <c r="D3" s="149">
        <v>12000</v>
      </c>
      <c r="E3" s="150" t="s">
        <v>208</v>
      </c>
      <c r="F3" s="30"/>
      <c r="G3" s="30"/>
      <c r="L3" s="33" t="str">
        <f t="shared" si="0"/>
        <v>ТР</v>
      </c>
    </row>
    <row r="4" spans="1:12" ht="18.75" customHeight="1">
      <c r="A4" s="147" t="s">
        <v>184</v>
      </c>
      <c r="B4" s="148" t="s">
        <v>181</v>
      </c>
      <c r="C4" s="148">
        <v>12</v>
      </c>
      <c r="D4" s="149">
        <f>2500*12</f>
        <v>30000</v>
      </c>
      <c r="E4" s="150" t="s">
        <v>207</v>
      </c>
      <c r="F4" s="30"/>
      <c r="G4" s="30"/>
      <c r="L4" s="33" t="str">
        <f t="shared" si="0"/>
        <v>ТР</v>
      </c>
    </row>
    <row r="5" spans="1:12" ht="18.75" customHeight="1">
      <c r="A5" s="145" t="s">
        <v>195</v>
      </c>
      <c r="B5" s="146" t="s">
        <v>194</v>
      </c>
      <c r="C5" s="123">
        <v>1</v>
      </c>
      <c r="D5" s="46">
        <v>12391.94</v>
      </c>
      <c r="E5" s="124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25" t="s">
        <v>203</v>
      </c>
      <c r="B6" s="141" t="s">
        <v>194</v>
      </c>
      <c r="C6" s="142">
        <v>1</v>
      </c>
      <c r="D6" s="143">
        <v>14133.85</v>
      </c>
      <c r="E6" s="144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206</v>
      </c>
      <c r="B7" s="126" t="s">
        <v>194</v>
      </c>
      <c r="C7" s="151">
        <v>1</v>
      </c>
      <c r="D7" s="152">
        <v>227623</v>
      </c>
      <c r="E7" s="153" t="s">
        <v>209</v>
      </c>
      <c r="F7" s="45"/>
      <c r="G7" s="45"/>
      <c r="K7" s="46"/>
      <c r="L7" s="33" t="str">
        <f t="shared" si="0"/>
        <v>ТР</v>
      </c>
    </row>
    <row r="8" spans="1:12" ht="18.75" customHeight="1">
      <c r="A8" s="127"/>
      <c r="B8" s="128"/>
      <c r="C8" s="123"/>
      <c r="D8" s="46"/>
      <c r="E8" s="124"/>
      <c r="F8" s="45"/>
      <c r="G8" s="45"/>
      <c r="K8" s="43"/>
      <c r="L8" s="33">
        <f t="shared" si="0"/>
        <v>0</v>
      </c>
    </row>
    <row r="9" spans="1:12">
      <c r="A9" s="129"/>
      <c r="B9" s="130"/>
      <c r="C9" s="123"/>
      <c r="D9" s="43"/>
      <c r="E9" s="131"/>
      <c r="F9" s="44"/>
      <c r="G9" s="44"/>
      <c r="K9" s="43"/>
      <c r="L9" s="33">
        <f t="shared" si="0"/>
        <v>0</v>
      </c>
    </row>
    <row r="10" spans="1:12">
      <c r="A10" s="132"/>
      <c r="B10" s="133"/>
      <c r="C10" s="134"/>
      <c r="D10" s="135"/>
      <c r="E10" s="131"/>
      <c r="L10" s="33">
        <f t="shared" si="0"/>
        <v>0</v>
      </c>
    </row>
    <row r="11" spans="1:12" ht="94.5">
      <c r="A11" s="136"/>
      <c r="B11" s="137"/>
      <c r="C11" s="123"/>
      <c r="D11" s="43"/>
      <c r="E11" s="131"/>
      <c r="F11" s="110" t="s">
        <v>202</v>
      </c>
      <c r="G11" s="110"/>
      <c r="L11" s="33">
        <f t="shared" si="0"/>
        <v>0</v>
      </c>
    </row>
    <row r="12" spans="1:12" ht="31.5">
      <c r="A12" s="138"/>
      <c r="B12" s="126"/>
      <c r="C12" s="126"/>
      <c r="D12" s="139"/>
      <c r="E12" s="131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75</v>
      </c>
      <c r="G13" s="112">
        <v>8100</v>
      </c>
      <c r="L13" s="33">
        <f t="shared" si="0"/>
        <v>0</v>
      </c>
    </row>
    <row r="14" spans="1:12" ht="31.5">
      <c r="A14" s="30"/>
      <c r="F14" s="111" t="s">
        <v>183</v>
      </c>
      <c r="G14" s="112">
        <v>12000</v>
      </c>
      <c r="L14" s="33">
        <f t="shared" si="0"/>
        <v>0</v>
      </c>
    </row>
    <row r="15" spans="1:12" ht="31.5">
      <c r="A15" s="30"/>
      <c r="F15" s="111" t="s">
        <v>76</v>
      </c>
      <c r="G15" s="113">
        <v>30000</v>
      </c>
      <c r="L15" s="33">
        <f t="shared" si="0"/>
        <v>0</v>
      </c>
    </row>
    <row r="16" spans="1:12" ht="15.75">
      <c r="A16" s="30"/>
      <c r="F16" s="140" t="s">
        <v>196</v>
      </c>
      <c r="G16" s="113">
        <v>20000</v>
      </c>
      <c r="L16" s="33">
        <f t="shared" si="0"/>
        <v>0</v>
      </c>
    </row>
    <row r="17" spans="1:12" ht="15.75">
      <c r="A17" s="30"/>
      <c r="F17" s="140" t="s">
        <v>197</v>
      </c>
      <c r="G17" s="113">
        <v>650000</v>
      </c>
      <c r="L17" s="33">
        <f t="shared" si="0"/>
        <v>0</v>
      </c>
    </row>
    <row r="18" spans="1:12" ht="15.75">
      <c r="A18" s="30"/>
      <c r="F18" s="111" t="s">
        <v>211</v>
      </c>
      <c r="G18" s="112">
        <v>35000</v>
      </c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38">
        <v>106318.08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106318.08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60800.639999999999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60800.639999999999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111301.8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111301.8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39869.279999999999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39869.279999999999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11628.6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11628.6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47510.879999999997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47510.879999999997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132565.32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132565.32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17"/>
      <c r="C47" s="118"/>
      <c r="D47" s="119"/>
      <c r="E47" s="117">
        <v>596.4</v>
      </c>
      <c r="F47" s="117">
        <v>358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20"/>
      <c r="C48" s="118"/>
      <c r="D48" s="11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1" t="s">
        <v>187</v>
      </c>
      <c r="F52" s="121" t="s">
        <v>188</v>
      </c>
      <c r="G52" s="121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1">
        <v>35.896999999999998</v>
      </c>
      <c r="F53" s="117">
        <v>3141.5</v>
      </c>
      <c r="G53" s="121">
        <v>3.48</v>
      </c>
      <c r="H53" s="121">
        <f>G53*E47/F53</f>
        <v>0.66066274072895104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1"/>
      <c r="F54" s="121" t="s">
        <v>190</v>
      </c>
      <c r="G54" s="121" t="s">
        <v>191</v>
      </c>
      <c r="H54" s="121">
        <f>H53*G56</f>
        <v>39.243366799299693</v>
      </c>
    </row>
    <row r="55" spans="5:16">
      <c r="E55" s="121"/>
      <c r="F55" s="121">
        <v>1.17</v>
      </c>
      <c r="G55" s="121">
        <v>1.23</v>
      </c>
      <c r="H55" s="121"/>
    </row>
    <row r="56" spans="5:16">
      <c r="E56" s="121"/>
      <c r="F56" s="121"/>
      <c r="G56" s="121">
        <v>59.4</v>
      </c>
      <c r="H56" s="121"/>
    </row>
    <row r="57" spans="5:16">
      <c r="E57" s="121"/>
      <c r="F57" s="121"/>
      <c r="G57" s="121"/>
      <c r="H57" s="121"/>
    </row>
    <row r="58" spans="5:16">
      <c r="E58" s="121" t="s">
        <v>192</v>
      </c>
      <c r="F58" s="121"/>
      <c r="G58" s="121"/>
      <c r="H58" s="121"/>
    </row>
    <row r="59" spans="5:16">
      <c r="E59" s="121">
        <v>0.59599999999999997</v>
      </c>
      <c r="F59" s="117">
        <f>F53</f>
        <v>3141.5</v>
      </c>
      <c r="G59" s="121">
        <v>7.4999999999999997E-2</v>
      </c>
      <c r="H59" s="121">
        <f>G59*F47</f>
        <v>26.849999999999998</v>
      </c>
    </row>
    <row r="60" spans="5:16">
      <c r="E60" s="121"/>
      <c r="F60" s="121" t="s">
        <v>190</v>
      </c>
      <c r="G60" s="121" t="s">
        <v>191</v>
      </c>
      <c r="H60" s="121">
        <f>H59/F59</f>
        <v>8.5468725131306687E-3</v>
      </c>
    </row>
    <row r="61" spans="5:16">
      <c r="E61" s="121"/>
      <c r="F61" s="121">
        <v>12.94</v>
      </c>
      <c r="G61" s="121">
        <v>13.45</v>
      </c>
      <c r="H61" s="121">
        <f>H60*G56</f>
        <v>0.50768422727996165</v>
      </c>
    </row>
    <row r="62" spans="5:16">
      <c r="E62" s="121" t="s">
        <v>193</v>
      </c>
      <c r="F62" s="121"/>
      <c r="G62" s="121"/>
      <c r="H62" s="121"/>
    </row>
    <row r="63" spans="5:16">
      <c r="E63" s="121">
        <v>0.59599999999999997</v>
      </c>
      <c r="F63" s="117">
        <f>F53</f>
        <v>3141.5</v>
      </c>
      <c r="G63" s="121">
        <v>7.4999999999999997E-2</v>
      </c>
      <c r="H63" s="121">
        <f>G63*F47</f>
        <v>26.849999999999998</v>
      </c>
    </row>
    <row r="64" spans="5:16">
      <c r="E64" s="121"/>
      <c r="F64" s="121" t="s">
        <v>190</v>
      </c>
      <c r="G64" s="121" t="s">
        <v>191</v>
      </c>
      <c r="H64" s="121">
        <f>H63/F63</f>
        <v>8.5468725131306687E-3</v>
      </c>
    </row>
    <row r="65" spans="4:13" ht="18.75" customHeight="1">
      <c r="E65" s="121"/>
      <c r="F65" s="121">
        <v>15.73</v>
      </c>
      <c r="G65" s="121">
        <v>16.350000000000001</v>
      </c>
      <c r="H65" s="121">
        <f>H64*G56</f>
        <v>0.50768422727996165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AdrwbJEgmu9NKAovDTintYSgjfXgwHL1WcT1en9KUHf1Xf64HrhvdWMaCpGdsWLICmz3lrwSmNIBS0mmVx1hQQ==" saltValue="J0NNCJshZDEDkmUB7U7s5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182</v>
      </c>
      <c r="F1" s="59">
        <v>2890.7</v>
      </c>
    </row>
    <row r="2" spans="1:10" ht="15.75" customHeight="1">
      <c r="A2" s="69" t="s">
        <v>83</v>
      </c>
      <c r="B2" s="71" t="s">
        <v>1</v>
      </c>
      <c r="C2" s="82">
        <v>91640.25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2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3</v>
      </c>
      <c r="C4" s="82">
        <v>0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4</v>
      </c>
      <c r="C5" s="78">
        <f>SUM(C6:C8)</f>
        <v>672617.85600000003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5</v>
      </c>
      <c r="C6" s="82">
        <v>508194.84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6</v>
      </c>
      <c r="C7" s="82">
        <f>F1*4.74*12</f>
        <v>164423.016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8</v>
      </c>
      <c r="C9" s="78">
        <f>SUM(C10:C14)</f>
        <v>603725.68999999994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9</v>
      </c>
      <c r="C10" s="82">
        <v>603725.68999999994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14</v>
      </c>
      <c r="C15" s="78">
        <f>C9</f>
        <v>603725.68999999994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15</v>
      </c>
      <c r="C16" s="78">
        <f>IF(C2&gt;0,IF(C2+C9-C5&gt;0,C2+C9-C5,0),IF(C9-C5&gt;0,IF(C4+C5-C9&gt;0,0,C9-C5-C4),0))</f>
        <v>22748.083999999915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17</v>
      </c>
      <c r="C18" s="78">
        <f>IF(C16&gt;0,0,IF(C4&gt;0,C4+C5-C9,C5-C2-C9))</f>
        <v>0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86"/>
      <c r="N20" s="61"/>
    </row>
    <row r="21" spans="1:15" ht="15.75" customHeight="1">
      <c r="A21" s="69" t="s">
        <v>101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86"/>
      <c r="N21" s="61"/>
    </row>
    <row r="22" spans="1:15" ht="15.75" customHeight="1">
      <c r="A22" s="69" t="s">
        <v>102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86"/>
      <c r="N22" s="61"/>
    </row>
    <row r="23" spans="1:15" ht="15.75" customHeight="1">
      <c r="A23" s="69" t="s">
        <v>103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86"/>
      <c r="N23" s="61"/>
    </row>
    <row r="24" spans="1:15" ht="18.75">
      <c r="A24" s="72" t="s">
        <v>163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1</v>
      </c>
      <c r="C25" s="85">
        <v>22426.5</v>
      </c>
      <c r="D25" s="80" t="s">
        <v>57</v>
      </c>
      <c r="E25" s="63"/>
      <c r="F25" s="63"/>
      <c r="G25" s="63"/>
      <c r="H25" s="63"/>
      <c r="I25" s="63"/>
      <c r="J25" s="63"/>
      <c r="M25" s="185"/>
      <c r="N25" s="62"/>
    </row>
    <row r="26" spans="1:15" ht="18.75" customHeight="1">
      <c r="A26" s="69" t="s">
        <v>105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85"/>
      <c r="N26" s="62"/>
    </row>
    <row r="27" spans="1:15" ht="18.75" customHeight="1">
      <c r="A27" s="69" t="s">
        <v>106</v>
      </c>
      <c r="B27" s="74" t="s">
        <v>3</v>
      </c>
      <c r="C27" s="85">
        <v>0</v>
      </c>
      <c r="D27" s="80" t="s">
        <v>59</v>
      </c>
      <c r="E27" s="63"/>
      <c r="F27" s="63"/>
      <c r="G27" s="63"/>
      <c r="H27" s="63"/>
      <c r="I27" s="63"/>
      <c r="J27" s="63"/>
      <c r="M27" s="185"/>
      <c r="N27" s="62"/>
    </row>
    <row r="28" spans="1:15" ht="18.75" customHeight="1">
      <c r="A28" s="69" t="s">
        <v>107</v>
      </c>
      <c r="B28" s="74" t="s">
        <v>15</v>
      </c>
      <c r="C28" s="85">
        <v>2242.37</v>
      </c>
      <c r="D28" s="80" t="s">
        <v>64</v>
      </c>
      <c r="E28" s="63"/>
      <c r="F28" s="63"/>
      <c r="G28" s="63"/>
      <c r="H28" s="63"/>
      <c r="I28" s="63"/>
      <c r="J28" s="63"/>
      <c r="M28" s="185"/>
      <c r="N28" s="62"/>
    </row>
    <row r="29" spans="1:15" ht="18.75" customHeight="1">
      <c r="A29" s="69" t="s">
        <v>108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85"/>
      <c r="N29" s="62"/>
    </row>
    <row r="30" spans="1:15" ht="18.75" customHeight="1">
      <c r="A30" s="69" t="s">
        <v>109</v>
      </c>
      <c r="B30" s="74" t="s">
        <v>17</v>
      </c>
      <c r="C30" s="85">
        <v>0</v>
      </c>
      <c r="D30" s="80" t="s">
        <v>65</v>
      </c>
      <c r="E30" s="63"/>
      <c r="F30" s="63"/>
      <c r="G30" s="63"/>
      <c r="H30" s="63"/>
      <c r="I30" s="63"/>
      <c r="J30" s="63"/>
      <c r="M30" s="185"/>
      <c r="N30" s="62"/>
    </row>
    <row r="31" spans="1:15" ht="18.75" customHeight="1">
      <c r="A31" s="69" t="s">
        <v>110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85"/>
      <c r="N31" s="62"/>
    </row>
    <row r="32" spans="1:15" ht="18.75" customHeight="1">
      <c r="A32" s="69" t="s">
        <v>111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85"/>
      <c r="N32" s="62"/>
    </row>
    <row r="33" spans="1:15" ht="18.75" customHeight="1">
      <c r="A33" s="69" t="s">
        <v>112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85"/>
      <c r="N33" s="62"/>
    </row>
    <row r="34" spans="1:15" ht="18.75" customHeight="1">
      <c r="A34" s="69" t="s">
        <v>113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85"/>
      <c r="N34" s="62"/>
    </row>
    <row r="35" spans="1:15" ht="18.75">
      <c r="A35" s="72" t="s">
        <v>164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158791.54999999999</v>
      </c>
      <c r="F37" s="93" t="s">
        <v>168</v>
      </c>
      <c r="G37" s="65"/>
      <c r="H37" s="65"/>
      <c r="I37" s="65"/>
      <c r="L37" s="62"/>
      <c r="M37" s="184"/>
      <c r="N37" s="62"/>
      <c r="O37" s="62"/>
    </row>
    <row r="38" spans="1:15" ht="18.75" customHeight="1">
      <c r="A38" s="69" t="s">
        <v>114</v>
      </c>
      <c r="B38" s="77" t="s">
        <v>36</v>
      </c>
      <c r="C38" s="89">
        <v>116758.49</v>
      </c>
      <c r="D38" s="93" t="s">
        <v>166</v>
      </c>
      <c r="E38" s="67"/>
      <c r="G38" s="66"/>
      <c r="H38" s="66"/>
      <c r="L38" s="62"/>
      <c r="M38" s="184"/>
      <c r="N38" s="62"/>
      <c r="O38" s="62"/>
    </row>
    <row r="39" spans="1:15" ht="18.75" customHeight="1">
      <c r="A39" s="69" t="s">
        <v>115</v>
      </c>
      <c r="B39" s="77" t="s">
        <v>37</v>
      </c>
      <c r="C39" s="90">
        <v>144064.43</v>
      </c>
      <c r="D39" s="93" t="s">
        <v>167</v>
      </c>
      <c r="E39" s="67"/>
      <c r="G39" s="66"/>
      <c r="H39" s="66"/>
      <c r="L39" s="62"/>
      <c r="M39" s="184"/>
      <c r="N39" s="62"/>
      <c r="O39" s="62"/>
    </row>
    <row r="40" spans="1:15" ht="18.75" customHeight="1">
      <c r="A40" s="69" t="s">
        <v>116</v>
      </c>
      <c r="B40" s="77" t="s">
        <v>38</v>
      </c>
      <c r="C40" s="92">
        <f>IF(E37-C39&lt;0,0,E37-C39)</f>
        <v>14727.119999999995</v>
      </c>
      <c r="D40" s="79" t="s">
        <v>58</v>
      </c>
      <c r="E40" s="122"/>
      <c r="G40" s="66"/>
      <c r="H40" s="66"/>
      <c r="L40" s="62"/>
      <c r="M40" s="184"/>
      <c r="N40" s="62"/>
      <c r="O40" s="62"/>
    </row>
    <row r="41" spans="1:15" ht="18.75" customHeight="1">
      <c r="A41" s="69" t="s">
        <v>117</v>
      </c>
      <c r="B41" s="77" t="s">
        <v>39</v>
      </c>
      <c r="C41" s="92">
        <f>E37</f>
        <v>158791.54999999999</v>
      </c>
      <c r="D41" s="79" t="s">
        <v>58</v>
      </c>
      <c r="E41" s="122"/>
      <c r="G41" s="66"/>
      <c r="H41" s="66"/>
      <c r="L41" s="62"/>
      <c r="M41" s="184"/>
      <c r="N41" s="62"/>
      <c r="O41" s="62"/>
    </row>
    <row r="42" spans="1:15" ht="18.75" customHeight="1">
      <c r="A42" s="69" t="s">
        <v>118</v>
      </c>
      <c r="B42" s="77" t="s">
        <v>40</v>
      </c>
      <c r="C42" s="92">
        <f>E37</f>
        <v>158791.54999999999</v>
      </c>
      <c r="D42" s="79" t="s">
        <v>58</v>
      </c>
      <c r="E42" s="122"/>
      <c r="G42" s="66"/>
      <c r="H42" s="66"/>
      <c r="L42" s="62"/>
      <c r="M42" s="184"/>
      <c r="N42" s="62"/>
      <c r="O42" s="62"/>
    </row>
    <row r="43" spans="1:15" ht="18.75" customHeight="1">
      <c r="A43" s="69" t="s">
        <v>119</v>
      </c>
      <c r="B43" s="77" t="s">
        <v>41</v>
      </c>
      <c r="C43" s="92">
        <f>IF(C41-C42&lt;=0,,C41-C42)</f>
        <v>0</v>
      </c>
      <c r="D43" s="79" t="s">
        <v>58</v>
      </c>
      <c r="E43" s="122"/>
      <c r="G43" s="66"/>
      <c r="H43" s="66"/>
      <c r="L43" s="62"/>
      <c r="M43" s="184"/>
      <c r="N43" s="62"/>
      <c r="O43" s="62"/>
    </row>
    <row r="44" spans="1:15" ht="30" customHeight="1">
      <c r="A44" s="69" t="s">
        <v>120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84"/>
      <c r="N44" s="62"/>
      <c r="O44" s="62"/>
    </row>
    <row r="45" spans="1:15" ht="18.75">
      <c r="A45" s="72" t="s">
        <v>122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89629.3</v>
      </c>
      <c r="F45" s="93" t="s">
        <v>168</v>
      </c>
      <c r="G45" s="65"/>
      <c r="H45" s="65"/>
      <c r="L45" s="62"/>
      <c r="M45" s="184"/>
      <c r="N45" s="62"/>
      <c r="O45" s="62"/>
    </row>
    <row r="46" spans="1:15" ht="18.75" customHeight="1">
      <c r="A46" s="72" t="s">
        <v>123</v>
      </c>
      <c r="B46" s="77" t="s">
        <v>36</v>
      </c>
      <c r="C46" s="90">
        <v>6151.63</v>
      </c>
      <c r="D46" s="93" t="s">
        <v>169</v>
      </c>
      <c r="E46" s="67"/>
      <c r="G46" s="66"/>
      <c r="H46" s="66"/>
      <c r="L46" s="62"/>
      <c r="M46" s="184"/>
      <c r="N46" s="62"/>
      <c r="O46" s="62"/>
    </row>
    <row r="47" spans="1:15" ht="18.75" customHeight="1">
      <c r="A47" s="72" t="s">
        <v>124</v>
      </c>
      <c r="B47" s="77" t="s">
        <v>37</v>
      </c>
      <c r="C47" s="90">
        <v>86068.57</v>
      </c>
      <c r="D47" s="93" t="s">
        <v>167</v>
      </c>
      <c r="E47" s="67"/>
      <c r="G47" s="66"/>
      <c r="H47" s="66"/>
      <c r="L47" s="62"/>
      <c r="M47" s="184"/>
      <c r="N47" s="62"/>
      <c r="O47" s="62"/>
    </row>
    <row r="48" spans="1:15" ht="18.75" customHeight="1">
      <c r="A48" s="72" t="s">
        <v>125</v>
      </c>
      <c r="B48" s="77" t="s">
        <v>38</v>
      </c>
      <c r="C48" s="92">
        <f>IF(E45-C47&lt;0,0,E45-C47)</f>
        <v>3560.7299999999959</v>
      </c>
      <c r="D48" s="79" t="s">
        <v>58</v>
      </c>
      <c r="E48" s="67"/>
      <c r="G48" s="66"/>
      <c r="H48" s="66"/>
      <c r="L48" s="62"/>
      <c r="M48" s="184"/>
      <c r="N48" s="62"/>
      <c r="O48" s="62"/>
    </row>
    <row r="49" spans="1:15" ht="18.75" customHeight="1">
      <c r="A49" s="72" t="s">
        <v>126</v>
      </c>
      <c r="B49" s="77" t="s">
        <v>39</v>
      </c>
      <c r="C49" s="92">
        <f>E45</f>
        <v>89629.3</v>
      </c>
      <c r="D49" s="79" t="s">
        <v>58</v>
      </c>
      <c r="E49" s="67"/>
      <c r="G49" s="66"/>
      <c r="H49" s="66"/>
      <c r="L49" s="62"/>
      <c r="M49" s="184"/>
      <c r="N49" s="62"/>
      <c r="O49" s="62"/>
    </row>
    <row r="50" spans="1:15" ht="18.75" customHeight="1">
      <c r="A50" s="72" t="s">
        <v>127</v>
      </c>
      <c r="B50" s="77" t="s">
        <v>40</v>
      </c>
      <c r="C50" s="92">
        <f>E45</f>
        <v>89629.3</v>
      </c>
      <c r="D50" s="79" t="s">
        <v>58</v>
      </c>
      <c r="E50" s="67"/>
      <c r="G50" s="66"/>
      <c r="H50" s="66"/>
      <c r="L50" s="62"/>
      <c r="M50" s="184"/>
      <c r="N50" s="62"/>
      <c r="O50" s="62"/>
    </row>
    <row r="51" spans="1:15" ht="18.75" customHeight="1">
      <c r="A51" s="72" t="s">
        <v>128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84"/>
      <c r="N51" s="62"/>
      <c r="O51" s="62"/>
    </row>
    <row r="52" spans="1:15" ht="29.25" customHeight="1">
      <c r="A52" s="72" t="s">
        <v>129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84"/>
      <c r="N52" s="62"/>
      <c r="O52" s="62"/>
    </row>
    <row r="53" spans="1:15" ht="18.75">
      <c r="A53" s="72" t="s">
        <v>130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108718.53</v>
      </c>
      <c r="F53" s="93" t="s">
        <v>168</v>
      </c>
      <c r="G53" s="65"/>
      <c r="H53" s="65"/>
      <c r="L53" s="62"/>
      <c r="M53" s="184"/>
      <c r="N53" s="62"/>
      <c r="O53" s="62"/>
    </row>
    <row r="54" spans="1:15" ht="18.75" customHeight="1">
      <c r="A54" s="72" t="s">
        <v>131</v>
      </c>
      <c r="B54" s="74" t="s">
        <v>36</v>
      </c>
      <c r="C54" s="97">
        <v>6138.82</v>
      </c>
      <c r="D54" s="93" t="s">
        <v>169</v>
      </c>
      <c r="E54" s="68"/>
      <c r="F54" s="88"/>
      <c r="G54" s="63"/>
      <c r="H54" s="63"/>
      <c r="L54" s="62"/>
      <c r="M54" s="184"/>
      <c r="N54" s="62"/>
      <c r="O54" s="62"/>
    </row>
    <row r="55" spans="1:15" ht="18.75" customHeight="1">
      <c r="A55" s="72" t="s">
        <v>132</v>
      </c>
      <c r="B55" s="74" t="s">
        <v>37</v>
      </c>
      <c r="C55" s="85">
        <v>104825.02</v>
      </c>
      <c r="D55" s="93" t="s">
        <v>167</v>
      </c>
      <c r="E55" s="68"/>
      <c r="G55" s="63"/>
      <c r="H55" s="63"/>
      <c r="L55" s="62"/>
      <c r="M55" s="184"/>
      <c r="N55" s="62"/>
      <c r="O55" s="62"/>
    </row>
    <row r="56" spans="1:15" ht="18.75" customHeight="1">
      <c r="A56" s="72" t="s">
        <v>133</v>
      </c>
      <c r="B56" s="74" t="s">
        <v>38</v>
      </c>
      <c r="C56" s="92">
        <f>IF(E53-C55&lt;0,0,E53-C55)</f>
        <v>3893.5099999999948</v>
      </c>
      <c r="D56" s="79" t="s">
        <v>58</v>
      </c>
      <c r="E56" s="68"/>
      <c r="G56" s="63"/>
      <c r="H56" s="63"/>
      <c r="L56" s="62"/>
      <c r="M56" s="184"/>
      <c r="N56" s="62"/>
      <c r="O56" s="62"/>
    </row>
    <row r="57" spans="1:15" ht="18.75" customHeight="1">
      <c r="A57" s="72" t="s">
        <v>134</v>
      </c>
      <c r="B57" s="74" t="s">
        <v>39</v>
      </c>
      <c r="C57" s="92">
        <f>E53</f>
        <v>108718.53</v>
      </c>
      <c r="D57" s="79" t="s">
        <v>58</v>
      </c>
      <c r="E57" s="68"/>
      <c r="G57" s="63"/>
      <c r="H57" s="63"/>
      <c r="L57" s="62"/>
      <c r="M57" s="184"/>
      <c r="N57" s="62"/>
      <c r="O57" s="62"/>
    </row>
    <row r="58" spans="1:15" ht="18.75" customHeight="1">
      <c r="A58" s="72" t="s">
        <v>135</v>
      </c>
      <c r="B58" s="74" t="s">
        <v>40</v>
      </c>
      <c r="C58" s="92">
        <f>E53</f>
        <v>108718.53</v>
      </c>
      <c r="D58" s="79" t="s">
        <v>58</v>
      </c>
      <c r="E58" s="68"/>
      <c r="G58" s="63"/>
      <c r="H58" s="63"/>
      <c r="L58" s="62"/>
      <c r="M58" s="184"/>
      <c r="N58" s="62"/>
      <c r="O58" s="62"/>
    </row>
    <row r="59" spans="1:15" ht="18.75" customHeight="1">
      <c r="A59" s="72" t="s">
        <v>136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84"/>
      <c r="N59" s="62"/>
      <c r="O59" s="62"/>
    </row>
    <row r="60" spans="1:15" ht="33.75" customHeight="1">
      <c r="A60" s="72" t="s">
        <v>137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84"/>
      <c r="N60" s="62"/>
      <c r="O60" s="62"/>
    </row>
    <row r="61" spans="1:15" ht="15.75">
      <c r="A61" s="72" t="s">
        <v>138</v>
      </c>
      <c r="B61" s="76" t="s">
        <v>79</v>
      </c>
      <c r="C61" s="95" t="str">
        <f>IF(E61&gt;0,"Предоставляется",0)</f>
        <v>Предоставляется</v>
      </c>
      <c r="D61" s="95" t="s">
        <v>54</v>
      </c>
      <c r="E61" s="94">
        <v>94755.839999999997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36</v>
      </c>
      <c r="C62" s="97">
        <v>175.34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37</v>
      </c>
      <c r="C63" s="85">
        <v>92268.33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38</v>
      </c>
      <c r="C64" s="92">
        <f>IF(E61-C63&lt;0,0,E61-C63)</f>
        <v>2487.5099999999948</v>
      </c>
      <c r="D64" s="79" t="s">
        <v>58</v>
      </c>
      <c r="E64" s="68"/>
      <c r="G64" s="63"/>
      <c r="H64" s="63"/>
    </row>
    <row r="65" spans="1:8" ht="15.75" customHeight="1">
      <c r="A65" s="72" t="s">
        <v>142</v>
      </c>
      <c r="B65" s="74" t="s">
        <v>39</v>
      </c>
      <c r="C65" s="92">
        <f>E61</f>
        <v>94755.839999999997</v>
      </c>
      <c r="D65" s="79" t="s">
        <v>58</v>
      </c>
      <c r="E65" s="68"/>
      <c r="G65" s="63"/>
      <c r="H65" s="63"/>
    </row>
    <row r="66" spans="1:8" ht="15.75" customHeight="1">
      <c r="A66" s="72" t="s">
        <v>143</v>
      </c>
      <c r="B66" s="74" t="s">
        <v>40</v>
      </c>
      <c r="C66" s="92">
        <f>E61</f>
        <v>94755.839999999997</v>
      </c>
      <c r="D66" s="79" t="s">
        <v>58</v>
      </c>
      <c r="E66" s="68"/>
      <c r="G66" s="63"/>
      <c r="H66" s="63"/>
    </row>
    <row r="67" spans="1:8" ht="15.75" customHeight="1">
      <c r="A67" s="72" t="s">
        <v>144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145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>
        <f>IF(E69&gt;0,"Предоставляется",0)</f>
        <v>0</v>
      </c>
      <c r="D69" s="95" t="s">
        <v>54</v>
      </c>
      <c r="E69" s="94"/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36</v>
      </c>
      <c r="C70" s="97"/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37</v>
      </c>
      <c r="C71" s="85"/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150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151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152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153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/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36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37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158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159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160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161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1" sqref="C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45</v>
      </c>
      <c r="C3" s="104">
        <v>1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46</v>
      </c>
      <c r="C4" s="105">
        <v>24500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2024-03-29T01:40:00Z</dcterms:modified>
</cp:coreProperties>
</file>