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10" i="2" l="1"/>
  <c r="G1" i="2" l="1"/>
  <c r="H63" i="2" l="1"/>
  <c r="F63" i="2"/>
  <c r="H59" i="2"/>
  <c r="F59" i="2"/>
  <c r="H53" i="2"/>
  <c r="H54" i="2" s="1"/>
  <c r="H60" i="2" l="1"/>
  <c r="H61" i="2" s="1"/>
  <c r="H64" i="2"/>
  <c r="H65" i="2" s="1"/>
  <c r="D3" i="2" l="1"/>
  <c r="C7" i="3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5" i="1"/>
  <c r="G102" i="1"/>
  <c r="J101" i="1"/>
  <c r="J96" i="1"/>
  <c r="J95" i="1"/>
  <c r="A100" i="1"/>
  <c r="A96" i="1"/>
  <c r="G94" i="1"/>
  <c r="D94" i="1"/>
  <c r="K94" i="1"/>
  <c r="F102" i="1" l="1"/>
  <c r="A109" i="1"/>
  <c r="A112" i="1"/>
  <c r="D110" i="1"/>
  <c r="A113" i="1"/>
  <c r="A119" i="1"/>
  <c r="A120" i="1"/>
  <c r="A118" i="1"/>
  <c r="A115" i="1"/>
  <c r="A110" i="1"/>
  <c r="A111" i="1"/>
  <c r="A117" i="1"/>
  <c r="A141" i="1"/>
  <c r="A97" i="1"/>
  <c r="A101" i="1"/>
  <c r="A98" i="1"/>
  <c r="A123" i="1"/>
  <c r="F94" i="1"/>
  <c r="F134" i="1"/>
  <c r="D118" i="1"/>
  <c r="A94" i="1"/>
  <c r="A95" i="1"/>
  <c r="A114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F175" i="1"/>
  <c r="F178" i="1"/>
  <c r="F172" i="1"/>
  <c r="H172" i="1"/>
  <c r="H171" i="1"/>
  <c r="H168" i="1"/>
  <c r="H176" i="1"/>
  <c r="H177" i="1"/>
  <c r="H165" i="1"/>
  <c r="H173" i="1"/>
  <c r="F173" i="1"/>
  <c r="H184" i="1"/>
  <c r="H179" i="1"/>
  <c r="F170" i="1"/>
  <c r="F171" i="1"/>
  <c r="H170" i="1"/>
  <c r="H186" i="1"/>
  <c r="F167" i="1"/>
  <c r="F165" i="1"/>
  <c r="H167" i="1"/>
  <c r="F177" i="1"/>
  <c r="F179" i="1"/>
  <c r="H164" i="1"/>
  <c r="F186" i="1"/>
  <c r="H187" i="1"/>
  <c r="F176" i="1"/>
  <c r="F187" i="1"/>
  <c r="F181" i="1"/>
  <c r="H182" i="1"/>
  <c r="F168" i="1"/>
  <c r="H166" i="1"/>
  <c r="F184" i="1"/>
  <c r="F180" i="1"/>
  <c r="F185" i="1"/>
  <c r="F164" i="1"/>
  <c r="F182" i="1"/>
  <c r="H169" i="1"/>
  <c r="F169" i="1"/>
  <c r="H185" i="1"/>
  <c r="H181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<sst xmlns="http://schemas.openxmlformats.org/spreadsheetml/2006/main" count="585" uniqueCount="225">
  <si>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</si>
  <si>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</si>
  <si>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</si>
  <si>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</si>
  <si>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</si>
  <si>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</si>
  <si>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</si>
  <si>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</si>
  <si>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</si>
  <si>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</si>
  <si>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</si>
  <si>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</si>
  <si>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</si>
  <si>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</si>
  <si>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</si>
  <si>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</si>
  <si>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</si>
  <si>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</si>
  <si>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</si>
  <si>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</si>
  <si>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</si>
  <si>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</si>
  <si>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</si>
  <si>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</si>
  <si>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</si>
  <si>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</si>
  <si>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</si>
  <si>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</si>
  <si>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</si>
  <si>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</si>
  <si>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</si>
  <si>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</si>
  <si>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</si>
  <si>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</si>
  <si>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</si>
  <si>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</si>
  <si>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</si>
  <si>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</si>
  <si>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</si>
  <si>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</si>
  <si>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</si>
  <si>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</si>
  <si>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</si>
  <si>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</si>
  <si>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</si>
  <si>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</si>
  <si>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</si>
  <si>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</si>
  <si>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</si>
  <si>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</si>
  <si>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</si>
  <si>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</si>
  <si>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</si>
  <si>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</si>
  <si>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</si>
  <si>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</si>
  <si>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</si>
  <si>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</si>
  <si>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</si>
  <si>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</si>
  <si>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</si>
  <si>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</si>
  <si>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</si>
  <si>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</si>
  <si>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</si>
  <si>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</si>
  <si>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</si>
  <si>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</si>
  <si>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</si>
  <si>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</si>
  <si>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</si>
  <si>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</si>
  <si>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</si>
  <si>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</si>
  <si>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</si>
  <si>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</si>
  <si>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</si>
  <si>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</si>
  <si>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</si>
  <si>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</si>
  <si>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</si>
  <si>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</si>
  <si>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</si>
  <si>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</si>
  <si>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</si>
  <si>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</si>
  <si>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</si>
  <si>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</si>
  <si>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</si>
  <si>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</si>
  <si>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</si>
  <si>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</si>
  <si>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</si>
  <si>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</si>
  <si>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</si>
  <si>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</si>
  <si>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</si>
  <si>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</si>
  <si>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</si>
  <si>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</si>
  <si>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</si>
  <si>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</si>
  <si>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</si>
  <si>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</si>
  <si>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</si>
  <si>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</si>
  <si>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</si>
  <si>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</si>
  <si>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</si>
  <si>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</si>
  <si>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</si>
  <si>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</si>
  <si>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</si>
  <si>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</si>
  <si>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</si>
  <si>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</si>
  <si>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</si>
  <si>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</si>
  <si>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</si>
  <si>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</si>
  <si>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</si>
  <si>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</si>
  <si>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</si>
  <si>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</si>
  <si>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</si>
  <si>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</si>
  <si>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</si>
  <si>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</si>
  <si>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</si>
  <si>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</si>
  <si>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</si>
  <si>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</si>
  <si>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</si>
  <si>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</si>
  <si>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</si>
  <si>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</si>
  <si>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</si>
  <si>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</si>
  <si>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</si>
  <si>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</si>
  <si>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</si>
  <si>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</si>
  <si>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</si>
  <si>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</si>
  <si>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</si>
  <si>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</si>
  <si>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</si>
  <si>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</si>
  <si>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</si>
  <si>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</si>
  <si>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</si>
  <si>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</si>
  <si>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</si>
  <si>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</si>
  <si>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</si>
  <si>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</si>
  <si>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</si>
  <si>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</si>
  <si>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</si>
  <si>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</si>
  <si>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</si>
  <si>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</si>
  <si>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</si>
  <si>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</si>
  <si>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</si>
  <si>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</si>
  <si>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</si>
  <si>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</si>
  <si>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</si>
  <si>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</si>
  <si>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</si>
  <si>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</si>
  <si>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</si>
  <si>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</si>
  <si>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</si>
  <si>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</si>
  <si>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</si>
  <si>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</si>
  <si>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244/4</t>
  </si>
  <si>
    <t>Техническое освидетельствование лифтов.</t>
  </si>
  <si>
    <t>ежегодно</t>
  </si>
  <si>
    <t>Техническое обслуживание системы видеонаблюдения.</t>
  </si>
  <si>
    <t>ежемесячно</t>
  </si>
  <si>
    <t>площадь дома</t>
  </si>
  <si>
    <t xml:space="preserve">  -  замена тамбурных дверей </t>
  </si>
  <si>
    <t xml:space="preserve">  -  замена дверей выхода на пожарную лестницу</t>
  </si>
  <si>
    <t>Отчет об исполнении договора управления многоквартирного дома 
Байкальская, 244/4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</si>
  <si>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</si>
  <si>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</si>
  <si>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</si>
  <si>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</si>
  <si>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</si>
  <si>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</si>
  <si>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</si>
  <si>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</si>
  <si>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>разово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</si>
  <si>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</si>
  <si>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</si>
  <si>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</si>
  <si>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</si>
  <si>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</si>
  <si>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</si>
  <si>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Восстановление питания электромагнитного замка (15 этаж).</t>
  </si>
  <si>
    <t>Замена блока питания и ремонт доводчика (5 этаж).</t>
  </si>
  <si>
    <t>АВР 1/23 от 21.01.2023, счет №48 от 28.02.2023</t>
  </si>
  <si>
    <t>АВР 2/23 от 26.01.2023, счет №21 от 31.01.2023</t>
  </si>
  <si>
    <t>АВР 3/23 от 02.02.2023</t>
  </si>
  <si>
    <t>АВР 4/23 от 13.0.2023, счет №143 от 31.05.2023</t>
  </si>
  <si>
    <t>Замена вкладышей направляющих кабины лифта.</t>
  </si>
  <si>
    <t>Замена гибкой вставки (д50), на трубопроводе ХВС (цокольный этаж).</t>
  </si>
  <si>
    <t>АВР 5/23 от 30.05.2023</t>
  </si>
  <si>
    <t>АВР 6/23 от 09.06.2023, счет №82 от 07.06.2023</t>
  </si>
  <si>
    <t>Перекатка пожарных рукавов на новую скатку (13 шт.).</t>
  </si>
  <si>
    <t>счет №4884 от 10.07.2023</t>
  </si>
  <si>
    <t>Испытания внутреннего пожарного водопровода на водоотдачу (28 шт.).</t>
  </si>
  <si>
    <t>Ремонт подъезда (4 этаж).</t>
  </si>
  <si>
    <t>АВР 7/23 от 17.08.2023, счет №5268 от 11.07.2023</t>
  </si>
  <si>
    <t>АВР 8/23 от 11.10.2023, счет №4884 от 10.07.2023</t>
  </si>
  <si>
    <t>АВР 9/23 от 12.10.2023, Решение, счет №100923/1 от 11.09.2023</t>
  </si>
  <si>
    <t>АВР 10/23 от 02.11.2023</t>
  </si>
  <si>
    <t>счет №86 от 05.10.2023</t>
  </si>
  <si>
    <t xml:space="preserve">  -  ремонт контейнерной площадки</t>
  </si>
  <si>
    <t>Приобретение и замена коммутатора системы видеонаблюдения.</t>
  </si>
  <si>
    <t>Замена блока питания и контроллера системы электромагнитного замка (5 и 8 этажи).</t>
  </si>
  <si>
    <t>Приобретение и замена  манометров (14 шт.) и термометров (10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</si>
</sst>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</cellStyleXfs>
  <cellXfs count="215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0" fillId="0" borderId="0" xfId="0" applyFill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15" fillId="0" borderId="0" xfId="7" applyFill="1" applyBorder="1" applyAlignment="1">
      <alignment horizontal="center"/>
    </xf>
    <xf numFmtId="4" fontId="30" fillId="0" borderId="0" xfId="7" applyNumberFormat="1" applyFont="1" applyFill="1" applyBorder="1" applyAlignment="1"/>
    <xf numFmtId="0" fontId="14" fillId="0" borderId="0" xfId="6" applyFont="1" applyFill="1" applyBorder="1" applyAlignment="1"/>
    <xf numFmtId="0" fontId="14" fillId="0" borderId="0" xfId="4" applyFont="1" applyFill="1" applyBorder="1" applyAlignment="1"/>
    <xf numFmtId="0" fontId="14" fillId="0" borderId="0" xfId="5" applyFont="1" applyFill="1"/>
    <xf numFmtId="0" fontId="15" fillId="0" borderId="0" xfId="6" applyFont="1" applyFill="1" applyBorder="1" applyAlignment="1"/>
    <xf numFmtId="0" fontId="15" fillId="0" borderId="0" xfId="7" applyFont="1" applyFill="1" applyBorder="1" applyAlignment="1">
      <alignment horizontal="center"/>
    </xf>
    <xf numFmtId="0" fontId="12" fillId="0" borderId="0" xfId="2" applyFont="1" applyFill="1" applyBorder="1" applyAlignment="1"/>
    <xf numFmtId="0" fontId="13" fillId="0" borderId="0" xfId="2" applyFont="1" applyFill="1" applyBorder="1" applyAlignment="1"/>
    <xf numFmtId="0" fontId="13" fillId="0" borderId="0" xfId="5" applyFont="1" applyFill="1"/>
    <xf numFmtId="0" fontId="11" fillId="0" borderId="0" xfId="6" applyFont="1" applyFill="1" applyBorder="1" applyAlignment="1"/>
    <xf numFmtId="0" fontId="11" fillId="0" borderId="0" xfId="5" applyFont="1" applyFill="1"/>
    <xf numFmtId="0" fontId="1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7" fillId="0" borderId="0" xfId="4" applyFill="1" applyBorder="1" applyAlignment="1">
      <alignment horizontal="center"/>
    </xf>
    <xf numFmtId="0" fontId="0" fillId="0" borderId="0" xfId="0" applyFill="1" applyBorder="1"/>
    <xf numFmtId="0" fontId="33" fillId="0" borderId="0" xfId="0" applyFont="1" applyFill="1" applyBorder="1" applyAlignment="1">
      <alignment horizontal="center" vertical="center" wrapText="1"/>
    </xf>
    <xf numFmtId="4" fontId="0" fillId="0" borderId="0" xfId="0" applyNumberFormat="1" applyBorder="1" applyAlignment="1">
      <alignment horizontal="center"/>
    </xf>
    <xf numFmtId="4" fontId="32" fillId="3" borderId="0" xfId="16" applyNumberFormat="1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0" fillId="0" borderId="0" xfId="0" applyBorder="1" applyAlignment="1">
      <alignment horizontal="center"/>
    </xf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0" fontId="23" fillId="0" borderId="0" xfId="20" applyFont="1" applyFill="1" applyBorder="1" applyAlignment="1">
      <alignment wrapText="1"/>
    </xf>
    <xf numFmtId="4" fontId="22" fillId="0" borderId="0" xfId="20" applyNumberFormat="1" applyFont="1" applyAlignment="1">
      <alignment horizontal="right"/>
    </xf>
    <xf numFmtId="0" fontId="22" fillId="0" borderId="0" xfId="0" applyFont="1" applyFill="1" applyBorder="1" applyAlignment="1">
      <alignment horizontal="left"/>
    </xf>
    <xf numFmtId="4" fontId="22" fillId="0" borderId="0" xfId="0" applyNumberFormat="1" applyFont="1" applyFill="1" applyAlignment="1">
      <alignment horizontal="right"/>
    </xf>
    <xf numFmtId="0" fontId="0" fillId="6" borderId="0" xfId="0" applyFill="1" applyBorder="1"/>
    <xf numFmtId="0" fontId="18" fillId="6" borderId="0" xfId="2" applyFill="1" applyBorder="1" applyAlignment="1"/>
    <xf numFmtId="0" fontId="18" fillId="6" borderId="0" xfId="2" applyFill="1" applyBorder="1" applyAlignment="1">
      <alignment horizontal="center"/>
    </xf>
    <xf numFmtId="4" fontId="18" fillId="6" borderId="0" xfId="2" applyNumberFormat="1" applyFill="1" applyBorder="1" applyAlignment="1"/>
    <xf numFmtId="0" fontId="30" fillId="0" borderId="0" xfId="11" applyFont="1" applyFill="1" applyBorder="1" applyAlignment="1"/>
    <xf numFmtId="0" fontId="30" fillId="0" borderId="0" xfId="5" applyFont="1" applyFill="1" applyBorder="1" applyAlignment="1"/>
    <xf numFmtId="0" fontId="30" fillId="0" borderId="0" xfId="5" applyFont="1" applyFill="1" applyBorder="1" applyAlignment="1">
      <alignment horizontal="center" vertical="center"/>
    </xf>
    <xf numFmtId="0" fontId="30" fillId="0" borderId="0" xfId="5" applyFont="1" applyFill="1" applyBorder="1" applyAlignment="1">
      <alignment horizontal="center"/>
    </xf>
    <xf numFmtId="4" fontId="30" fillId="0" borderId="0" xfId="5" applyNumberFormat="1" applyFont="1" applyFill="1" applyBorder="1" applyAlignment="1"/>
    <xf numFmtId="0" fontId="7" fillId="0" borderId="0" xfId="5" applyFont="1" applyFill="1" applyBorder="1"/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7" fillId="0" borderId="0" xfId="26" applyFont="1" applyFill="1" applyBorder="1"/>
    <xf numFmtId="0" fontId="7" fillId="0" borderId="0" xfId="2" applyFont="1" applyFill="1" applyBorder="1" applyAlignment="1"/>
    <xf numFmtId="0" fontId="6" fillId="0" borderId="0" xfId="4" applyFont="1" applyFill="1" applyBorder="1" applyAlignment="1"/>
    <xf numFmtId="0" fontId="5" fillId="6" borderId="0" xfId="29" applyFont="1" applyFill="1" applyBorder="1" applyAlignment="1">
      <alignment horizontal="center"/>
    </xf>
    <xf numFmtId="4" fontId="5" fillId="6" borderId="0" xfId="29" applyNumberFormat="1" applyFill="1" applyBorder="1" applyAlignment="1"/>
    <xf numFmtId="0" fontId="5" fillId="6" borderId="0" xfId="29" applyFont="1" applyFill="1" applyBorder="1"/>
    <xf numFmtId="0" fontId="5" fillId="6" borderId="0" xfId="29" applyFont="1" applyFill="1" applyBorder="1" applyAlignment="1"/>
    <xf numFmtId="1" fontId="5" fillId="6" borderId="0" xfId="29" applyNumberForma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5" fillId="0" borderId="0" xfId="28" applyFont="1" applyFill="1" applyBorder="1" applyAlignment="1"/>
    <xf numFmtId="0" fontId="5" fillId="0" borderId="0" xfId="29" applyFont="1" applyFill="1" applyBorder="1" applyAlignment="1">
      <alignment horizontal="center"/>
    </xf>
    <xf numFmtId="4" fontId="5" fillId="0" borderId="0" xfId="29" applyNumberFormat="1" applyFill="1" applyBorder="1" applyAlignment="1"/>
    <xf numFmtId="0" fontId="3" fillId="0" borderId="0" xfId="29" applyFont="1" applyFill="1" applyBorder="1"/>
    <xf numFmtId="0" fontId="30" fillId="0" borderId="0" xfId="2" applyFont="1" applyFill="1" applyBorder="1" applyAlignment="1">
      <alignment horizontal="center"/>
    </xf>
    <xf numFmtId="0" fontId="30" fillId="0" borderId="0" xfId="2" applyNumberFormat="1" applyFont="1" applyFill="1" applyBorder="1" applyAlignment="1">
      <alignment horizontal="center"/>
    </xf>
    <xf numFmtId="4" fontId="30" fillId="0" borderId="0" xfId="2" applyNumberFormat="1" applyFont="1" applyFill="1" applyBorder="1" applyAlignment="1"/>
    <xf numFmtId="0" fontId="0" fillId="6" borderId="0" xfId="0" applyFill="1" applyBorder="1" applyAlignment="1">
      <alignment horizontal="center"/>
    </xf>
    <xf numFmtId="4" fontId="0" fillId="6" borderId="0" xfId="0" applyNumberFormat="1" applyFill="1" applyBorder="1"/>
    <xf numFmtId="0" fontId="2" fillId="6" borderId="0" xfId="4" applyFont="1" applyFill="1" applyBorder="1" applyAlignment="1"/>
    <xf numFmtId="0" fontId="1" fillId="6" borderId="0" xfId="6" applyFont="1" applyFill="1" applyBorder="1" applyAlignment="1"/>
    <xf numFmtId="0" fontId="1" fillId="0" borderId="0" xfId="29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30">
    <cellStyle name="Обычный" xfId="0" builtinId="0"/>
    <cellStyle name="Обычный 2" xfId="1"/>
    <cellStyle name="Обычный 2 2" xfId="3"/>
    <cellStyle name="Обычный 2 3" xfId="12"/>
    <cellStyle name="Обычный 2 3 2" xfId="21"/>
    <cellStyle name="Обычный 2 4" xfId="8"/>
    <cellStyle name="Обычный 2 5" xfId="16"/>
    <cellStyle name="Обычный 3" xfId="2"/>
    <cellStyle name="Обычный 3 2" xfId="13"/>
    <cellStyle name="Обычный 3 2 2" xfId="22"/>
    <cellStyle name="Обычный 3 3" xfId="9"/>
    <cellStyle name="Обычный 3 4" xfId="17"/>
    <cellStyle name="Обычный 3 7" xfId="28"/>
    <cellStyle name="Обычный 4" xfId="4"/>
    <cellStyle name="Обычный 4 2" xfId="14"/>
    <cellStyle name="Обычный 4 2 2" xfId="7"/>
    <cellStyle name="Обычный 4 2 3" xfId="23"/>
    <cellStyle name="Обычный 4 3" xfId="10"/>
    <cellStyle name="Обычный 4 4" xfId="18"/>
    <cellStyle name="Обычный 5" xfId="5"/>
    <cellStyle name="Обычный 5 2" xfId="15"/>
    <cellStyle name="Обычный 5 2 2" xfId="24"/>
    <cellStyle name="Обычный 5 3" xfId="6"/>
    <cellStyle name="Обычный 5 3 2" xfId="27"/>
    <cellStyle name="Обычный 5 4" xfId="11"/>
    <cellStyle name="Обычный 5 5" xfId="19"/>
    <cellStyle name="Обычный 5 7" xfId="29"/>
    <cellStyle name="Обычный 6" xfId="20"/>
    <cellStyle name="Обычный 6 2" xfId="25"/>
    <cellStyle name="Обычный 6 3" xf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58" sqref="A158:XFD15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205" t="s">
        <v>178</v>
      </c>
      <c r="B2" s="205"/>
      <c r="C2" s="205"/>
      <c r="D2" s="205"/>
      <c r="E2" s="205"/>
      <c r="F2" s="205"/>
      <c r="G2" s="205"/>
      <c r="H2" s="205"/>
      <c r="I2" s="205"/>
      <c r="J2" s="205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44927</v>
      </c>
      <c r="K4" s="108"/>
      <c r="L4" s="108"/>
      <c r="M4" s="108"/>
      <c r="N4" s="108"/>
    </row>
    <row r="5" spans="1:18">
      <c r="A5" s="1" t="s">
        <v>1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202" t="s">
        <v>2</v>
      </c>
      <c r="B8" s="203"/>
      <c r="C8" s="203"/>
      <c r="D8" s="203"/>
      <c r="E8" s="203"/>
      <c r="F8" s="203"/>
      <c r="G8" s="203"/>
      <c r="H8" s="203"/>
      <c r="I8" s="204"/>
      <c r="J8" s="17">
        <f t="shared" ref="J8:J24" si="0">VLOOKUP(O8,АО,3,FALSE)</f>
        <v>0</v>
      </c>
      <c r="K8" s="108"/>
      <c r="L8" s="206"/>
      <c r="M8" s="108"/>
      <c r="N8" s="108"/>
      <c r="O8" s="69" t="s">
        <v>83</v>
      </c>
      <c r="R8" s="16"/>
    </row>
    <row r="9" spans="1:18" ht="18.75" customHeight="1" outlineLevel="1">
      <c r="A9" s="202" t="s">
        <v>3</v>
      </c>
      <c r="B9" s="203"/>
      <c r="C9" s="203"/>
      <c r="D9" s="203"/>
      <c r="E9" s="203"/>
      <c r="F9" s="203"/>
      <c r="G9" s="203"/>
      <c r="H9" s="203"/>
      <c r="I9" s="204"/>
      <c r="J9" s="17">
        <f t="shared" si="0"/>
        <v>0</v>
      </c>
      <c r="K9" s="108"/>
      <c r="L9" s="206"/>
      <c r="M9" s="108"/>
      <c r="N9" s="108"/>
      <c r="O9" s="69" t="s">
        <v>84</v>
      </c>
    </row>
    <row r="10" spans="1:18" ht="18.75" customHeight="1" outlineLevel="1">
      <c r="A10" s="202" t="s">
        <v>4</v>
      </c>
      <c r="B10" s="203"/>
      <c r="C10" s="203"/>
      <c r="D10" s="203"/>
      <c r="E10" s="203"/>
      <c r="F10" s="203"/>
      <c r="G10" s="203"/>
      <c r="H10" s="203"/>
      <c r="I10" s="204"/>
      <c r="J10" s="17">
        <f t="shared" si="0"/>
        <v>281457.39</v>
      </c>
      <c r="K10" s="108"/>
      <c r="L10" s="206"/>
      <c r="M10" s="108"/>
      <c r="N10" s="108"/>
      <c r="O10" s="69" t="s">
        <v>85</v>
      </c>
    </row>
    <row r="11" spans="1:18" outlineLevel="1">
      <c r="A11" s="202" t="s">
        <v>5</v>
      </c>
      <c r="B11" s="203"/>
      <c r="C11" s="203"/>
      <c r="D11" s="203"/>
      <c r="E11" s="203"/>
      <c r="F11" s="203"/>
      <c r="G11" s="203"/>
      <c r="H11" s="203"/>
      <c r="I11" s="204"/>
      <c r="J11" s="17">
        <f t="shared" si="0"/>
        <v>938607.60000000009</v>
      </c>
      <c r="K11" s="108"/>
      <c r="L11" s="206"/>
      <c r="M11" s="108"/>
      <c r="N11" s="108"/>
      <c r="O11" s="69" t="s">
        <v>86</v>
      </c>
    </row>
    <row r="12" spans="1:18" ht="18.75" customHeight="1" outlineLevel="1">
      <c r="A12" s="202" t="s">
        <v>6</v>
      </c>
      <c r="B12" s="203"/>
      <c r="C12" s="203"/>
      <c r="D12" s="203"/>
      <c r="E12" s="203"/>
      <c r="F12" s="203"/>
      <c r="G12" s="203"/>
      <c r="H12" s="203"/>
      <c r="I12" s="204"/>
      <c r="J12" s="17">
        <f t="shared" si="0"/>
        <v>709096.8</v>
      </c>
      <c r="K12" s="108"/>
      <c r="L12" s="206"/>
      <c r="M12" s="108"/>
      <c r="N12" s="108"/>
      <c r="O12" s="69" t="s">
        <v>87</v>
      </c>
    </row>
    <row r="13" spans="1:18" ht="18.75" customHeight="1" outlineLevel="1">
      <c r="A13" s="202" t="s">
        <v>7</v>
      </c>
      <c r="B13" s="203"/>
      <c r="C13" s="203"/>
      <c r="D13" s="203"/>
      <c r="E13" s="203"/>
      <c r="F13" s="203"/>
      <c r="G13" s="203"/>
      <c r="H13" s="203"/>
      <c r="I13" s="204"/>
      <c r="J13" s="17">
        <f t="shared" si="0"/>
        <v>229510.80000000002</v>
      </c>
      <c r="K13" s="108"/>
      <c r="L13" s="206"/>
      <c r="M13" s="108"/>
      <c r="N13" s="108"/>
      <c r="O13" s="69" t="s">
        <v>88</v>
      </c>
    </row>
    <row r="14" spans="1:18" ht="18.75" customHeight="1" outlineLevel="1">
      <c r="A14" s="202" t="s">
        <v>8</v>
      </c>
      <c r="B14" s="203"/>
      <c r="C14" s="203"/>
      <c r="D14" s="203"/>
      <c r="E14" s="203"/>
      <c r="F14" s="203"/>
      <c r="G14" s="203"/>
      <c r="H14" s="203"/>
      <c r="I14" s="204"/>
      <c r="J14" s="17">
        <f t="shared" si="0"/>
        <v>0</v>
      </c>
      <c r="K14" s="108"/>
      <c r="L14" s="206"/>
      <c r="M14" s="108"/>
      <c r="N14" s="108"/>
      <c r="O14" s="69" t="s">
        <v>89</v>
      </c>
    </row>
    <row r="15" spans="1:18" ht="18.75" customHeight="1" outlineLevel="1">
      <c r="A15" s="202" t="s">
        <v>9</v>
      </c>
      <c r="B15" s="203"/>
      <c r="C15" s="203"/>
      <c r="D15" s="203"/>
      <c r="E15" s="203"/>
      <c r="F15" s="203"/>
      <c r="G15" s="203"/>
      <c r="H15" s="203"/>
      <c r="I15" s="204"/>
      <c r="J15" s="17">
        <f t="shared" si="0"/>
        <v>858693.92</v>
      </c>
      <c r="K15" s="108"/>
      <c r="L15" s="206"/>
      <c r="M15" s="108"/>
      <c r="N15" s="108"/>
      <c r="O15" s="69" t="s">
        <v>90</v>
      </c>
    </row>
    <row r="16" spans="1:18" ht="18.75" customHeight="1" outlineLevel="1">
      <c r="A16" s="202" t="s">
        <v>10</v>
      </c>
      <c r="B16" s="203"/>
      <c r="C16" s="203"/>
      <c r="D16" s="203"/>
      <c r="E16" s="203"/>
      <c r="F16" s="203"/>
      <c r="G16" s="203"/>
      <c r="H16" s="203"/>
      <c r="I16" s="204"/>
      <c r="J16" s="17">
        <f t="shared" si="0"/>
        <v>858693.92</v>
      </c>
      <c r="K16" s="108"/>
      <c r="L16" s="206"/>
      <c r="M16" s="108"/>
      <c r="N16" s="108"/>
      <c r="O16" s="69" t="s">
        <v>91</v>
      </c>
    </row>
    <row r="17" spans="1:23" ht="18.75" customHeight="1" outlineLevel="1">
      <c r="A17" s="202" t="s">
        <v>11</v>
      </c>
      <c r="B17" s="203"/>
      <c r="C17" s="203"/>
      <c r="D17" s="203"/>
      <c r="E17" s="203"/>
      <c r="F17" s="203"/>
      <c r="G17" s="203"/>
      <c r="H17" s="203"/>
      <c r="I17" s="204"/>
      <c r="J17" s="17">
        <f t="shared" si="0"/>
        <v>0</v>
      </c>
      <c r="K17" s="108"/>
      <c r="L17" s="206"/>
      <c r="M17" s="108"/>
      <c r="N17" s="108"/>
      <c r="O17" s="69" t="s">
        <v>92</v>
      </c>
    </row>
    <row r="18" spans="1:23" ht="18.75" customHeight="1" outlineLevel="1">
      <c r="A18" s="202" t="s">
        <v>12</v>
      </c>
      <c r="B18" s="203"/>
      <c r="C18" s="203"/>
      <c r="D18" s="203"/>
      <c r="E18" s="203"/>
      <c r="F18" s="203"/>
      <c r="G18" s="203"/>
      <c r="H18" s="203"/>
      <c r="I18" s="204"/>
      <c r="J18" s="17">
        <f t="shared" si="0"/>
        <v>0</v>
      </c>
      <c r="K18" s="108"/>
      <c r="L18" s="206"/>
      <c r="M18" s="108"/>
      <c r="N18" s="108"/>
      <c r="O18" s="69" t="s">
        <v>93</v>
      </c>
    </row>
    <row r="19" spans="1:23" ht="18.75" customHeight="1" outlineLevel="1">
      <c r="A19" s="202" t="s">
        <v>13</v>
      </c>
      <c r="B19" s="203"/>
      <c r="C19" s="203"/>
      <c r="D19" s="203"/>
      <c r="E19" s="203"/>
      <c r="F19" s="203"/>
      <c r="G19" s="203"/>
      <c r="H19" s="203"/>
      <c r="I19" s="204"/>
      <c r="J19" s="17">
        <f t="shared" si="0"/>
        <v>0</v>
      </c>
      <c r="K19" s="108"/>
      <c r="L19" s="206"/>
      <c r="M19" s="108"/>
      <c r="N19" s="108"/>
      <c r="O19" s="69" t="s">
        <v>94</v>
      </c>
    </row>
    <row r="20" spans="1:23" ht="18.75" customHeight="1" outlineLevel="1">
      <c r="A20" s="202" t="s">
        <v>14</v>
      </c>
      <c r="B20" s="203"/>
      <c r="C20" s="203"/>
      <c r="D20" s="203"/>
      <c r="E20" s="203"/>
      <c r="F20" s="203"/>
      <c r="G20" s="203"/>
      <c r="H20" s="203"/>
      <c r="I20" s="204"/>
      <c r="J20" s="17">
        <f t="shared" si="0"/>
        <v>0</v>
      </c>
      <c r="K20" s="108"/>
      <c r="L20" s="206"/>
      <c r="M20" s="108"/>
      <c r="N20" s="108"/>
      <c r="O20" s="69" t="s">
        <v>95</v>
      </c>
    </row>
    <row r="21" spans="1:23" ht="18.75" customHeight="1" outlineLevel="1">
      <c r="A21" s="202" t="s">
        <v>15</v>
      </c>
      <c r="B21" s="203"/>
      <c r="C21" s="203"/>
      <c r="D21" s="203"/>
      <c r="E21" s="203"/>
      <c r="F21" s="203"/>
      <c r="G21" s="203"/>
      <c r="H21" s="203"/>
      <c r="I21" s="204"/>
      <c r="J21" s="17">
        <f t="shared" si="0"/>
        <v>858693.92</v>
      </c>
      <c r="K21" s="108"/>
      <c r="L21" s="206"/>
      <c r="M21" s="108"/>
      <c r="N21" s="108"/>
      <c r="O21" s="69" t="s">
        <v>96</v>
      </c>
    </row>
    <row r="22" spans="1:23" ht="18.75" customHeight="1" outlineLevel="1">
      <c r="A22" s="202" t="s">
        <v>16</v>
      </c>
      <c r="B22" s="203"/>
      <c r="C22" s="203"/>
      <c r="D22" s="203"/>
      <c r="E22" s="203"/>
      <c r="F22" s="203"/>
      <c r="G22" s="203"/>
      <c r="H22" s="203"/>
      <c r="I22" s="204"/>
      <c r="J22" s="17">
        <f t="shared" si="0"/>
        <v>0</v>
      </c>
      <c r="K22" s="108"/>
      <c r="L22" s="206"/>
      <c r="M22" s="108"/>
      <c r="N22" s="108"/>
      <c r="O22" s="69" t="s">
        <v>97</v>
      </c>
    </row>
    <row r="23" spans="1:23" ht="18.75" customHeight="1" outlineLevel="1">
      <c r="A23" s="202" t="s">
        <v>17</v>
      </c>
      <c r="B23" s="203"/>
      <c r="C23" s="203"/>
      <c r="D23" s="203"/>
      <c r="E23" s="203"/>
      <c r="F23" s="203"/>
      <c r="G23" s="203"/>
      <c r="H23" s="203"/>
      <c r="I23" s="204"/>
      <c r="J23" s="17">
        <f t="shared" si="0"/>
        <v>0</v>
      </c>
      <c r="K23" s="108"/>
      <c r="L23" s="206"/>
      <c r="M23" s="108"/>
      <c r="N23" s="108"/>
      <c r="O23" s="69" t="s">
        <v>98</v>
      </c>
    </row>
    <row r="24" spans="1:23" ht="18.75" customHeight="1" outlineLevel="1">
      <c r="A24" s="202" t="s">
        <v>18</v>
      </c>
      <c r="B24" s="203"/>
      <c r="C24" s="203"/>
      <c r="D24" s="203"/>
      <c r="E24" s="203"/>
      <c r="F24" s="203"/>
      <c r="G24" s="203"/>
      <c r="H24" s="203"/>
      <c r="I24" s="204"/>
      <c r="J24" s="17">
        <f t="shared" si="0"/>
        <v>361371.07000000018</v>
      </c>
      <c r="K24" s="108"/>
      <c r="L24" s="206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89" t="s">
        <v>19</v>
      </c>
      <c r="B27" s="189"/>
      <c r="C27" s="189"/>
      <c r="D27" s="189"/>
      <c r="E27" s="189"/>
      <c r="F27" s="189" t="s">
        <v>20</v>
      </c>
      <c r="G27" s="189"/>
      <c r="H27" s="5" t="s">
        <v>57</v>
      </c>
      <c r="I27" s="189" t="s">
        <v>21</v>
      </c>
      <c r="J27" s="189"/>
      <c r="K27" s="108"/>
      <c r="L27" s="20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3"/>
      <c r="C28" s="183"/>
      <c r="D28" s="183"/>
      <c r="E28" s="183"/>
      <c r="F28" s="184">
        <f>VLOOKUP(A28,ПТО!$A$39:$D$53,2,FALSE)</f>
        <v>139933.79999999996</v>
      </c>
      <c r="G28" s="184"/>
      <c r="H28" s="6" t="str">
        <f>VLOOKUP(A28,ПТО!$A$39:$D$53,3,FALSE)</f>
        <v>Ежемесячно</v>
      </c>
      <c r="I28" s="185">
        <f>VLOOKUP(A28,ПТО!$A$39:$D$53,4,FALSE)</f>
        <v>12</v>
      </c>
      <c r="J28" s="185"/>
      <c r="K28" s="108"/>
      <c r="L28" s="20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3" t="str">
        <f>ПТО!A40</f>
        <v>Работы по содержанию лифта (лифтов)</v>
      </c>
      <c r="B29" s="183"/>
      <c r="C29" s="183"/>
      <c r="D29" s="183"/>
      <c r="E29" s="183"/>
      <c r="F29" s="184">
        <f>VLOOKUP(A29,ПТО!$A$39:$D$53,2,FALSE)</f>
        <v>155428.20000000001</v>
      </c>
      <c r="G29" s="184"/>
      <c r="H29" s="42" t="str">
        <f>VLOOKUP(A29,ПТО!$A$39:$D$53,3,FALSE)</f>
        <v>Ежемесячно</v>
      </c>
      <c r="I29" s="185">
        <f>VLOOKUP(A29,ПТО!$A$39:$D$53,4,FALSE)</f>
        <v>12</v>
      </c>
      <c r="J29" s="185"/>
      <c r="K29" s="108"/>
      <c r="L29" s="207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3"/>
      <c r="C30" s="183"/>
      <c r="D30" s="183"/>
      <c r="E30" s="183"/>
      <c r="F30" s="184">
        <f>VLOOKUP(A30,ПТО!$A$39:$D$53,2,FALSE)</f>
        <v>76987.8</v>
      </c>
      <c r="G30" s="184"/>
      <c r="H30" s="42" t="str">
        <f>VLOOKUP(A30,ПТО!$A$39:$D$53,3,FALSE)</f>
        <v>В соответствии с графиком</v>
      </c>
      <c r="I30" s="185">
        <f>VLOOKUP(A30,ПТО!$A$39:$D$53,4,FALSE)</f>
        <v>12</v>
      </c>
      <c r="J30" s="185"/>
      <c r="K30" s="108"/>
      <c r="L30" s="207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3" t="str">
        <f>ПТО!A42</f>
        <v>Работы, выполняемые для надлежащего содержания электрооборудования дома</v>
      </c>
      <c r="B31" s="183"/>
      <c r="C31" s="183"/>
      <c r="D31" s="183"/>
      <c r="E31" s="183"/>
      <c r="F31" s="184">
        <f>VLOOKUP(A31,ПТО!$A$39:$D$53,2,FALSE)</f>
        <v>58104</v>
      </c>
      <c r="G31" s="184"/>
      <c r="H31" s="42" t="str">
        <f>VLOOKUP(A31,ПТО!$A$39:$D$53,3,FALSE)</f>
        <v>Ежемесячно</v>
      </c>
      <c r="I31" s="185">
        <f>VLOOKUP(A31,ПТО!$A$39:$D$53,4,FALSE)</f>
        <v>12</v>
      </c>
      <c r="J31" s="185"/>
      <c r="K31" s="108"/>
      <c r="L31" s="20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3">
        <f>ПТО!A43</f>
        <v>0</v>
      </c>
      <c r="B32" s="183"/>
      <c r="C32" s="183"/>
      <c r="D32" s="183"/>
      <c r="E32" s="183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5" t="e">
        <f>VLOOKUP(A32,ПТО!$A$39:$D$53,4,FALSE)</f>
        <v>#N/A</v>
      </c>
      <c r="J32" s="185"/>
      <c r="K32" s="108"/>
      <c r="L32" s="207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83" t="str">
        <f>ПТО!A44</f>
        <v>Обеспечение устранения аварий на внутридомовых инженерных системах в многоквартирном доме</v>
      </c>
      <c r="B33" s="183"/>
      <c r="C33" s="183"/>
      <c r="D33" s="183"/>
      <c r="E33" s="183"/>
      <c r="F33" s="184">
        <f>VLOOKUP(A33,ПТО!$A$39:$D$53,2,FALSE)</f>
        <v>16947</v>
      </c>
      <c r="G33" s="184"/>
      <c r="H33" s="42" t="str">
        <f>VLOOKUP(A33,ПТО!$A$39:$D$53,3,FALSE)</f>
        <v>Круглосуточно</v>
      </c>
      <c r="I33" s="185">
        <f>VLOOKUP(A33,ПТО!$A$39:$D$53,4,FALSE)</f>
        <v>12</v>
      </c>
      <c r="J33" s="185"/>
      <c r="K33" s="108"/>
      <c r="L33" s="20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3" t="str">
        <f>ПТО!A45</f>
        <v>Работы по содержанию помещений, входящих в состав общего имущества в многоквартирном доме</v>
      </c>
      <c r="B34" s="183"/>
      <c r="C34" s="183"/>
      <c r="D34" s="183"/>
      <c r="E34" s="183"/>
      <c r="F34" s="184">
        <f>VLOOKUP(A34,ПТО!$A$39:$D$53,2,FALSE)</f>
        <v>89577</v>
      </c>
      <c r="G34" s="184"/>
      <c r="H34" s="42" t="str">
        <f>VLOOKUP(A34,ПТО!$A$39:$D$53,3,FALSE)</f>
        <v>В соответствии с графиком</v>
      </c>
      <c r="I34" s="185">
        <f>VLOOKUP(A34,ПТО!$A$39:$D$53,4,FALSE)</f>
        <v>12</v>
      </c>
      <c r="J34" s="185"/>
      <c r="K34" s="108"/>
      <c r="L34" s="20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83"/>
      <c r="C35" s="183"/>
      <c r="D35" s="183"/>
      <c r="E35" s="183"/>
      <c r="F35" s="184">
        <f>VLOOKUP(A35,ПТО!$A$39:$D$53,2,FALSE)</f>
        <v>193195.80000000002</v>
      </c>
      <c r="G35" s="184"/>
      <c r="H35" s="42" t="str">
        <f>VLOOKUP(A35,ПТО!$A$39:$D$53,3,FALSE)</f>
        <v>Ежемесячно</v>
      </c>
      <c r="I35" s="185">
        <f>VLOOKUP(A35,ПТО!$A$39:$D$53,4,FALSE)</f>
        <v>12</v>
      </c>
      <c r="J35" s="185"/>
      <c r="K35" s="108"/>
      <c r="L35" s="207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83">
        <f>ПТО!A47</f>
        <v>0</v>
      </c>
      <c r="B36" s="183"/>
      <c r="C36" s="183"/>
      <c r="D36" s="183"/>
      <c r="E36" s="183"/>
      <c r="F36" s="184" t="e">
        <f>VLOOKUP(A36,ПТО!$A$39:$D$53,2,FALSE)</f>
        <v>#N/A</v>
      </c>
      <c r="G36" s="184"/>
      <c r="H36" s="42" t="e">
        <f>VLOOKUP(A36,ПТО!$A$39:$D$53,3,FALSE)</f>
        <v>#N/A</v>
      </c>
      <c r="I36" s="185" t="e">
        <f>VLOOKUP(A36,ПТО!$A$39:$D$53,4,FALSE)</f>
        <v>#N/A</v>
      </c>
      <c r="J36" s="185"/>
      <c r="K36" s="108"/>
      <c r="L36" s="207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83">
        <f>ПТО!A48</f>
        <v>0</v>
      </c>
      <c r="B37" s="183"/>
      <c r="C37" s="183"/>
      <c r="D37" s="183"/>
      <c r="E37" s="183"/>
      <c r="F37" s="184" t="e">
        <f>VLOOKUP(A37,ПТО!$A$39:$D$53,2,FALSE)</f>
        <v>#N/A</v>
      </c>
      <c r="G37" s="184"/>
      <c r="H37" s="42" t="e">
        <f>VLOOKUP(A37,ПТО!$A$39:$D$53,3,FALSE)</f>
        <v>#N/A</v>
      </c>
      <c r="I37" s="185" t="e">
        <f>VLOOKUP(A37,ПТО!$A$39:$D$53,4,FALSE)</f>
        <v>#N/A</v>
      </c>
      <c r="J37" s="185"/>
      <c r="K37" s="108"/>
      <c r="L37" s="207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83">
        <f>ПТО!A49</f>
        <v>0</v>
      </c>
      <c r="B38" s="183"/>
      <c r="C38" s="183"/>
      <c r="D38" s="183"/>
      <c r="E38" s="183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5" t="e">
        <f>VLOOKUP(A38,ПТО!$A$39:$D$53,4,FALSE)</f>
        <v>#N/A</v>
      </c>
      <c r="J38" s="185"/>
      <c r="K38" s="108"/>
      <c r="L38" s="207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83">
        <f>ПТО!A50</f>
        <v>0</v>
      </c>
      <c r="B39" s="183"/>
      <c r="C39" s="183"/>
      <c r="D39" s="183"/>
      <c r="E39" s="183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5" t="e">
        <f>VLOOKUP(A39,ПТО!$A$39:$D$53,4,FALSE)</f>
        <v>#N/A</v>
      </c>
      <c r="J39" s="185"/>
      <c r="K39" s="108"/>
      <c r="L39" s="207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83">
        <f>ПТО!A51</f>
        <v>0</v>
      </c>
      <c r="B40" s="183"/>
      <c r="C40" s="183"/>
      <c r="D40" s="183"/>
      <c r="E40" s="183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5" t="e">
        <f>VLOOKUP(A40,ПТО!$A$39:$D$53,4,FALSE)</f>
        <v>#N/A</v>
      </c>
      <c r="J40" s="185"/>
      <c r="K40" s="108"/>
      <c r="L40" s="207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83">
        <f>ПТО!A52</f>
        <v>0</v>
      </c>
      <c r="B41" s="183"/>
      <c r="C41" s="183"/>
      <c r="D41" s="183"/>
      <c r="E41" s="183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5" t="e">
        <f>VLOOKUP(A41,ПТО!$A$39:$D$53,4,FALSE)</f>
        <v>#N/A</v>
      </c>
      <c r="J41" s="185"/>
      <c r="K41" s="108"/>
      <c r="L41" s="207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83">
        <f>ПТО!A53</f>
        <v>0</v>
      </c>
      <c r="B42" s="183"/>
      <c r="C42" s="183"/>
      <c r="D42" s="183"/>
      <c r="E42" s="183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5" t="e">
        <f>VLOOKUP(A42,ПТО!$A$39:$D$53,4,FALSE)</f>
        <v>#N/A</v>
      </c>
      <c r="J42" s="185"/>
      <c r="K42" s="108"/>
      <c r="L42" s="207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83" t="str">
        <f>ПТО!A2</f>
        <v>Техническое освидетельствование лифтов.</v>
      </c>
      <c r="B43" s="183"/>
      <c r="C43" s="183"/>
      <c r="D43" s="183"/>
      <c r="E43" s="183"/>
      <c r="F43" s="184">
        <f>VLOOKUP(A43,ПТО!$A$2:$D$31,4,FALSE)</f>
        <v>16200</v>
      </c>
      <c r="G43" s="184"/>
      <c r="H43" s="19" t="str">
        <f>VLOOKUP(A43,ПТО!$A$2:$D$31,2,FALSE)</f>
        <v>ежегодно</v>
      </c>
      <c r="I43" s="185">
        <f>VLOOKUP(A43,ПТО!$A$2:$D$31,3,FALSE)</f>
        <v>2</v>
      </c>
      <c r="J43" s="185"/>
      <c r="K43" s="108"/>
      <c r="L43" s="207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83" t="str">
        <f>ПТО!A3</f>
        <v>Техническое обслуживание системы видеонаблюдения.</v>
      </c>
      <c r="B44" s="183"/>
      <c r="C44" s="183"/>
      <c r="D44" s="183"/>
      <c r="E44" s="183"/>
      <c r="F44" s="184">
        <f>VLOOKUP(A44,ПТО!$A$2:$D$31,4,FALSE)</f>
        <v>26400</v>
      </c>
      <c r="G44" s="184"/>
      <c r="H44" s="25" t="str">
        <f>VLOOKUP(A44,ПТО!$A$2:$D$31,2,FALSE)</f>
        <v>ежемесячно</v>
      </c>
      <c r="I44" s="185">
        <f>VLOOKUP(A44,ПТО!$A$2:$D$31,3,FALSE)</f>
        <v>12</v>
      </c>
      <c r="J44" s="185"/>
      <c r="K44" s="108"/>
      <c r="L44" s="207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83" t="str">
        <f>ПТО!A4</f>
        <v>Восстановление питания электромагнитного замка (15 этаж).</v>
      </c>
      <c r="B45" s="183"/>
      <c r="C45" s="183"/>
      <c r="D45" s="183"/>
      <c r="E45" s="183"/>
      <c r="F45" s="184">
        <f>VLOOKUP(A45,ПТО!$A$2:$D$31,4,FALSE)</f>
        <v>800</v>
      </c>
      <c r="G45" s="184"/>
      <c r="H45" s="25" t="str">
        <f>VLOOKUP(A45,ПТО!$A$2:$D$31,2,FALSE)</f>
        <v>разово</v>
      </c>
      <c r="I45" s="185">
        <f>VLOOKUP(A45,ПТО!$A$2:$D$31,3,FALSE)</f>
        <v>1</v>
      </c>
      <c r="J45" s="185"/>
      <c r="K45" s="108"/>
      <c r="L45" s="207"/>
      <c r="M45" s="115"/>
      <c r="N45" s="108"/>
      <c r="O45" s="23" t="str">
        <f t="shared" si="1"/>
        <v>Восстановление питания электромагнитного замка (15 этаж).</v>
      </c>
      <c r="R45" s="22" t="s">
        <v>72</v>
      </c>
    </row>
    <row r="46" spans="1:18" ht="51" customHeight="1" outlineLevel="1">
      <c r="A46" s="183" t="str">
        <f>ПТО!A5</f>
        <v>Замена блока питания и контроллера системы электромагнитного замка (5 и 8 этажи).</v>
      </c>
      <c r="B46" s="183"/>
      <c r="C46" s="183"/>
      <c r="D46" s="183"/>
      <c r="E46" s="183"/>
      <c r="F46" s="184">
        <f>VLOOKUP(A46,ПТО!$A$2:$D$31,4,FALSE)</f>
        <v>4900</v>
      </c>
      <c r="G46" s="184"/>
      <c r="H46" s="25" t="str">
        <f>VLOOKUP(A46,ПТО!$A$2:$D$31,2,FALSE)</f>
        <v>разово</v>
      </c>
      <c r="I46" s="185">
        <f>VLOOKUP(A46,ПТО!$A$2:$D$31,3,FALSE)</f>
        <v>1</v>
      </c>
      <c r="J46" s="185"/>
      <c r="K46" s="108"/>
      <c r="L46" s="207"/>
      <c r="M46" s="115"/>
      <c r="N46" s="108"/>
      <c r="O46" s="23" t="str">
        <f t="shared" si="1"/>
        <v>Замена блока питания и контроллера системы электромагнитного замка (5 и 8 этажи).</v>
      </c>
      <c r="R46" s="22" t="s">
        <v>72</v>
      </c>
    </row>
    <row r="47" spans="1:18" ht="51" customHeight="1" outlineLevel="1">
      <c r="A47" s="183" t="str">
        <f>ПТО!A6</f>
        <v>Механизированная уборка и вывоз снега с придомовой территории.</v>
      </c>
      <c r="B47" s="183"/>
      <c r="C47" s="183"/>
      <c r="D47" s="183"/>
      <c r="E47" s="183"/>
      <c r="F47" s="184">
        <f>VLOOKUP(A47,ПТО!$A$2:$D$31,4,FALSE)</f>
        <v>17869.21</v>
      </c>
      <c r="G47" s="184"/>
      <c r="H47" s="25" t="str">
        <f>VLOOKUP(A47,ПТО!$A$2:$D$31,2,FALSE)</f>
        <v>разово</v>
      </c>
      <c r="I47" s="185">
        <f>VLOOKUP(A47,ПТО!$A$2:$D$31,3,FALSE)</f>
        <v>1</v>
      </c>
      <c r="J47" s="185"/>
      <c r="K47" s="108"/>
      <c r="L47" s="207"/>
      <c r="M47" s="115"/>
      <c r="N47" s="108"/>
      <c r="O47" s="23" t="str">
        <f t="shared" si="1"/>
        <v>Механизированная уборка и вывоз снега с придомовой территории.</v>
      </c>
      <c r="R47" s="22" t="s">
        <v>72</v>
      </c>
    </row>
    <row r="48" spans="1:18" ht="51" customHeight="1" outlineLevel="1">
      <c r="A48" s="183" t="str">
        <f>ПТО!A7</f>
        <v>Замена блока питания и ремонт доводчика (5 этаж).</v>
      </c>
      <c r="B48" s="183"/>
      <c r="C48" s="183"/>
      <c r="D48" s="183"/>
      <c r="E48" s="183"/>
      <c r="F48" s="184">
        <f>VLOOKUP(A48,ПТО!$A$2:$D$31,4,FALSE)</f>
        <v>2200</v>
      </c>
      <c r="G48" s="184"/>
      <c r="H48" s="25" t="str">
        <f>VLOOKUP(A48,ПТО!$A$2:$D$31,2,FALSE)</f>
        <v>разово</v>
      </c>
      <c r="I48" s="185">
        <f>VLOOKUP(A48,ПТО!$A$2:$D$31,3,FALSE)</f>
        <v>1</v>
      </c>
      <c r="J48" s="185"/>
      <c r="K48" s="108"/>
      <c r="L48" s="207"/>
      <c r="M48" s="115"/>
      <c r="N48" s="108"/>
      <c r="O48" s="23" t="str">
        <f t="shared" si="1"/>
        <v>Замена блока питания и ремонт доводчика (5 этаж).</v>
      </c>
      <c r="R48" s="22" t="s">
        <v>72</v>
      </c>
    </row>
    <row r="49" spans="1:18" ht="51" customHeight="1" outlineLevel="1">
      <c r="A49" s="183" t="str">
        <f>ПТО!A8</f>
        <v>Замена гибкой вставки (д50), на трубопроводе ХВС (цокольный этаж).</v>
      </c>
      <c r="B49" s="183"/>
      <c r="C49" s="183"/>
      <c r="D49" s="183"/>
      <c r="E49" s="183"/>
      <c r="F49" s="184">
        <f>VLOOKUP(A49,ПТО!$A$2:$D$31,4,FALSE)</f>
        <v>3500</v>
      </c>
      <c r="G49" s="184"/>
      <c r="H49" s="25" t="str">
        <f>VLOOKUP(A49,ПТО!$A$2:$D$31,2,FALSE)</f>
        <v>разово</v>
      </c>
      <c r="I49" s="185">
        <f>VLOOKUP(A49,ПТО!$A$2:$D$31,3,FALSE)</f>
        <v>1</v>
      </c>
      <c r="J49" s="185"/>
      <c r="K49" s="108"/>
      <c r="L49" s="207"/>
      <c r="M49" s="115"/>
      <c r="N49" s="108"/>
      <c r="O49" s="23" t="str">
        <f t="shared" si="1"/>
        <v>Замена гибкой вставки (д50), на трубопроводе ХВС (цокольный этаж).</v>
      </c>
      <c r="R49" s="22" t="s">
        <v>72</v>
      </c>
    </row>
    <row r="50" spans="1:18" ht="51" customHeight="1" outlineLevel="1">
      <c r="A50" s="183" t="str">
        <f>ПТО!A9</f>
        <v>Замена вкладышей направляющих кабины лифта.</v>
      </c>
      <c r="B50" s="183"/>
      <c r="C50" s="183"/>
      <c r="D50" s="183"/>
      <c r="E50" s="183"/>
      <c r="F50" s="184">
        <f>VLOOKUP(A50,ПТО!$A$2:$D$31,4,FALSE)</f>
        <v>6720</v>
      </c>
      <c r="G50" s="184"/>
      <c r="H50" s="25" t="str">
        <f>VLOOKUP(A50,ПТО!$A$2:$D$31,2,FALSE)</f>
        <v>разово</v>
      </c>
      <c r="I50" s="185">
        <f>VLOOKUP(A50,ПТО!$A$2:$D$31,3,FALSE)</f>
        <v>1</v>
      </c>
      <c r="J50" s="185"/>
      <c r="K50" s="108"/>
      <c r="L50" s="207"/>
      <c r="M50" s="115"/>
      <c r="N50" s="108"/>
      <c r="O50" s="23" t="str">
        <f t="shared" si="1"/>
        <v>Замена вкладышей направляющих кабины лифта.</v>
      </c>
      <c r="R50" s="22" t="s">
        <v>72</v>
      </c>
    </row>
    <row r="51" spans="1:18" ht="51" customHeight="1" outlineLevel="1">
      <c r="A51" s="183" t="str">
        <f>ПТО!A10</f>
        <v>Приобретение и замена  манометров (14 шт.) и термометров (10 шт.).</v>
      </c>
      <c r="B51" s="183"/>
      <c r="C51" s="183"/>
      <c r="D51" s="183"/>
      <c r="E51" s="183"/>
      <c r="F51" s="184">
        <f>VLOOKUP(A51,ПТО!$A$2:$D$31,4,FALSE)</f>
        <v>8817.9</v>
      </c>
      <c r="G51" s="184"/>
      <c r="H51" s="25" t="str">
        <f>VLOOKUP(A51,ПТО!$A$2:$D$31,2,FALSE)</f>
        <v>разово</v>
      </c>
      <c r="I51" s="185">
        <f>VLOOKUP(A51,ПТО!$A$2:$D$31,3,FALSE)</f>
        <v>1</v>
      </c>
      <c r="J51" s="185"/>
      <c r="K51" s="108"/>
      <c r="L51" s="207"/>
      <c r="M51" s="115"/>
      <c r="N51" s="108"/>
      <c r="O51" s="23" t="str">
        <f t="shared" si="1"/>
        <v>Приобретение и замена  манометров (14 шт.) и термометров (10 шт.).</v>
      </c>
      <c r="R51" s="22" t="s">
        <v>72</v>
      </c>
    </row>
    <row r="52" spans="1:18" ht="51" customHeight="1" outlineLevel="1">
      <c r="A52" s="183" t="str">
        <f>ПТО!A11</f>
        <v>Перекатка пожарных рукавов на новую скатку (13 шт.).</v>
      </c>
      <c r="B52" s="183"/>
      <c r="C52" s="183"/>
      <c r="D52" s="183"/>
      <c r="E52" s="183"/>
      <c r="F52" s="184">
        <f>VLOOKUP(A52,ПТО!$A$2:$D$31,4,FALSE)</f>
        <v>3250</v>
      </c>
      <c r="G52" s="184"/>
      <c r="H52" s="25" t="str">
        <f>VLOOKUP(A52,ПТО!$A$2:$D$31,2,FALSE)</f>
        <v>разово</v>
      </c>
      <c r="I52" s="185">
        <f>VLOOKUP(A52,ПТО!$A$2:$D$31,3,FALSE)</f>
        <v>1</v>
      </c>
      <c r="J52" s="185"/>
      <c r="K52" s="108"/>
      <c r="L52" s="207"/>
      <c r="M52" s="115"/>
      <c r="N52" s="108"/>
      <c r="O52" s="23" t="str">
        <f t="shared" si="1"/>
        <v>Перекатка пожарных рукавов на новую скатку (13 шт.).</v>
      </c>
      <c r="R52" s="22" t="s">
        <v>72</v>
      </c>
    </row>
    <row r="53" spans="1:18" ht="51" customHeight="1" outlineLevel="1">
      <c r="A53" s="183" t="str">
        <f>ПТО!A12</f>
        <v>Ремонт подъезда (4 этаж).</v>
      </c>
      <c r="B53" s="183"/>
      <c r="C53" s="183"/>
      <c r="D53" s="183"/>
      <c r="E53" s="183"/>
      <c r="F53" s="184">
        <f>VLOOKUP(A53,ПТО!$A$2:$D$31,4,FALSE)</f>
        <v>46238</v>
      </c>
      <c r="G53" s="184"/>
      <c r="H53" s="25" t="str">
        <f>VLOOKUP(A53,ПТО!$A$2:$D$31,2,FALSE)</f>
        <v>разово</v>
      </c>
      <c r="I53" s="185">
        <f>VLOOKUP(A53,ПТО!$A$2:$D$31,3,FALSE)</f>
        <v>1</v>
      </c>
      <c r="J53" s="185"/>
      <c r="K53" s="108"/>
      <c r="L53" s="207"/>
      <c r="M53" s="115"/>
      <c r="N53" s="108"/>
      <c r="O53" s="23" t="str">
        <f t="shared" si="1"/>
        <v>Ремонт подъезда (4 этаж).</v>
      </c>
      <c r="R53" s="22" t="s">
        <v>72</v>
      </c>
    </row>
    <row r="54" spans="1:18" ht="51" customHeight="1" outlineLevel="1">
      <c r="A54" s="183" t="str">
        <f>ПТО!A13</f>
        <v>Испытания внутреннего пожарного водопровода на водоотдачу (28 шт.).</v>
      </c>
      <c r="B54" s="183"/>
      <c r="C54" s="183"/>
      <c r="D54" s="183"/>
      <c r="E54" s="183"/>
      <c r="F54" s="184">
        <f>VLOOKUP(A54,ПТО!$A$2:$D$31,4,FALSE)</f>
        <v>7000</v>
      </c>
      <c r="G54" s="184"/>
      <c r="H54" s="25" t="str">
        <f>VLOOKUP(A54,ПТО!$A$2:$D$31,2,FALSE)</f>
        <v>разово</v>
      </c>
      <c r="I54" s="185">
        <f>VLOOKUP(A54,ПТО!$A$2:$D$31,3,FALSE)</f>
        <v>1</v>
      </c>
      <c r="J54" s="185"/>
      <c r="K54" s="108"/>
      <c r="L54" s="207"/>
      <c r="M54" s="115"/>
      <c r="N54" s="108"/>
      <c r="O54" s="23" t="str">
        <f t="shared" si="1"/>
        <v>Испытания внутреннего пожарного водопровода на водоотдачу (28 шт.).</v>
      </c>
      <c r="R54" s="22" t="s">
        <v>72</v>
      </c>
    </row>
    <row r="55" spans="1:18" ht="51" customHeight="1" outlineLevel="1">
      <c r="A55" s="183" t="str">
        <f>ПТО!A14</f>
        <v>Приобретение и замена коммутатора системы видеонаблюдения.</v>
      </c>
      <c r="B55" s="183"/>
      <c r="C55" s="183"/>
      <c r="D55" s="183"/>
      <c r="E55" s="183"/>
      <c r="F55" s="184">
        <f>VLOOKUP(A55,ПТО!$A$2:$D$31,4,FALSE)</f>
        <v>899</v>
      </c>
      <c r="G55" s="184"/>
      <c r="H55" s="25" t="str">
        <f>VLOOKUP(A55,ПТО!$A$2:$D$31,2,FALSE)</f>
        <v>разово</v>
      </c>
      <c r="I55" s="185">
        <f>VLOOKUP(A55,ПТО!$A$2:$D$31,3,FALSE)</f>
        <v>1</v>
      </c>
      <c r="J55" s="185"/>
      <c r="K55" s="108"/>
      <c r="L55" s="207"/>
      <c r="M55" s="115"/>
      <c r="N55" s="108"/>
      <c r="O55" s="23" t="str">
        <f t="shared" si="1"/>
        <v>Приобретение и замена коммутатора системы видеонаблюдения.</v>
      </c>
      <c r="R55" s="22" t="s">
        <v>72</v>
      </c>
    </row>
    <row r="56" spans="1:18" ht="51" hidden="1" customHeight="1" outlineLevel="1">
      <c r="A56" s="183">
        <f>ПТО!A15</f>
        <v>0</v>
      </c>
      <c r="B56" s="183"/>
      <c r="C56" s="183"/>
      <c r="D56" s="183"/>
      <c r="E56" s="183"/>
      <c r="F56" s="184" t="e">
        <f>VLOOKUP(A56,ПТО!$A$2:$D$31,4,FALSE)</f>
        <v>#N/A</v>
      </c>
      <c r="G56" s="184"/>
      <c r="H56" s="25" t="e">
        <f>VLOOKUP(A56,ПТО!$A$2:$D$31,2,FALSE)</f>
        <v>#N/A</v>
      </c>
      <c r="I56" s="185" t="e">
        <f>VLOOKUP(A56,ПТО!$A$2:$D$31,3,FALSE)</f>
        <v>#N/A</v>
      </c>
      <c r="J56" s="185"/>
      <c r="K56" s="108"/>
      <c r="L56" s="207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83">
        <f>ПТО!A16</f>
        <v>0</v>
      </c>
      <c r="B57" s="183"/>
      <c r="C57" s="183"/>
      <c r="D57" s="183"/>
      <c r="E57" s="183"/>
      <c r="F57" s="184" t="e">
        <f>VLOOKUP(A57,ПТО!$A$2:$D$31,4,FALSE)</f>
        <v>#N/A</v>
      </c>
      <c r="G57" s="184"/>
      <c r="H57" s="25" t="e">
        <f>VLOOKUP(A57,ПТО!$A$2:$D$31,2,FALSE)</f>
        <v>#N/A</v>
      </c>
      <c r="I57" s="185" t="e">
        <f>VLOOKUP(A57,ПТО!$A$2:$D$31,3,FALSE)</f>
        <v>#N/A</v>
      </c>
      <c r="J57" s="185"/>
      <c r="K57" s="108"/>
      <c r="L57" s="207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83">
        <f>ПТО!A17</f>
        <v>0</v>
      </c>
      <c r="B58" s="183"/>
      <c r="C58" s="183"/>
      <c r="D58" s="183"/>
      <c r="E58" s="183"/>
      <c r="F58" s="184" t="e">
        <f>VLOOKUP(A58,ПТО!$A$2:$D$31,4,FALSE)</f>
        <v>#N/A</v>
      </c>
      <c r="G58" s="184"/>
      <c r="H58" s="25" t="e">
        <f>VLOOKUP(A58,ПТО!$A$2:$D$31,2,FALSE)</f>
        <v>#N/A</v>
      </c>
      <c r="I58" s="185" t="e">
        <f>VLOOKUP(A58,ПТО!$A$2:$D$31,3,FALSE)</f>
        <v>#N/A</v>
      </c>
      <c r="J58" s="185"/>
      <c r="K58" s="108"/>
      <c r="L58" s="207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83">
        <f>ПТО!A18</f>
        <v>0</v>
      </c>
      <c r="B59" s="183"/>
      <c r="C59" s="183"/>
      <c r="D59" s="183"/>
      <c r="E59" s="183"/>
      <c r="F59" s="184" t="e">
        <f>VLOOKUP(A59,ПТО!$A$2:$D$31,4,FALSE)</f>
        <v>#N/A</v>
      </c>
      <c r="G59" s="184"/>
      <c r="H59" s="25" t="e">
        <f>VLOOKUP(A59,ПТО!$A$2:$D$31,2,FALSE)</f>
        <v>#N/A</v>
      </c>
      <c r="I59" s="185" t="e">
        <f>VLOOKUP(A59,ПТО!$A$2:$D$31,3,FALSE)</f>
        <v>#N/A</v>
      </c>
      <c r="J59" s="185"/>
      <c r="K59" s="108"/>
      <c r="L59" s="207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83">
        <f>ПТО!A19</f>
        <v>0</v>
      </c>
      <c r="B60" s="183"/>
      <c r="C60" s="183"/>
      <c r="D60" s="183"/>
      <c r="E60" s="183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5" t="e">
        <f>VLOOKUP(A60,ПТО!$A$2:$D$31,3,FALSE)</f>
        <v>#N/A</v>
      </c>
      <c r="J60" s="185"/>
      <c r="K60" s="108"/>
      <c r="L60" s="207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83">
        <f>ПТО!A20</f>
        <v>0</v>
      </c>
      <c r="B61" s="183"/>
      <c r="C61" s="183"/>
      <c r="D61" s="183"/>
      <c r="E61" s="183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5" t="e">
        <f>VLOOKUP(A61,ПТО!$A$2:$D$31,3,FALSE)</f>
        <v>#N/A</v>
      </c>
      <c r="J61" s="185"/>
      <c r="K61" s="108"/>
      <c r="L61" s="207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83">
        <f>ПТО!A21</f>
        <v>0</v>
      </c>
      <c r="B62" s="183"/>
      <c r="C62" s="183"/>
      <c r="D62" s="183"/>
      <c r="E62" s="183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5" t="e">
        <f>VLOOKUP(A62,ПТО!$A$2:$D$31,3,FALSE)</f>
        <v>#N/A</v>
      </c>
      <c r="J62" s="185"/>
      <c r="K62" s="108"/>
      <c r="L62" s="207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83">
        <f>ПТО!A22</f>
        <v>0</v>
      </c>
      <c r="B63" s="183"/>
      <c r="C63" s="183"/>
      <c r="D63" s="183"/>
      <c r="E63" s="183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5" t="e">
        <f>VLOOKUP(A63,ПТО!$A$2:$D$31,3,FALSE)</f>
        <v>#N/A</v>
      </c>
      <c r="J63" s="185"/>
      <c r="K63" s="108"/>
      <c r="L63" s="207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83">
        <f>ПТО!A23</f>
        <v>0</v>
      </c>
      <c r="B64" s="183"/>
      <c r="C64" s="183"/>
      <c r="D64" s="183"/>
      <c r="E64" s="183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5" t="e">
        <f>VLOOKUP(A64,ПТО!$A$2:$D$31,3,FALSE)</f>
        <v>#N/A</v>
      </c>
      <c r="J64" s="185"/>
      <c r="K64" s="108"/>
      <c r="L64" s="207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83">
        <f>ПТО!A24</f>
        <v>0</v>
      </c>
      <c r="B65" s="183"/>
      <c r="C65" s="183"/>
      <c r="D65" s="183"/>
      <c r="E65" s="183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5" t="e">
        <f>VLOOKUP(A65,ПТО!$A$2:$D$31,3,FALSE)</f>
        <v>#N/A</v>
      </c>
      <c r="J65" s="185"/>
      <c r="K65" s="108"/>
      <c r="L65" s="207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83">
        <f>ПТО!A25</f>
        <v>0</v>
      </c>
      <c r="B66" s="183"/>
      <c r="C66" s="183"/>
      <c r="D66" s="183"/>
      <c r="E66" s="183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5" t="e">
        <f>VLOOKUP(A66,ПТО!$A$2:$D$31,3,FALSE)</f>
        <v>#N/A</v>
      </c>
      <c r="J66" s="185"/>
      <c r="K66" s="108"/>
      <c r="L66" s="207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83">
        <f>ПТО!A26</f>
        <v>0</v>
      </c>
      <c r="B67" s="183"/>
      <c r="C67" s="183"/>
      <c r="D67" s="183"/>
      <c r="E67" s="183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5" t="e">
        <f>VLOOKUP(A67,ПТО!$A$2:$D$31,3,FALSE)</f>
        <v>#N/A</v>
      </c>
      <c r="J67" s="185"/>
      <c r="K67" s="108"/>
      <c r="L67" s="207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83">
        <f>ПТО!A27</f>
        <v>0</v>
      </c>
      <c r="B68" s="183"/>
      <c r="C68" s="183"/>
      <c r="D68" s="183"/>
      <c r="E68" s="183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5" t="e">
        <f>VLOOKUP(A68,ПТО!$A$2:$D$31,3,FALSE)</f>
        <v>#N/A</v>
      </c>
      <c r="J68" s="185"/>
      <c r="K68" s="108"/>
      <c r="L68" s="207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83">
        <f>ПТО!A28</f>
        <v>0</v>
      </c>
      <c r="B69" s="183"/>
      <c r="C69" s="183"/>
      <c r="D69" s="183"/>
      <c r="E69" s="183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5" t="e">
        <f>VLOOKUP(A69,ПТО!$A$2:$D$31,3,FALSE)</f>
        <v>#N/A</v>
      </c>
      <c r="J69" s="185"/>
      <c r="K69" s="108"/>
      <c r="L69" s="207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83">
        <f>ПТО!A29</f>
        <v>0</v>
      </c>
      <c r="B70" s="183"/>
      <c r="C70" s="183"/>
      <c r="D70" s="183"/>
      <c r="E70" s="183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5" t="e">
        <f>VLOOKUP(A70,ПТО!$A$2:$D$31,3,FALSE)</f>
        <v>#N/A</v>
      </c>
      <c r="J70" s="185"/>
      <c r="K70" s="108"/>
      <c r="L70" s="207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83">
        <f>ПТО!A30</f>
        <v>0</v>
      </c>
      <c r="B71" s="183"/>
      <c r="C71" s="183"/>
      <c r="D71" s="183"/>
      <c r="E71" s="183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5" t="e">
        <f>VLOOKUP(A71,ПТО!$A$2:$D$31,3,FALSE)</f>
        <v>#N/A</v>
      </c>
      <c r="J71" s="185"/>
      <c r="K71" s="115"/>
      <c r="L71" s="20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3">
        <f>ПТО!A31</f>
        <v>0</v>
      </c>
      <c r="B72" s="183"/>
      <c r="C72" s="183"/>
      <c r="D72" s="183"/>
      <c r="E72" s="183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5" t="e">
        <f>VLOOKUP(A72,ПТО!$A$2:$D$31,3,FALSE)</f>
        <v>#N/A</v>
      </c>
      <c r="J72" s="185"/>
      <c r="K72" s="108"/>
      <c r="L72" s="207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201" t="s">
        <v>27</v>
      </c>
      <c r="B75" s="201"/>
      <c r="C75" s="201"/>
      <c r="D75" s="201"/>
      <c r="E75" s="201"/>
      <c r="F75" s="201"/>
      <c r="G75" s="201"/>
      <c r="H75" s="201"/>
      <c r="I75" s="201"/>
      <c r="J75" s="8">
        <f>VLOOKUP(O75,АО,3,FALSE)</f>
        <v>0</v>
      </c>
      <c r="K75" s="108"/>
      <c r="L75" s="190"/>
      <c r="M75" s="108"/>
      <c r="N75" s="108"/>
      <c r="O75" s="69" t="s">
        <v>100</v>
      </c>
    </row>
    <row r="76" spans="1:16384" ht="18.75" customHeight="1" outlineLevel="1">
      <c r="A76" s="201" t="s">
        <v>28</v>
      </c>
      <c r="B76" s="201"/>
      <c r="C76" s="201"/>
      <c r="D76" s="201"/>
      <c r="E76" s="201"/>
      <c r="F76" s="201"/>
      <c r="G76" s="201"/>
      <c r="H76" s="201"/>
      <c r="I76" s="201"/>
      <c r="J76" s="8">
        <f>VLOOKUP(O76,АО,3,FALSE)</f>
        <v>0</v>
      </c>
      <c r="K76" s="108"/>
      <c r="L76" s="190"/>
      <c r="M76" s="108"/>
      <c r="N76" s="108"/>
      <c r="O76" s="69" t="s">
        <v>101</v>
      </c>
    </row>
    <row r="77" spans="1:16384" ht="21.75" customHeight="1" outlineLevel="1">
      <c r="A77" s="201" t="s">
        <v>29</v>
      </c>
      <c r="B77" s="201"/>
      <c r="C77" s="201"/>
      <c r="D77" s="201"/>
      <c r="E77" s="201"/>
      <c r="F77" s="201"/>
      <c r="G77" s="201"/>
      <c r="H77" s="201"/>
      <c r="I77" s="201"/>
      <c r="J77" s="8">
        <f>VLOOKUP(O77,АО,3,FALSE)</f>
        <v>0</v>
      </c>
      <c r="K77" s="108"/>
      <c r="L77" s="190"/>
      <c r="M77" s="108"/>
      <c r="N77" s="108"/>
      <c r="O77" s="69" t="s">
        <v>102</v>
      </c>
    </row>
    <row r="78" spans="1:16384" ht="18.75" customHeight="1" outlineLevel="1">
      <c r="A78" s="201" t="s">
        <v>30</v>
      </c>
      <c r="B78" s="201"/>
      <c r="C78" s="201"/>
      <c r="D78" s="201"/>
      <c r="E78" s="201"/>
      <c r="F78" s="201"/>
      <c r="G78" s="201"/>
      <c r="H78" s="201"/>
      <c r="I78" s="201"/>
      <c r="J78" s="96">
        <f>VLOOKUP(O78,АО,3,FALSE)</f>
        <v>0</v>
      </c>
      <c r="K78" s="108"/>
      <c r="L78" s="190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91" t="s">
        <v>2</v>
      </c>
      <c r="B81" s="191"/>
      <c r="C81" s="191"/>
      <c r="D81" s="191"/>
      <c r="E81" s="191"/>
      <c r="F81" s="191"/>
      <c r="G81" s="191"/>
      <c r="H81" s="191"/>
      <c r="I81" s="191"/>
      <c r="J81" s="96">
        <f t="shared" ref="J81:J90" si="2">VLOOKUP(O81,АО,3,FALSE)</f>
        <v>0</v>
      </c>
      <c r="K81" s="108"/>
      <c r="L81" s="208"/>
      <c r="M81" s="108"/>
      <c r="N81" s="108"/>
      <c r="O81" s="69" t="s">
        <v>104</v>
      </c>
    </row>
    <row r="82" spans="1:15" outlineLevel="1">
      <c r="A82" s="191" t="s">
        <v>3</v>
      </c>
      <c r="B82" s="191"/>
      <c r="C82" s="191"/>
      <c r="D82" s="191"/>
      <c r="E82" s="191"/>
      <c r="F82" s="191"/>
      <c r="G82" s="191"/>
      <c r="H82" s="191"/>
      <c r="I82" s="191"/>
      <c r="J82" s="96">
        <f t="shared" si="2"/>
        <v>0</v>
      </c>
      <c r="K82" s="108"/>
      <c r="L82" s="208"/>
      <c r="M82" s="108"/>
      <c r="N82" s="108"/>
      <c r="O82" s="69" t="s">
        <v>105</v>
      </c>
    </row>
    <row r="83" spans="1:15" outlineLevel="1">
      <c r="A83" s="198" t="s">
        <v>4</v>
      </c>
      <c r="B83" s="199"/>
      <c r="C83" s="199"/>
      <c r="D83" s="199"/>
      <c r="E83" s="199"/>
      <c r="F83" s="199"/>
      <c r="G83" s="199"/>
      <c r="H83" s="199"/>
      <c r="I83" s="200"/>
      <c r="J83" s="96">
        <f t="shared" si="2"/>
        <v>189476.38</v>
      </c>
      <c r="K83" s="108"/>
      <c r="L83" s="208"/>
      <c r="M83" s="108"/>
      <c r="N83" s="108"/>
      <c r="O83" s="69" t="s">
        <v>106</v>
      </c>
    </row>
    <row r="84" spans="1:15" outlineLevel="1">
      <c r="A84" s="198" t="s">
        <v>16</v>
      </c>
      <c r="B84" s="199"/>
      <c r="C84" s="199"/>
      <c r="D84" s="199"/>
      <c r="E84" s="199"/>
      <c r="F84" s="199"/>
      <c r="G84" s="199"/>
      <c r="H84" s="199"/>
      <c r="I84" s="200"/>
      <c r="J84" s="96">
        <f t="shared" si="2"/>
        <v>0</v>
      </c>
      <c r="K84" s="108"/>
      <c r="L84" s="208"/>
      <c r="M84" s="108"/>
      <c r="N84" s="108"/>
      <c r="O84" s="69" t="s">
        <v>107</v>
      </c>
    </row>
    <row r="85" spans="1:15" outlineLevel="1">
      <c r="A85" s="198" t="s">
        <v>17</v>
      </c>
      <c r="B85" s="199"/>
      <c r="C85" s="199"/>
      <c r="D85" s="199"/>
      <c r="E85" s="199"/>
      <c r="F85" s="199"/>
      <c r="G85" s="199"/>
      <c r="H85" s="199"/>
      <c r="I85" s="200"/>
      <c r="J85" s="96">
        <f t="shared" si="2"/>
        <v>0</v>
      </c>
      <c r="K85" s="108"/>
      <c r="L85" s="208"/>
      <c r="M85" s="108"/>
      <c r="N85" s="108"/>
      <c r="O85" s="69" t="s">
        <v>108</v>
      </c>
    </row>
    <row r="86" spans="1:15" outlineLevel="1">
      <c r="A86" s="198" t="s">
        <v>18</v>
      </c>
      <c r="B86" s="199"/>
      <c r="C86" s="199"/>
      <c r="D86" s="199"/>
      <c r="E86" s="199"/>
      <c r="F86" s="199"/>
      <c r="G86" s="199"/>
      <c r="H86" s="199"/>
      <c r="I86" s="200"/>
      <c r="J86" s="96">
        <f t="shared" si="2"/>
        <v>225647.49</v>
      </c>
      <c r="K86" s="108"/>
      <c r="L86" s="208"/>
      <c r="M86" s="108"/>
      <c r="N86" s="108"/>
      <c r="O86" s="69" t="s">
        <v>109</v>
      </c>
    </row>
    <row r="87" spans="1:15" ht="18.75" customHeight="1" outlineLevel="1">
      <c r="A87" s="198" t="s">
        <v>27</v>
      </c>
      <c r="B87" s="199"/>
      <c r="C87" s="199"/>
      <c r="D87" s="199"/>
      <c r="E87" s="199"/>
      <c r="F87" s="199"/>
      <c r="G87" s="199"/>
      <c r="H87" s="199"/>
      <c r="I87" s="200"/>
      <c r="J87" s="8">
        <f t="shared" si="2"/>
        <v>0</v>
      </c>
      <c r="K87" s="108"/>
      <c r="L87" s="208"/>
      <c r="M87" s="108"/>
      <c r="N87" s="108"/>
      <c r="O87" s="69" t="s">
        <v>110</v>
      </c>
    </row>
    <row r="88" spans="1:15" ht="18.75" customHeight="1" outlineLevel="1">
      <c r="A88" s="198" t="s">
        <v>28</v>
      </c>
      <c r="B88" s="199"/>
      <c r="C88" s="199"/>
      <c r="D88" s="199"/>
      <c r="E88" s="199"/>
      <c r="F88" s="199"/>
      <c r="G88" s="199"/>
      <c r="H88" s="199"/>
      <c r="I88" s="200"/>
      <c r="J88" s="8">
        <f t="shared" si="2"/>
        <v>0</v>
      </c>
      <c r="K88" s="108"/>
      <c r="L88" s="208"/>
      <c r="M88" s="108"/>
      <c r="N88" s="108"/>
      <c r="O88" s="69" t="s">
        <v>111</v>
      </c>
    </row>
    <row r="89" spans="1:15" ht="18.75" customHeight="1" outlineLevel="1">
      <c r="A89" s="198" t="s">
        <v>29</v>
      </c>
      <c r="B89" s="199"/>
      <c r="C89" s="199"/>
      <c r="D89" s="199"/>
      <c r="E89" s="199"/>
      <c r="F89" s="199"/>
      <c r="G89" s="199"/>
      <c r="H89" s="199"/>
      <c r="I89" s="200"/>
      <c r="J89" s="8">
        <f t="shared" si="2"/>
        <v>0</v>
      </c>
      <c r="K89" s="108"/>
      <c r="L89" s="208"/>
      <c r="M89" s="108"/>
      <c r="N89" s="108"/>
      <c r="O89" s="69" t="s">
        <v>112</v>
      </c>
    </row>
    <row r="90" spans="1:15" ht="18.75" customHeight="1" outlineLevel="1">
      <c r="A90" s="198" t="s">
        <v>30</v>
      </c>
      <c r="B90" s="199"/>
      <c r="C90" s="199"/>
      <c r="D90" s="199"/>
      <c r="E90" s="199"/>
      <c r="F90" s="199"/>
      <c r="G90" s="199"/>
      <c r="H90" s="199"/>
      <c r="I90" s="200"/>
      <c r="J90" s="96">
        <f t="shared" si="2"/>
        <v>0</v>
      </c>
      <c r="K90" s="108"/>
      <c r="L90" s="208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92" t="s">
        <v>48</v>
      </c>
      <c r="B93" s="192"/>
      <c r="C93" s="192"/>
      <c r="D93" s="195" t="s">
        <v>49</v>
      </c>
      <c r="E93" s="195"/>
      <c r="F93" s="10" t="s">
        <v>50</v>
      </c>
      <c r="G93" s="192" t="s">
        <v>51</v>
      </c>
      <c r="H93" s="192"/>
      <c r="I93" s="192"/>
      <c r="J93" s="192"/>
      <c r="K93" s="108"/>
      <c r="L93" s="108"/>
      <c r="M93" s="108"/>
      <c r="N93" s="108"/>
    </row>
    <row r="94" spans="1:15" outlineLevel="1">
      <c r="A94" s="196" t="str">
        <f>IF(VLOOKUP("эл",АО,3,FALSE)&gt;0,"Электроснабжение",0)</f>
        <v>Электроснабжение</v>
      </c>
      <c r="B94" s="196"/>
      <c r="C94" s="196"/>
      <c r="D94" s="194" t="str">
        <f>IF(VLOOKUP("эл",АО,3,FALSE)&gt;0,VLOOKUP("эл",АО,3,FALSE),0)</f>
        <v>Предоставляется</v>
      </c>
      <c r="E94" s="194"/>
      <c r="F94" s="13" t="str">
        <f>IF(VLOOKUP("эл",АО,3,FALSE)&gt;0,VLOOKUP("эл",АО,4,FALSE),0)</f>
        <v>кВт*ч</v>
      </c>
      <c r="G94" s="193">
        <f>VLOOKUP("эл",АО,5,FALSE)</f>
        <v>304127.74</v>
      </c>
      <c r="H94" s="194"/>
      <c r="I94" s="194"/>
      <c r="J94" s="194"/>
      <c r="K94" s="1" t="str">
        <f>VLOOKUP("эл",АО,2,FALSE)</f>
        <v>Электроснабжение</v>
      </c>
      <c r="L94" s="209"/>
    </row>
    <row r="95" spans="1:15" outlineLevel="2">
      <c r="A95" s="197" t="str">
        <f>IF(VLOOKUP("эл",АО,3,FALSE)&gt;0,VLOOKUP("эл1",АО,2,FALSE),0)</f>
        <v>Общий объем потребления, нат. показ.</v>
      </c>
      <c r="B95" s="197"/>
      <c r="C95" s="197"/>
      <c r="D95" s="197"/>
      <c r="E95" s="197"/>
      <c r="F95" s="197"/>
      <c r="G95" s="197"/>
      <c r="H95" s="197"/>
      <c r="I95" s="197"/>
      <c r="J95" s="18">
        <f t="shared" ref="J95:J101" si="3">VLOOKUP(O95,АО,3,FALSE)</f>
        <v>223623.34</v>
      </c>
      <c r="L95" s="209"/>
      <c r="O95" s="1" t="s">
        <v>114</v>
      </c>
    </row>
    <row r="96" spans="1:15" outlineLevel="2">
      <c r="A96" s="197" t="str">
        <f>IF(VLOOKUP("эл",АО,3,FALSE)&gt;0,VLOOKUP("эл2",АО,2,FALSE),0)</f>
        <v>Оплачено потребителями, руб.</v>
      </c>
      <c r="B96" s="197"/>
      <c r="C96" s="197"/>
      <c r="D96" s="197"/>
      <c r="E96" s="197"/>
      <c r="F96" s="197"/>
      <c r="G96" s="197"/>
      <c r="H96" s="197"/>
      <c r="I96" s="197"/>
      <c r="J96" s="18">
        <f t="shared" si="3"/>
        <v>296038.03000000003</v>
      </c>
      <c r="L96" s="209"/>
      <c r="O96" s="1" t="s">
        <v>115</v>
      </c>
    </row>
    <row r="97" spans="1:15" outlineLevel="2">
      <c r="A97" s="197" t="str">
        <f>IF(VLOOKUP("эл",АО,3,FALSE)&gt;0,VLOOKUP("эл3",АО,2,FALSE),0)</f>
        <v>Задолженность потребителей, руб.</v>
      </c>
      <c r="B97" s="197"/>
      <c r="C97" s="197"/>
      <c r="D97" s="197"/>
      <c r="E97" s="197"/>
      <c r="F97" s="197"/>
      <c r="G97" s="197"/>
      <c r="H97" s="197"/>
      <c r="I97" s="197"/>
      <c r="J97" s="18">
        <f t="shared" si="3"/>
        <v>8089.7099999999627</v>
      </c>
      <c r="L97" s="209"/>
      <c r="O97" s="1" t="s">
        <v>116</v>
      </c>
    </row>
    <row r="98" spans="1:15" ht="37.5" customHeight="1" outlineLevel="2">
      <c r="A98" s="197" t="str">
        <f>IF(VLOOKUP("эл",АО,3,FALSE)&gt;0,VLOOKUP("эл4",АО,2,FALSE),0)</f>
        <v>Начислено поставщиком (поставщиками) коммунального ресурса, руб.</v>
      </c>
      <c r="B98" s="197"/>
      <c r="C98" s="197"/>
      <c r="D98" s="197"/>
      <c r="E98" s="197"/>
      <c r="F98" s="197"/>
      <c r="G98" s="197"/>
      <c r="H98" s="197"/>
      <c r="I98" s="197"/>
      <c r="J98" s="18">
        <f t="shared" si="3"/>
        <v>304127.74</v>
      </c>
      <c r="L98" s="209"/>
      <c r="O98" s="1" t="s">
        <v>117</v>
      </c>
    </row>
    <row r="99" spans="1:15" outlineLevel="2">
      <c r="A99" s="197" t="str">
        <f>IF(VLOOKUP("эл",АО,3,FALSE)&gt;0,VLOOKUP("эл5",АО,2,FALSE),0)</f>
        <v>Оплачено поставщику (поставщикам) коммунального ресурса, руб.</v>
      </c>
      <c r="B99" s="197"/>
      <c r="C99" s="197"/>
      <c r="D99" s="197"/>
      <c r="E99" s="197"/>
      <c r="F99" s="197"/>
      <c r="G99" s="197"/>
      <c r="H99" s="197"/>
      <c r="I99" s="197"/>
      <c r="J99" s="18">
        <f t="shared" si="3"/>
        <v>304127.74</v>
      </c>
      <c r="L99" s="209"/>
      <c r="O99" s="1" t="s">
        <v>118</v>
      </c>
    </row>
    <row r="100" spans="1:15" ht="39" customHeight="1" outlineLevel="2">
      <c r="A100" s="19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7"/>
      <c r="C100" s="197"/>
      <c r="D100" s="197"/>
      <c r="E100" s="197"/>
      <c r="F100" s="197"/>
      <c r="G100" s="197"/>
      <c r="H100" s="197"/>
      <c r="I100" s="197"/>
      <c r="J100" s="18">
        <f t="shared" si="3"/>
        <v>0</v>
      </c>
      <c r="L100" s="209"/>
      <c r="O100" s="1" t="s">
        <v>119</v>
      </c>
    </row>
    <row r="101" spans="1:15" ht="34.5" customHeight="1" outlineLevel="2">
      <c r="A101" s="19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7"/>
      <c r="C101" s="197"/>
      <c r="D101" s="197"/>
      <c r="E101" s="197"/>
      <c r="F101" s="197"/>
      <c r="G101" s="197"/>
      <c r="H101" s="197"/>
      <c r="I101" s="197"/>
      <c r="J101" s="18">
        <f t="shared" si="3"/>
        <v>0</v>
      </c>
      <c r="L101" s="209"/>
      <c r="O101" s="1" t="s">
        <v>120</v>
      </c>
    </row>
    <row r="102" spans="1:15" ht="28.5" customHeight="1" outlineLevel="1">
      <c r="A102" s="196" t="str">
        <f>IF(VLOOKUP("хвс",АО,3,FALSE)&gt;0,"Холодное водоснабжение",0)</f>
        <v>Холодное водоснабжение</v>
      </c>
      <c r="B102" s="196"/>
      <c r="C102" s="196"/>
      <c r="D102" s="194" t="str">
        <f>IF(VLOOKUP("хвс",АО,3,FALSE)&gt;0,VLOOKUP("хвс",АО,3,FALSE),0)</f>
        <v>Предоставляется</v>
      </c>
      <c r="E102" s="194"/>
      <c r="F102" s="13" t="str">
        <f>IF(VLOOKUP("хвс",АО,3,FALSE)&gt;0,VLOOKUP("хвс",АО,4,FALSE),0)</f>
        <v>куб.м.</v>
      </c>
      <c r="G102" s="193">
        <f>VLOOKUP("хвс",АО,5,FALSE)</f>
        <v>173740.52</v>
      </c>
      <c r="H102" s="194"/>
      <c r="I102" s="194"/>
      <c r="J102" s="194"/>
      <c r="L102" s="209"/>
    </row>
    <row r="103" spans="1:15" outlineLevel="2">
      <c r="A103" s="197" t="str">
        <f t="shared" ref="A103:A109" si="4">IF(VLOOKUP("хвс",АО,3,FALSE)&gt;0,VLOOKUP(O103,АО,2,FALSE),0)</f>
        <v>Общий объем потребления, нат. показ.</v>
      </c>
      <c r="B103" s="197"/>
      <c r="C103" s="197"/>
      <c r="D103" s="197"/>
      <c r="E103" s="197"/>
      <c r="F103" s="197"/>
      <c r="G103" s="197"/>
      <c r="H103" s="197"/>
      <c r="I103" s="197"/>
      <c r="J103" s="18">
        <f t="shared" ref="J103:J109" si="5">VLOOKUP(O103,АО,3,FALSE)</f>
        <v>11924.54</v>
      </c>
      <c r="L103" s="209"/>
      <c r="O103" s="1" t="s">
        <v>123</v>
      </c>
    </row>
    <row r="104" spans="1:15" ht="18.75" customHeight="1" outlineLevel="2">
      <c r="A104" s="197" t="str">
        <f t="shared" si="4"/>
        <v>Оплачено потребителями, руб.</v>
      </c>
      <c r="B104" s="197"/>
      <c r="C104" s="197"/>
      <c r="D104" s="197"/>
      <c r="E104" s="197"/>
      <c r="F104" s="197"/>
      <c r="G104" s="197"/>
      <c r="H104" s="197"/>
      <c r="I104" s="197"/>
      <c r="J104" s="18">
        <f t="shared" si="5"/>
        <v>161628.69</v>
      </c>
      <c r="L104" s="209"/>
      <c r="O104" s="1" t="s">
        <v>124</v>
      </c>
    </row>
    <row r="105" spans="1:15" ht="18.75" customHeight="1" outlineLevel="2">
      <c r="A105" s="197" t="str">
        <f t="shared" si="4"/>
        <v>Задолженность потребителей, руб.</v>
      </c>
      <c r="B105" s="197"/>
      <c r="C105" s="197"/>
      <c r="D105" s="197"/>
      <c r="E105" s="197"/>
      <c r="F105" s="197"/>
      <c r="G105" s="197"/>
      <c r="H105" s="197"/>
      <c r="I105" s="197"/>
      <c r="J105" s="18">
        <f t="shared" si="5"/>
        <v>12111.829999999987</v>
      </c>
      <c r="L105" s="209"/>
      <c r="O105" s="1" t="s">
        <v>125</v>
      </c>
    </row>
    <row r="106" spans="1:15" ht="36.75" customHeight="1" outlineLevel="2">
      <c r="A106" s="197" t="str">
        <f t="shared" si="4"/>
        <v>Начислено поставщиком (поставщиками) коммунального ресурса, руб.</v>
      </c>
      <c r="B106" s="197"/>
      <c r="C106" s="197"/>
      <c r="D106" s="197"/>
      <c r="E106" s="197"/>
      <c r="F106" s="197"/>
      <c r="G106" s="197"/>
      <c r="H106" s="197"/>
      <c r="I106" s="197"/>
      <c r="J106" s="18">
        <f t="shared" si="5"/>
        <v>173740.52</v>
      </c>
      <c r="L106" s="209"/>
      <c r="O106" s="1" t="s">
        <v>126</v>
      </c>
    </row>
    <row r="107" spans="1:15" ht="18.75" customHeight="1" outlineLevel="2">
      <c r="A107" s="197" t="str">
        <f t="shared" si="4"/>
        <v>Оплачено поставщику (поставщикам) коммунального ресурса, руб.</v>
      </c>
      <c r="B107" s="197"/>
      <c r="C107" s="197"/>
      <c r="D107" s="197"/>
      <c r="E107" s="197"/>
      <c r="F107" s="197"/>
      <c r="G107" s="197"/>
      <c r="H107" s="197"/>
      <c r="I107" s="197"/>
      <c r="J107" s="18">
        <f t="shared" si="5"/>
        <v>173740.52</v>
      </c>
      <c r="L107" s="209"/>
      <c r="O107" s="1" t="s">
        <v>127</v>
      </c>
    </row>
    <row r="108" spans="1:15" ht="37.5" customHeight="1" outlineLevel="2">
      <c r="A108" s="197" t="str">
        <f t="shared" si="4"/>
        <v>Задолженность перед поставщиком (поставщиками) коммунального ресурса, руб.</v>
      </c>
      <c r="B108" s="197"/>
      <c r="C108" s="197"/>
      <c r="D108" s="197"/>
      <c r="E108" s="197"/>
      <c r="F108" s="197"/>
      <c r="G108" s="197"/>
      <c r="H108" s="197"/>
      <c r="I108" s="197"/>
      <c r="J108" s="18">
        <f t="shared" si="5"/>
        <v>0</v>
      </c>
      <c r="L108" s="209"/>
      <c r="O108" s="1" t="s">
        <v>128</v>
      </c>
    </row>
    <row r="109" spans="1:15" ht="39.75" customHeight="1" outlineLevel="2">
      <c r="A109" s="197" t="str">
        <f t="shared" si="4"/>
        <v>Размер пени и штрафов, уплаченных поставщику (поставщикам) коммунального ресурса, руб.</v>
      </c>
      <c r="B109" s="197"/>
      <c r="C109" s="197"/>
      <c r="D109" s="197"/>
      <c r="E109" s="197"/>
      <c r="F109" s="197"/>
      <c r="G109" s="197"/>
      <c r="H109" s="197"/>
      <c r="I109" s="197"/>
      <c r="J109" s="18">
        <f t="shared" si="5"/>
        <v>0</v>
      </c>
      <c r="L109" s="209"/>
      <c r="O109" s="1" t="s">
        <v>129</v>
      </c>
    </row>
    <row r="110" spans="1:15" ht="27" customHeight="1" outlineLevel="1">
      <c r="A110" s="196" t="str">
        <f>IF(VLOOKUP("воо",АО,3,FALSE)&gt;0,"Водоотведение",0)</f>
        <v>Водоотведение</v>
      </c>
      <c r="B110" s="196"/>
      <c r="C110" s="196"/>
      <c r="D110" s="194" t="str">
        <f>IF(VLOOKUP("воо",АО,3,FALSE)&gt;0,VLOOKUP("воо",АО,3,FALSE),0)</f>
        <v>Предоставляется</v>
      </c>
      <c r="E110" s="194"/>
      <c r="F110" s="13" t="str">
        <f>IF(VLOOKUP("воо",АО,3,FALSE)&gt;0,VLOOKUP("воо",АО,4,FALSE),0)</f>
        <v>куб.м.</v>
      </c>
      <c r="G110" s="193">
        <f>VLOOKUP("воо",АО,5,FALSE)</f>
        <v>211589.46</v>
      </c>
      <c r="H110" s="194"/>
      <c r="I110" s="194"/>
      <c r="J110" s="194"/>
      <c r="L110" s="209"/>
    </row>
    <row r="111" spans="1:15" outlineLevel="2">
      <c r="A111" s="191" t="str">
        <f t="shared" ref="A111:A117" si="6">IF(VLOOKUP("воо",АО,3,FALSE)&gt;0,VLOOKUP(O111,АО,2,FALSE),0)</f>
        <v>Общий объем потребления, нат. показ.</v>
      </c>
      <c r="B111" s="191"/>
      <c r="C111" s="191"/>
      <c r="D111" s="191"/>
      <c r="E111" s="191"/>
      <c r="F111" s="191"/>
      <c r="G111" s="191"/>
      <c r="H111" s="191"/>
      <c r="I111" s="191"/>
      <c r="J111" s="18">
        <f t="shared" ref="J111:J117" si="7">VLOOKUP(O111,АО,3,FALSE)</f>
        <v>11947.46</v>
      </c>
      <c r="L111" s="209"/>
      <c r="O111" s="1" t="s">
        <v>131</v>
      </c>
    </row>
    <row r="112" spans="1:15" ht="18.75" customHeight="1" outlineLevel="2">
      <c r="A112" s="191" t="str">
        <f t="shared" si="6"/>
        <v>Оплачено потребителями, руб.</v>
      </c>
      <c r="B112" s="191"/>
      <c r="C112" s="191"/>
      <c r="D112" s="191"/>
      <c r="E112" s="191"/>
      <c r="F112" s="191"/>
      <c r="G112" s="191"/>
      <c r="H112" s="191"/>
      <c r="I112" s="191"/>
      <c r="J112" s="18">
        <f t="shared" si="7"/>
        <v>195619.89</v>
      </c>
      <c r="L112" s="209"/>
      <c r="O112" s="1" t="s">
        <v>132</v>
      </c>
    </row>
    <row r="113" spans="1:15" ht="19.5" customHeight="1" outlineLevel="2">
      <c r="A113" s="191" t="str">
        <f t="shared" si="6"/>
        <v>Задолженность потребителей, руб.</v>
      </c>
      <c r="B113" s="191"/>
      <c r="C113" s="191"/>
      <c r="D113" s="191"/>
      <c r="E113" s="191"/>
      <c r="F113" s="191"/>
      <c r="G113" s="191"/>
      <c r="H113" s="191"/>
      <c r="I113" s="191"/>
      <c r="J113" s="18">
        <f t="shared" si="7"/>
        <v>15969.569999999978</v>
      </c>
      <c r="L113" s="209"/>
      <c r="O113" s="1" t="s">
        <v>133</v>
      </c>
    </row>
    <row r="114" spans="1:15" ht="33" customHeight="1" outlineLevel="2">
      <c r="A114" s="191" t="str">
        <f t="shared" si="6"/>
        <v>Начислено поставщиком (поставщиками) коммунального ресурса, руб.</v>
      </c>
      <c r="B114" s="191"/>
      <c r="C114" s="191"/>
      <c r="D114" s="191"/>
      <c r="E114" s="191"/>
      <c r="F114" s="191"/>
      <c r="G114" s="191"/>
      <c r="H114" s="191"/>
      <c r="I114" s="191"/>
      <c r="J114" s="18">
        <f t="shared" si="7"/>
        <v>211589.46</v>
      </c>
      <c r="L114" s="209"/>
      <c r="O114" s="1" t="s">
        <v>134</v>
      </c>
    </row>
    <row r="115" spans="1:15" ht="18.75" customHeight="1" outlineLevel="2">
      <c r="A115" s="191" t="str">
        <f t="shared" si="6"/>
        <v>Оплачено поставщику (поставщикам) коммунального ресурса, руб.</v>
      </c>
      <c r="B115" s="191"/>
      <c r="C115" s="191"/>
      <c r="D115" s="191"/>
      <c r="E115" s="191"/>
      <c r="F115" s="191"/>
      <c r="G115" s="191"/>
      <c r="H115" s="191"/>
      <c r="I115" s="191"/>
      <c r="J115" s="18">
        <f t="shared" si="7"/>
        <v>211589.46</v>
      </c>
      <c r="L115" s="209"/>
      <c r="O115" s="1" t="s">
        <v>135</v>
      </c>
    </row>
    <row r="116" spans="1:15" ht="33.75" customHeight="1" outlineLevel="2">
      <c r="A116" s="191" t="str">
        <f t="shared" si="6"/>
        <v>Задолженность перед поставщиком (поставщиками) коммунального ресурса, руб.</v>
      </c>
      <c r="B116" s="191"/>
      <c r="C116" s="191"/>
      <c r="D116" s="191"/>
      <c r="E116" s="191"/>
      <c r="F116" s="191"/>
      <c r="G116" s="191"/>
      <c r="H116" s="191"/>
      <c r="I116" s="191"/>
      <c r="J116" s="18">
        <f t="shared" si="7"/>
        <v>0</v>
      </c>
      <c r="L116" s="209"/>
      <c r="O116" s="1" t="s">
        <v>136</v>
      </c>
    </row>
    <row r="117" spans="1:15" ht="32.25" customHeight="1" outlineLevel="2">
      <c r="A117" s="191" t="str">
        <f t="shared" si="6"/>
        <v>Размер пени и штрафов, уплаченных поставщику (поставщикам) коммунального ресурса, руб.</v>
      </c>
      <c r="B117" s="191"/>
      <c r="C117" s="191"/>
      <c r="D117" s="191"/>
      <c r="E117" s="191"/>
      <c r="F117" s="191"/>
      <c r="G117" s="191"/>
      <c r="H117" s="191"/>
      <c r="I117" s="191"/>
      <c r="J117" s="18">
        <f t="shared" si="7"/>
        <v>0</v>
      </c>
      <c r="L117" s="209"/>
      <c r="O117" s="1" t="s">
        <v>137</v>
      </c>
    </row>
    <row r="118" spans="1:15" ht="32.25" hidden="1" customHeight="1" outlineLevel="1">
      <c r="A118" s="196">
        <f>IF(VLOOKUP("тко",АО,3,FALSE)&gt;0,"Обращение с ТКО",0)</f>
        <v>0</v>
      </c>
      <c r="B118" s="196"/>
      <c r="C118" s="196"/>
      <c r="D118" s="194">
        <f>IF(VLOOKUP("тко",АО,3,FALSE)&gt;0,VLOOKUP("тко",АО,3,FALSE),0)</f>
        <v>0</v>
      </c>
      <c r="E118" s="194"/>
      <c r="F118" s="13">
        <f>IF(VLOOKUP("тко",АО,3,FALSE)&gt;0,VLOOKUP("тко",АО,4,FALSE),0)</f>
        <v>0</v>
      </c>
      <c r="G118" s="193">
        <f>VLOOKUP("тко",АО,5,FALSE)</f>
        <v>0</v>
      </c>
      <c r="H118" s="194"/>
      <c r="I118" s="194"/>
      <c r="J118" s="194"/>
      <c r="L118" s="47"/>
    </row>
    <row r="119" spans="1:15" ht="32.25" hidden="1" customHeight="1" outlineLevel="2">
      <c r="A119" s="191">
        <f t="shared" ref="A119:A125" si="8">IF(VLOOKUP("тко",АО,3,FALSE)&gt;0,VLOOKUP(O119,АО,2,FALSE),0)</f>
        <v>0</v>
      </c>
      <c r="B119" s="191"/>
      <c r="C119" s="191"/>
      <c r="D119" s="191"/>
      <c r="E119" s="191"/>
      <c r="F119" s="191"/>
      <c r="G119" s="191"/>
      <c r="H119" s="191"/>
      <c r="I119" s="191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91">
        <f t="shared" si="8"/>
        <v>0</v>
      </c>
      <c r="B120" s="191"/>
      <c r="C120" s="191"/>
      <c r="D120" s="191"/>
      <c r="E120" s="191"/>
      <c r="F120" s="191"/>
      <c r="G120" s="191"/>
      <c r="H120" s="191"/>
      <c r="I120" s="191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91">
        <f t="shared" si="8"/>
        <v>0</v>
      </c>
      <c r="B121" s="191"/>
      <c r="C121" s="191"/>
      <c r="D121" s="191"/>
      <c r="E121" s="191"/>
      <c r="F121" s="191"/>
      <c r="G121" s="191"/>
      <c r="H121" s="191"/>
      <c r="I121" s="191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91">
        <f t="shared" si="8"/>
        <v>0</v>
      </c>
      <c r="B122" s="191"/>
      <c r="C122" s="191"/>
      <c r="D122" s="191"/>
      <c r="E122" s="191"/>
      <c r="F122" s="191"/>
      <c r="G122" s="191"/>
      <c r="H122" s="191"/>
      <c r="I122" s="191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91">
        <f t="shared" si="8"/>
        <v>0</v>
      </c>
      <c r="B123" s="191"/>
      <c r="C123" s="191"/>
      <c r="D123" s="191"/>
      <c r="E123" s="191"/>
      <c r="F123" s="191"/>
      <c r="G123" s="191"/>
      <c r="H123" s="191"/>
      <c r="I123" s="191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91">
        <f t="shared" si="8"/>
        <v>0</v>
      </c>
      <c r="B124" s="191"/>
      <c r="C124" s="191"/>
      <c r="D124" s="191"/>
      <c r="E124" s="191"/>
      <c r="F124" s="191"/>
      <c r="G124" s="191"/>
      <c r="H124" s="191"/>
      <c r="I124" s="191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91">
        <f t="shared" si="8"/>
        <v>0</v>
      </c>
      <c r="B125" s="191"/>
      <c r="C125" s="191"/>
      <c r="D125" s="191"/>
      <c r="E125" s="191"/>
      <c r="F125" s="191"/>
      <c r="G125" s="191"/>
      <c r="H125" s="191"/>
      <c r="I125" s="191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96">
        <f>IF(VLOOKUP("гвс",АО,3,FALSE)&gt;0,"Горячее водоснабжение",0)</f>
        <v>0</v>
      </c>
      <c r="B126" s="196"/>
      <c r="C126" s="196"/>
      <c r="D126" s="194">
        <f>IF(VLOOKUP("гвс",АО,3,FALSE)&gt;0,VLOOKUP("гвс",АО,3,FALSE),0)</f>
        <v>0</v>
      </c>
      <c r="E126" s="194"/>
      <c r="F126" s="13">
        <f>IF(VLOOKUP("гвс",АО,3,FALSE)&gt;0,VLOOKUP("гвс",АО,4,FALSE),0)</f>
        <v>0</v>
      </c>
      <c r="G126" s="193">
        <f>VLOOKUP("гвс",АО,5,FALSE)</f>
        <v>0</v>
      </c>
      <c r="H126" s="194"/>
      <c r="I126" s="194"/>
      <c r="J126" s="194"/>
      <c r="L126" s="47"/>
    </row>
    <row r="127" spans="1:15" ht="32.25" hidden="1" customHeight="1" outlineLevel="2">
      <c r="A127" s="191">
        <f t="shared" ref="A127:A133" si="10">IF(VLOOKUP("гвс",АО,3,FALSE)&gt;0,VLOOKUP(O127,АО,2,FALSE),0)</f>
        <v>0</v>
      </c>
      <c r="B127" s="191"/>
      <c r="C127" s="191"/>
      <c r="D127" s="191"/>
      <c r="E127" s="191"/>
      <c r="F127" s="191"/>
      <c r="G127" s="191"/>
      <c r="H127" s="191"/>
      <c r="I127" s="191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91">
        <f t="shared" si="10"/>
        <v>0</v>
      </c>
      <c r="B128" s="191"/>
      <c r="C128" s="191"/>
      <c r="D128" s="191"/>
      <c r="E128" s="191"/>
      <c r="F128" s="191"/>
      <c r="G128" s="191"/>
      <c r="H128" s="191"/>
      <c r="I128" s="191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91">
        <f t="shared" si="10"/>
        <v>0</v>
      </c>
      <c r="B129" s="191"/>
      <c r="C129" s="191"/>
      <c r="D129" s="191"/>
      <c r="E129" s="191"/>
      <c r="F129" s="191"/>
      <c r="G129" s="191"/>
      <c r="H129" s="191"/>
      <c r="I129" s="191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91">
        <f t="shared" si="10"/>
        <v>0</v>
      </c>
      <c r="B130" s="191"/>
      <c r="C130" s="191"/>
      <c r="D130" s="191"/>
      <c r="E130" s="191"/>
      <c r="F130" s="191"/>
      <c r="G130" s="191"/>
      <c r="H130" s="191"/>
      <c r="I130" s="191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91">
        <f t="shared" si="10"/>
        <v>0</v>
      </c>
      <c r="B131" s="191"/>
      <c r="C131" s="191"/>
      <c r="D131" s="191"/>
      <c r="E131" s="191"/>
      <c r="F131" s="191"/>
      <c r="G131" s="191"/>
      <c r="H131" s="191"/>
      <c r="I131" s="191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91">
        <f t="shared" si="10"/>
        <v>0</v>
      </c>
      <c r="B132" s="191"/>
      <c r="C132" s="191"/>
      <c r="D132" s="191"/>
      <c r="E132" s="191"/>
      <c r="F132" s="191"/>
      <c r="G132" s="191"/>
      <c r="H132" s="191"/>
      <c r="I132" s="191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91">
        <f t="shared" si="10"/>
        <v>0</v>
      </c>
      <c r="B133" s="191"/>
      <c r="C133" s="191"/>
      <c r="D133" s="191"/>
      <c r="E133" s="191"/>
      <c r="F133" s="191"/>
      <c r="G133" s="191"/>
      <c r="H133" s="191"/>
      <c r="I133" s="191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96">
        <f>IF(VLOOKUP("отопление",АО,3,FALSE)&gt;0,"Отопление",0)</f>
        <v>0</v>
      </c>
      <c r="B134" s="196"/>
      <c r="C134" s="196"/>
      <c r="D134" s="194">
        <f>IF(VLOOKUP("отопление",АО,3,FALSE)&gt;0,VLOOKUP("отопление",АО,3,FALSE),0)</f>
        <v>0</v>
      </c>
      <c r="E134" s="194"/>
      <c r="F134" s="13">
        <f>IF(VLOOKUP("отопление",АО,3,FALSE)&gt;0,VLOOKUP("отопление",АО,4,FALSE),0)</f>
        <v>0</v>
      </c>
      <c r="G134" s="193">
        <f>VLOOKUP("отопление",АО,5,FALSE)</f>
        <v>0</v>
      </c>
      <c r="H134" s="194"/>
      <c r="I134" s="194"/>
      <c r="J134" s="194"/>
      <c r="L134" s="47"/>
    </row>
    <row r="135" spans="1:15" ht="32.25" hidden="1" customHeight="1" outlineLevel="2">
      <c r="A135" s="191">
        <f t="shared" ref="A135:A141" si="12">IF(VLOOKUP("отопление",АО,3,FALSE)&gt;0,VLOOKUP(O135,АО,2,FALSE),0)</f>
        <v>0</v>
      </c>
      <c r="B135" s="191"/>
      <c r="C135" s="191"/>
      <c r="D135" s="191"/>
      <c r="E135" s="191"/>
      <c r="F135" s="191"/>
      <c r="G135" s="191"/>
      <c r="H135" s="191"/>
      <c r="I135" s="191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91">
        <f t="shared" si="12"/>
        <v>0</v>
      </c>
      <c r="B136" s="191"/>
      <c r="C136" s="191"/>
      <c r="D136" s="191"/>
      <c r="E136" s="191"/>
      <c r="F136" s="191"/>
      <c r="G136" s="191"/>
      <c r="H136" s="191"/>
      <c r="I136" s="191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91">
        <f t="shared" si="12"/>
        <v>0</v>
      </c>
      <c r="B137" s="191"/>
      <c r="C137" s="191"/>
      <c r="D137" s="191"/>
      <c r="E137" s="191"/>
      <c r="F137" s="191"/>
      <c r="G137" s="191"/>
      <c r="H137" s="191"/>
      <c r="I137" s="191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91">
        <f t="shared" si="12"/>
        <v>0</v>
      </c>
      <c r="B138" s="191"/>
      <c r="C138" s="191"/>
      <c r="D138" s="191"/>
      <c r="E138" s="191"/>
      <c r="F138" s="191"/>
      <c r="G138" s="191"/>
      <c r="H138" s="191"/>
      <c r="I138" s="191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91">
        <f t="shared" si="12"/>
        <v>0</v>
      </c>
      <c r="B139" s="191"/>
      <c r="C139" s="191"/>
      <c r="D139" s="191"/>
      <c r="E139" s="191"/>
      <c r="F139" s="191"/>
      <c r="G139" s="191"/>
      <c r="H139" s="191"/>
      <c r="I139" s="191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91">
        <f t="shared" si="12"/>
        <v>0</v>
      </c>
      <c r="B140" s="191"/>
      <c r="C140" s="191"/>
      <c r="D140" s="191"/>
      <c r="E140" s="191"/>
      <c r="F140" s="191"/>
      <c r="G140" s="191"/>
      <c r="H140" s="191"/>
      <c r="I140" s="191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91">
        <f t="shared" si="12"/>
        <v>0</v>
      </c>
      <c r="B141" s="191"/>
      <c r="C141" s="191"/>
      <c r="D141" s="191"/>
      <c r="E141" s="191"/>
      <c r="F141" s="191"/>
      <c r="G141" s="191"/>
      <c r="H141" s="191"/>
      <c r="I141" s="191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91" t="s">
        <v>45</v>
      </c>
      <c r="B144" s="191"/>
      <c r="C144" s="191"/>
      <c r="D144" s="191"/>
      <c r="E144" s="191"/>
      <c r="F144" s="191"/>
      <c r="G144" s="191"/>
      <c r="H144" s="191"/>
      <c r="I144" s="191"/>
      <c r="J144" s="14">
        <f>VLOOKUP(O144,юр,3,FALSE)</f>
        <v>0</v>
      </c>
      <c r="O144" t="s">
        <v>171</v>
      </c>
    </row>
    <row r="145" spans="1:15" ht="18.75" customHeight="1" outlineLevel="1">
      <c r="A145" s="191" t="s">
        <v>46</v>
      </c>
      <c r="B145" s="191"/>
      <c r="C145" s="191"/>
      <c r="D145" s="191"/>
      <c r="E145" s="191"/>
      <c r="F145" s="191"/>
      <c r="G145" s="191"/>
      <c r="H145" s="191"/>
      <c r="I145" s="191"/>
      <c r="J145" s="14">
        <f>VLOOKUP(O145,юр,3,FALSE)</f>
        <v>4</v>
      </c>
      <c r="L145" s="15"/>
      <c r="O145" t="s">
        <v>172</v>
      </c>
    </row>
    <row r="146" spans="1:15" ht="30" customHeight="1" outlineLevel="1">
      <c r="A146" s="191" t="s">
        <v>174</v>
      </c>
      <c r="B146" s="191"/>
      <c r="C146" s="191"/>
      <c r="D146" s="191"/>
      <c r="E146" s="191"/>
      <c r="F146" s="191"/>
      <c r="G146" s="191"/>
      <c r="H146" s="191"/>
      <c r="I146" s="191"/>
      <c r="J146" s="9">
        <f>VLOOKUP(O146,юр,3,FALSE)</f>
        <v>110000</v>
      </c>
      <c r="O146" t="s">
        <v>173</v>
      </c>
    </row>
    <row r="149" spans="1:15" ht="41.25" customHeight="1">
      <c r="A149" s="187" t="s">
        <v>186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6" t="s">
        <v>201</v>
      </c>
      <c r="B154" s="186"/>
      <c r="C154" s="186"/>
      <c r="D154" s="186"/>
      <c r="E154" s="27">
        <f>ПТО!G1</f>
        <v>-13461.05</v>
      </c>
    </row>
    <row r="155" spans="1:15" ht="34.5" customHeight="1">
      <c r="A155" s="188" t="s">
        <v>200</v>
      </c>
      <c r="B155" s="188"/>
      <c r="C155" s="188"/>
      <c r="D155" s="188"/>
      <c r="E155" s="28">
        <f>J13</f>
        <v>229510.80000000002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9" t="s">
        <v>19</v>
      </c>
      <c r="B157" s="189"/>
      <c r="C157" s="189"/>
      <c r="D157" s="189"/>
      <c r="E157" s="189"/>
      <c r="F157" s="189" t="s">
        <v>20</v>
      </c>
      <c r="G157" s="189"/>
      <c r="H157" s="20" t="s">
        <v>57</v>
      </c>
      <c r="I157" s="189" t="s">
        <v>21</v>
      </c>
      <c r="J157" s="189"/>
    </row>
    <row r="158" spans="1:15" ht="23.25" customHeight="1">
      <c r="A158" s="183" t="str">
        <f t="shared" ref="A158:A163" si="14">IF(N158&gt;0,N158,0)</f>
        <v>Техническое освидетельствование лифтов.</v>
      </c>
      <c r="B158" s="183"/>
      <c r="C158" s="183"/>
      <c r="D158" s="183"/>
      <c r="E158" s="183"/>
      <c r="F158" s="184">
        <f t="shared" ref="F158:F163" si="15">IF(ISERROR(VLOOKUP(A158,$A$28:$J$72,6,FALSE)),0,VLOOKUP(A158,$A$28:$J$72,6,FALSE))</f>
        <v>16200</v>
      </c>
      <c r="G158" s="184"/>
      <c r="H158" s="24" t="str">
        <f t="shared" ref="H158:H187" si="16">VLOOKUP(A158,$A$28:$J$72,8,FALSE)</f>
        <v>ежегодно</v>
      </c>
      <c r="I158" s="185">
        <f t="shared" ref="I158:I161" si="17">VLOOKUP(A158,$A$28:$J$72,9,FALSE)</f>
        <v>2</v>
      </c>
      <c r="J158" s="18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3" t="str">
        <f t="shared" si="14"/>
        <v>Техническое обслуживание системы видеонаблюдения.</v>
      </c>
      <c r="B159" s="183"/>
      <c r="C159" s="183"/>
      <c r="D159" s="183"/>
      <c r="E159" s="183"/>
      <c r="F159" s="184">
        <f t="shared" si="15"/>
        <v>26400</v>
      </c>
      <c r="G159" s="184"/>
      <c r="H159" s="24" t="str">
        <f t="shared" si="16"/>
        <v>ежемесячно</v>
      </c>
      <c r="I159" s="185">
        <f t="shared" si="17"/>
        <v>12</v>
      </c>
      <c r="J159" s="185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83" t="str">
        <f t="shared" si="14"/>
        <v>Восстановление питания электромагнитного замка (15 этаж).</v>
      </c>
      <c r="B160" s="183"/>
      <c r="C160" s="183"/>
      <c r="D160" s="183"/>
      <c r="E160" s="183"/>
      <c r="F160" s="184">
        <f t="shared" si="15"/>
        <v>800</v>
      </c>
      <c r="G160" s="184"/>
      <c r="H160" s="24" t="str">
        <f t="shared" si="16"/>
        <v>разово</v>
      </c>
      <c r="I160" s="185">
        <f t="shared" si="17"/>
        <v>1</v>
      </c>
      <c r="J160" s="185"/>
      <c r="M160" s="22" t="s">
        <v>72</v>
      </c>
      <c r="N160" s="1" t="str">
        <v>Восстановление питания электромагнитного замка (15 этаж).</v>
      </c>
    </row>
    <row r="161" spans="1:14" ht="28.5" customHeight="1">
      <c r="A161" s="183" t="str">
        <f>IF(N161&gt;0,N161,0)</f>
        <v>Замена блока питания и контроллера системы электромагнитного замка (5 и 8 этажи).</v>
      </c>
      <c r="B161" s="183"/>
      <c r="C161" s="183"/>
      <c r="D161" s="183"/>
      <c r="E161" s="183"/>
      <c r="F161" s="184">
        <f t="shared" si="15"/>
        <v>4900</v>
      </c>
      <c r="G161" s="184"/>
      <c r="H161" s="24" t="str">
        <f t="shared" si="16"/>
        <v>разово</v>
      </c>
      <c r="I161" s="185">
        <f t="shared" si="17"/>
        <v>1</v>
      </c>
      <c r="J161" s="185"/>
      <c r="M161" s="22" t="s">
        <v>72</v>
      </c>
      <c r="N161" s="1" t="str">
        <v>Замена блока питания и контроллера системы электромагнитного замка (5 и 8 этажи).</v>
      </c>
    </row>
    <row r="162" spans="1:14" ht="28.5" customHeight="1">
      <c r="A162" s="183" t="str">
        <f t="shared" si="14"/>
        <v>Механизированная уборка и вывоз снега с придомовой территории.</v>
      </c>
      <c r="B162" s="183"/>
      <c r="C162" s="183"/>
      <c r="D162" s="183"/>
      <c r="E162" s="183"/>
      <c r="F162" s="184">
        <f t="shared" si="15"/>
        <v>17869.21</v>
      </c>
      <c r="G162" s="184"/>
      <c r="H162" s="24" t="str">
        <f t="shared" si="16"/>
        <v>разово</v>
      </c>
      <c r="I162" s="185">
        <f>VLOOKUP(A162,$A$28:$J$72,9,FALSE)</f>
        <v>1</v>
      </c>
      <c r="J162" s="185"/>
      <c r="M162" s="22" t="s">
        <v>72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83" t="str">
        <f t="shared" si="14"/>
        <v>Замена блока питания и ремонт доводчика (5 этаж).</v>
      </c>
      <c r="B163" s="183"/>
      <c r="C163" s="183"/>
      <c r="D163" s="183"/>
      <c r="E163" s="183"/>
      <c r="F163" s="184">
        <f t="shared" si="15"/>
        <v>2200</v>
      </c>
      <c r="G163" s="184"/>
      <c r="H163" s="24" t="str">
        <f t="shared" si="16"/>
        <v>разово</v>
      </c>
      <c r="I163" s="185">
        <f>VLOOKUP(A163,$A$28:$J$72,9,FALSE)</f>
        <v>1</v>
      </c>
      <c r="J163" s="185"/>
      <c r="M163" s="22" t="s">
        <v>72</v>
      </c>
      <c r="N163" s="1" t="str">
        <v>Замена блока питания и ремонт доводчика (5 этаж).</v>
      </c>
    </row>
    <row r="164" spans="1:14" ht="28.5" customHeight="1">
      <c r="A164" s="183" t="str">
        <f t="shared" ref="A164:A187" si="18">IF(N164&gt;0,N164,0)</f>
        <v>Замена гибкой вставки (д50), на трубопроводе ХВС (цокольный этаж).</v>
      </c>
      <c r="B164" s="183"/>
      <c r="C164" s="183"/>
      <c r="D164" s="183"/>
      <c r="E164" s="183"/>
      <c r="F164" s="184">
        <f t="shared" ref="F164:F187" si="19">IF(ISERROR(VLOOKUP(A164,$A$28:$J$72,6,FALSE)),0,VLOOKUP(A164,$A$28:$J$72,6,FALSE))</f>
        <v>3500</v>
      </c>
      <c r="G164" s="184"/>
      <c r="H164" s="29" t="str">
        <f t="shared" si="16"/>
        <v>разово</v>
      </c>
      <c r="I164" s="185">
        <f t="shared" ref="I164:I187" si="20">VLOOKUP(A164,$A$28:$J$72,9,FALSE)</f>
        <v>1</v>
      </c>
      <c r="J164" s="185"/>
      <c r="M164" s="22" t="s">
        <v>72</v>
      </c>
      <c r="N164" s="1" t="str">
        <v>Замена гибкой вставки (д50), на трубопроводе ХВС (цокольный этаж).</v>
      </c>
    </row>
    <row r="165" spans="1:14" ht="21" customHeight="1">
      <c r="A165" s="183" t="str">
        <f t="shared" si="18"/>
        <v>Замена вкладышей направляющих кабины лифта.</v>
      </c>
      <c r="B165" s="183"/>
      <c r="C165" s="183"/>
      <c r="D165" s="183"/>
      <c r="E165" s="183"/>
      <c r="F165" s="184">
        <f t="shared" si="19"/>
        <v>6720</v>
      </c>
      <c r="G165" s="184"/>
      <c r="H165" s="29" t="str">
        <f t="shared" si="16"/>
        <v>разово</v>
      </c>
      <c r="I165" s="185">
        <f t="shared" si="20"/>
        <v>1</v>
      </c>
      <c r="J165" s="185"/>
      <c r="M165" s="22" t="s">
        <v>72</v>
      </c>
      <c r="N165" s="1" t="str">
        <v>Замена вкладышей направляющих кабины лифта.</v>
      </c>
    </row>
    <row r="166" spans="1:14" ht="28.5" customHeight="1">
      <c r="A166" s="183" t="str">
        <f t="shared" si="18"/>
        <v>Приобретение и замена  манометров (14 шт.) и термометров (10 шт.).</v>
      </c>
      <c r="B166" s="183"/>
      <c r="C166" s="183"/>
      <c r="D166" s="183"/>
      <c r="E166" s="183"/>
      <c r="F166" s="184">
        <f t="shared" si="19"/>
        <v>8817.9</v>
      </c>
      <c r="G166" s="184"/>
      <c r="H166" s="29" t="str">
        <f t="shared" si="16"/>
        <v>разово</v>
      </c>
      <c r="I166" s="185">
        <f t="shared" si="20"/>
        <v>1</v>
      </c>
      <c r="J166" s="185"/>
      <c r="M166" s="22" t="s">
        <v>72</v>
      </c>
      <c r="N166" s="1" t="str">
        <v>Приобретение и замена  манометров (14 шт.) и термометров (10 шт.).</v>
      </c>
    </row>
    <row r="167" spans="1:14" ht="28.5" customHeight="1">
      <c r="A167" s="183" t="str">
        <f t="shared" si="18"/>
        <v>Перекатка пожарных рукавов на новую скатку (13 шт.).</v>
      </c>
      <c r="B167" s="183"/>
      <c r="C167" s="183"/>
      <c r="D167" s="183"/>
      <c r="E167" s="183"/>
      <c r="F167" s="184">
        <f t="shared" si="19"/>
        <v>3250</v>
      </c>
      <c r="G167" s="184"/>
      <c r="H167" s="29" t="str">
        <f t="shared" si="16"/>
        <v>разово</v>
      </c>
      <c r="I167" s="185">
        <f t="shared" si="20"/>
        <v>1</v>
      </c>
      <c r="J167" s="185"/>
      <c r="M167" s="22" t="s">
        <v>72</v>
      </c>
      <c r="N167" s="1" t="str">
        <v>Перекатка пожарных рукавов на новую скатку (13 шт.).</v>
      </c>
    </row>
    <row r="168" spans="1:14" ht="28.5" customHeight="1">
      <c r="A168" s="183" t="str">
        <f t="shared" si="18"/>
        <v>Ремонт подъезда (4 этаж).</v>
      </c>
      <c r="B168" s="183"/>
      <c r="C168" s="183"/>
      <c r="D168" s="183"/>
      <c r="E168" s="183"/>
      <c r="F168" s="184">
        <f t="shared" si="19"/>
        <v>46238</v>
      </c>
      <c r="G168" s="184"/>
      <c r="H168" s="29" t="str">
        <f t="shared" si="16"/>
        <v>разово</v>
      </c>
      <c r="I168" s="185">
        <f t="shared" si="20"/>
        <v>1</v>
      </c>
      <c r="J168" s="185"/>
      <c r="M168" s="22" t="s">
        <v>72</v>
      </c>
      <c r="N168" s="1" t="str">
        <v>Ремонт подъезда (4 этаж).</v>
      </c>
    </row>
    <row r="169" spans="1:14" ht="28.5" customHeight="1">
      <c r="A169" s="183" t="str">
        <f t="shared" si="18"/>
        <v>Испытания внутреннего пожарного водопровода на водоотдачу (28 шт.).</v>
      </c>
      <c r="B169" s="183"/>
      <c r="C169" s="183"/>
      <c r="D169" s="183"/>
      <c r="E169" s="183"/>
      <c r="F169" s="184">
        <f t="shared" si="19"/>
        <v>7000</v>
      </c>
      <c r="G169" s="184"/>
      <c r="H169" s="29" t="str">
        <f t="shared" si="16"/>
        <v>разово</v>
      </c>
      <c r="I169" s="185">
        <f t="shared" si="20"/>
        <v>1</v>
      </c>
      <c r="J169" s="185"/>
      <c r="M169" s="22" t="s">
        <v>72</v>
      </c>
      <c r="N169" s="1" t="str">
        <v>Испытания внутреннего пожарного водопровода на водоотдачу (28 шт.).</v>
      </c>
    </row>
    <row r="170" spans="1:14" ht="28.5" customHeight="1">
      <c r="A170" s="183" t="str">
        <f t="shared" si="18"/>
        <v>Приобретение и замена коммутатора системы видеонаблюдения.</v>
      </c>
      <c r="B170" s="183"/>
      <c r="C170" s="183"/>
      <c r="D170" s="183"/>
      <c r="E170" s="183"/>
      <c r="F170" s="184">
        <f t="shared" si="19"/>
        <v>899</v>
      </c>
      <c r="G170" s="184"/>
      <c r="H170" s="29" t="str">
        <f t="shared" si="16"/>
        <v>разово</v>
      </c>
      <c r="I170" s="185">
        <f t="shared" si="20"/>
        <v>1</v>
      </c>
      <c r="J170" s="185"/>
      <c r="M170" s="22" t="s">
        <v>72</v>
      </c>
      <c r="N170" s="1" t="str">
        <v>Приобретение и замена коммутатора системы видеонаблюдения.</v>
      </c>
    </row>
    <row r="171" spans="1:14" ht="28.5" hidden="1" customHeight="1">
      <c r="A171" s="183">
        <f t="shared" si="18"/>
        <v>0</v>
      </c>
      <c r="B171" s="183"/>
      <c r="C171" s="183"/>
      <c r="D171" s="183"/>
      <c r="E171" s="183"/>
      <c r="F171" s="184">
        <f t="shared" si="19"/>
        <v>0</v>
      </c>
      <c r="G171" s="184"/>
      <c r="H171" s="29" t="e">
        <f t="shared" si="16"/>
        <v>#N/A</v>
      </c>
      <c r="I171" s="185" t="e">
        <f t="shared" si="20"/>
        <v>#N/A</v>
      </c>
      <c r="J171" s="185"/>
      <c r="M171" s="22" t="s">
        <v>72</v>
      </c>
      <c r="N171" s="1">
        <v>0</v>
      </c>
    </row>
    <row r="172" spans="1:14" ht="28.5" hidden="1" customHeight="1">
      <c r="A172" s="183">
        <f t="shared" si="18"/>
        <v>0</v>
      </c>
      <c r="B172" s="183"/>
      <c r="C172" s="183"/>
      <c r="D172" s="183"/>
      <c r="E172" s="183"/>
      <c r="F172" s="184">
        <f t="shared" si="19"/>
        <v>0</v>
      </c>
      <c r="G172" s="184"/>
      <c r="H172" s="29" t="e">
        <f t="shared" si="16"/>
        <v>#N/A</v>
      </c>
      <c r="I172" s="185" t="e">
        <f t="shared" si="20"/>
        <v>#N/A</v>
      </c>
      <c r="J172" s="185"/>
      <c r="M172" s="22" t="s">
        <v>72</v>
      </c>
      <c r="N172" s="1">
        <v>0</v>
      </c>
    </row>
    <row r="173" spans="1:14" ht="28.5" hidden="1" customHeight="1">
      <c r="A173" s="183">
        <f t="shared" si="18"/>
        <v>0</v>
      </c>
      <c r="B173" s="183"/>
      <c r="C173" s="183"/>
      <c r="D173" s="183"/>
      <c r="E173" s="183"/>
      <c r="F173" s="184">
        <f t="shared" si="19"/>
        <v>0</v>
      </c>
      <c r="G173" s="184"/>
      <c r="H173" s="29" t="e">
        <f t="shared" si="16"/>
        <v>#N/A</v>
      </c>
      <c r="I173" s="185" t="e">
        <f t="shared" si="20"/>
        <v>#N/A</v>
      </c>
      <c r="J173" s="185"/>
      <c r="M173" s="22" t="s">
        <v>72</v>
      </c>
      <c r="N173" s="1">
        <v>0</v>
      </c>
    </row>
    <row r="174" spans="1:14" ht="28.5" hidden="1" customHeight="1">
      <c r="A174" s="183">
        <f t="shared" si="18"/>
        <v>0</v>
      </c>
      <c r="B174" s="183"/>
      <c r="C174" s="183"/>
      <c r="D174" s="183"/>
      <c r="E174" s="183"/>
      <c r="F174" s="184">
        <f t="shared" si="19"/>
        <v>0</v>
      </c>
      <c r="G174" s="184"/>
      <c r="H174" s="29" t="e">
        <f t="shared" si="16"/>
        <v>#N/A</v>
      </c>
      <c r="I174" s="185" t="e">
        <f t="shared" si="20"/>
        <v>#N/A</v>
      </c>
      <c r="J174" s="185"/>
      <c r="M174" s="22" t="s">
        <v>72</v>
      </c>
      <c r="N174" s="1">
        <v>0</v>
      </c>
    </row>
    <row r="175" spans="1:14" ht="28.5" hidden="1" customHeight="1">
      <c r="A175" s="183">
        <f t="shared" si="18"/>
        <v>0</v>
      </c>
      <c r="B175" s="183"/>
      <c r="C175" s="183"/>
      <c r="D175" s="183"/>
      <c r="E175" s="183"/>
      <c r="F175" s="184">
        <f t="shared" si="19"/>
        <v>0</v>
      </c>
      <c r="G175" s="184"/>
      <c r="H175" s="29" t="e">
        <f t="shared" si="16"/>
        <v>#N/A</v>
      </c>
      <c r="I175" s="185" t="e">
        <f t="shared" si="20"/>
        <v>#N/A</v>
      </c>
      <c r="J175" s="185"/>
      <c r="M175" s="22" t="s">
        <v>72</v>
      </c>
      <c r="N175" s="1">
        <v>0</v>
      </c>
    </row>
    <row r="176" spans="1:14" ht="28.5" hidden="1" customHeight="1">
      <c r="A176" s="183">
        <f t="shared" si="18"/>
        <v>0</v>
      </c>
      <c r="B176" s="183"/>
      <c r="C176" s="183"/>
      <c r="D176" s="183"/>
      <c r="E176" s="183"/>
      <c r="F176" s="184">
        <f t="shared" si="19"/>
        <v>0</v>
      </c>
      <c r="G176" s="184"/>
      <c r="H176" s="29" t="e">
        <f t="shared" si="16"/>
        <v>#N/A</v>
      </c>
      <c r="I176" s="185" t="e">
        <f t="shared" si="20"/>
        <v>#N/A</v>
      </c>
      <c r="J176" s="185"/>
      <c r="M176" s="22" t="s">
        <v>72</v>
      </c>
      <c r="N176" s="1">
        <v>0</v>
      </c>
    </row>
    <row r="177" spans="1:14" ht="28.5" hidden="1" customHeight="1">
      <c r="A177" s="183">
        <f t="shared" si="18"/>
        <v>0</v>
      </c>
      <c r="B177" s="183"/>
      <c r="C177" s="183"/>
      <c r="D177" s="183"/>
      <c r="E177" s="183"/>
      <c r="F177" s="184">
        <f t="shared" si="19"/>
        <v>0</v>
      </c>
      <c r="G177" s="184"/>
      <c r="H177" s="29" t="e">
        <f t="shared" si="16"/>
        <v>#N/A</v>
      </c>
      <c r="I177" s="185" t="e">
        <f t="shared" si="20"/>
        <v>#N/A</v>
      </c>
      <c r="J177" s="185"/>
      <c r="M177" s="22" t="s">
        <v>72</v>
      </c>
      <c r="N177" s="1">
        <v>0</v>
      </c>
    </row>
    <row r="178" spans="1:14" ht="28.5" hidden="1" customHeight="1">
      <c r="A178" s="183">
        <f t="shared" si="18"/>
        <v>0</v>
      </c>
      <c r="B178" s="183"/>
      <c r="C178" s="183"/>
      <c r="D178" s="183"/>
      <c r="E178" s="183"/>
      <c r="F178" s="184">
        <f t="shared" si="19"/>
        <v>0</v>
      </c>
      <c r="G178" s="184"/>
      <c r="H178" s="29" t="e">
        <f t="shared" si="16"/>
        <v>#N/A</v>
      </c>
      <c r="I178" s="185" t="e">
        <f t="shared" si="20"/>
        <v>#N/A</v>
      </c>
      <c r="J178" s="185"/>
      <c r="M178" s="22" t="s">
        <v>72</v>
      </c>
      <c r="N178" s="1">
        <v>0</v>
      </c>
    </row>
    <row r="179" spans="1:14" ht="28.5" hidden="1" customHeight="1">
      <c r="A179" s="183">
        <f t="shared" si="18"/>
        <v>0</v>
      </c>
      <c r="B179" s="183"/>
      <c r="C179" s="183"/>
      <c r="D179" s="183"/>
      <c r="E179" s="183"/>
      <c r="F179" s="184">
        <f t="shared" si="19"/>
        <v>0</v>
      </c>
      <c r="G179" s="184"/>
      <c r="H179" s="29" t="e">
        <f t="shared" si="16"/>
        <v>#N/A</v>
      </c>
      <c r="I179" s="185" t="e">
        <f t="shared" si="20"/>
        <v>#N/A</v>
      </c>
      <c r="J179" s="185"/>
      <c r="M179" s="22" t="s">
        <v>72</v>
      </c>
      <c r="N179" s="1">
        <v>0</v>
      </c>
    </row>
    <row r="180" spans="1:14" ht="28.5" hidden="1" customHeight="1">
      <c r="A180" s="183">
        <f t="shared" si="18"/>
        <v>0</v>
      </c>
      <c r="B180" s="183"/>
      <c r="C180" s="183"/>
      <c r="D180" s="183"/>
      <c r="E180" s="183"/>
      <c r="F180" s="184">
        <f t="shared" si="19"/>
        <v>0</v>
      </c>
      <c r="G180" s="184"/>
      <c r="H180" s="29" t="e">
        <f t="shared" si="16"/>
        <v>#N/A</v>
      </c>
      <c r="I180" s="185" t="e">
        <f t="shared" si="20"/>
        <v>#N/A</v>
      </c>
      <c r="J180" s="185"/>
      <c r="M180" s="22" t="s">
        <v>72</v>
      </c>
      <c r="N180" s="1">
        <v>0</v>
      </c>
    </row>
    <row r="181" spans="1:14" ht="28.5" hidden="1" customHeight="1">
      <c r="A181" s="183">
        <f t="shared" si="18"/>
        <v>0</v>
      </c>
      <c r="B181" s="183"/>
      <c r="C181" s="183"/>
      <c r="D181" s="183"/>
      <c r="E181" s="183"/>
      <c r="F181" s="184">
        <f t="shared" si="19"/>
        <v>0</v>
      </c>
      <c r="G181" s="184"/>
      <c r="H181" s="29" t="e">
        <f t="shared" si="16"/>
        <v>#N/A</v>
      </c>
      <c r="I181" s="185" t="e">
        <f t="shared" si="20"/>
        <v>#N/A</v>
      </c>
      <c r="J181" s="185"/>
      <c r="M181" s="22" t="s">
        <v>72</v>
      </c>
      <c r="N181" s="1">
        <v>0</v>
      </c>
    </row>
    <row r="182" spans="1:14" ht="28.5" hidden="1" customHeight="1">
      <c r="A182" s="183">
        <f t="shared" si="18"/>
        <v>0</v>
      </c>
      <c r="B182" s="183"/>
      <c r="C182" s="183"/>
      <c r="D182" s="183"/>
      <c r="E182" s="183"/>
      <c r="F182" s="184">
        <f t="shared" si="19"/>
        <v>0</v>
      </c>
      <c r="G182" s="184"/>
      <c r="H182" s="29" t="e">
        <f t="shared" si="16"/>
        <v>#N/A</v>
      </c>
      <c r="I182" s="185" t="e">
        <f t="shared" si="20"/>
        <v>#N/A</v>
      </c>
      <c r="J182" s="185"/>
      <c r="M182" s="22" t="s">
        <v>72</v>
      </c>
      <c r="N182" s="1">
        <v>0</v>
      </c>
    </row>
    <row r="183" spans="1:14" ht="28.5" hidden="1" customHeight="1">
      <c r="A183" s="183">
        <f t="shared" si="18"/>
        <v>0</v>
      </c>
      <c r="B183" s="183"/>
      <c r="C183" s="183"/>
      <c r="D183" s="183"/>
      <c r="E183" s="183"/>
      <c r="F183" s="184">
        <f t="shared" si="19"/>
        <v>0</v>
      </c>
      <c r="G183" s="184"/>
      <c r="H183" s="29" t="e">
        <f t="shared" si="16"/>
        <v>#N/A</v>
      </c>
      <c r="I183" s="185" t="e">
        <f t="shared" si="20"/>
        <v>#N/A</v>
      </c>
      <c r="J183" s="185"/>
      <c r="M183" s="22" t="s">
        <v>72</v>
      </c>
      <c r="N183" s="1">
        <v>0</v>
      </c>
    </row>
    <row r="184" spans="1:14" ht="28.5" hidden="1" customHeight="1">
      <c r="A184" s="183">
        <f t="shared" si="18"/>
        <v>0</v>
      </c>
      <c r="B184" s="183"/>
      <c r="C184" s="183"/>
      <c r="D184" s="183"/>
      <c r="E184" s="183"/>
      <c r="F184" s="184">
        <f t="shared" si="19"/>
        <v>0</v>
      </c>
      <c r="G184" s="184"/>
      <c r="H184" s="29" t="e">
        <f t="shared" si="16"/>
        <v>#N/A</v>
      </c>
      <c r="I184" s="185" t="e">
        <f t="shared" si="20"/>
        <v>#N/A</v>
      </c>
      <c r="J184" s="185"/>
      <c r="M184" s="22" t="s">
        <v>72</v>
      </c>
      <c r="N184" s="1">
        <v>0</v>
      </c>
    </row>
    <row r="185" spans="1:14" ht="28.5" hidden="1" customHeight="1">
      <c r="A185" s="183">
        <f t="shared" si="18"/>
        <v>0</v>
      </c>
      <c r="B185" s="183"/>
      <c r="C185" s="183"/>
      <c r="D185" s="183"/>
      <c r="E185" s="183"/>
      <c r="F185" s="184">
        <f t="shared" si="19"/>
        <v>0</v>
      </c>
      <c r="G185" s="184"/>
      <c r="H185" s="29" t="e">
        <f t="shared" si="16"/>
        <v>#N/A</v>
      </c>
      <c r="I185" s="185" t="e">
        <f t="shared" si="20"/>
        <v>#N/A</v>
      </c>
      <c r="J185" s="185"/>
      <c r="M185" s="22" t="s">
        <v>72</v>
      </c>
      <c r="N185" s="1">
        <v>0</v>
      </c>
    </row>
    <row r="186" spans="1:14" ht="28.5" hidden="1" customHeight="1">
      <c r="A186" s="183">
        <f>IF(N186&gt;0,N186,0)</f>
        <v>0</v>
      </c>
      <c r="B186" s="183"/>
      <c r="C186" s="183"/>
      <c r="D186" s="183"/>
      <c r="E186" s="183"/>
      <c r="F186" s="184">
        <f t="shared" si="19"/>
        <v>0</v>
      </c>
      <c r="G186" s="184"/>
      <c r="H186" s="29" t="e">
        <f t="shared" si="16"/>
        <v>#N/A</v>
      </c>
      <c r="I186" s="185" t="e">
        <f t="shared" si="20"/>
        <v>#N/A</v>
      </c>
      <c r="J186" s="185"/>
      <c r="M186" s="22" t="s">
        <v>72</v>
      </c>
      <c r="N186" s="1">
        <v>0</v>
      </c>
    </row>
    <row r="187" spans="1:14" ht="28.5" hidden="1" customHeight="1">
      <c r="A187" s="183">
        <f t="shared" si="18"/>
        <v>0</v>
      </c>
      <c r="B187" s="183"/>
      <c r="C187" s="183"/>
      <c r="D187" s="183"/>
      <c r="E187" s="183"/>
      <c r="F187" s="184">
        <f t="shared" si="19"/>
        <v>0</v>
      </c>
      <c r="G187" s="184"/>
      <c r="H187" s="29" t="e">
        <f t="shared" si="16"/>
        <v>#N/A</v>
      </c>
      <c r="I187" s="185" t="e">
        <f t="shared" si="20"/>
        <v>#N/A</v>
      </c>
      <c r="J187" s="185"/>
      <c r="M187" s="22" t="s">
        <v>72</v>
      </c>
      <c r="N187" s="1">
        <v>0</v>
      </c>
    </row>
    <row r="188" spans="1:14" ht="12.75" customHeight="1">
      <c r="A188" s="103" t="s">
        <v>175</v>
      </c>
    </row>
    <row r="189" spans="1:14" ht="12.75" customHeight="1">
      <c r="A189" s="103" t="s">
        <v>175</v>
      </c>
    </row>
    <row r="190" spans="1:14" ht="36.75" customHeight="1">
      <c r="A190" s="186" t="s">
        <v>199</v>
      </c>
      <c r="B190" s="186"/>
      <c r="C190" s="186"/>
      <c r="D190" s="186"/>
      <c r="E190" s="27">
        <f>SUM(F158:G187)</f>
        <v>144794.10999999999</v>
      </c>
    </row>
    <row r="191" spans="1:14" ht="51.75" customHeight="1">
      <c r="A191" s="186" t="s">
        <v>198</v>
      </c>
      <c r="B191" s="186"/>
      <c r="C191" s="186"/>
      <c r="D191" s="186"/>
      <c r="E191" s="27">
        <f>E190+E154-E155</f>
        <v>-98177.74000000002</v>
      </c>
    </row>
    <row r="192" spans="1:14" ht="12.75" customHeight="1">
      <c r="A192" s="103" t="s">
        <v>175</v>
      </c>
    </row>
    <row r="193" spans="1:10" ht="57.75" customHeight="1">
      <c r="A193" s="211" t="s">
        <v>197</v>
      </c>
      <c r="B193" s="211"/>
      <c r="C193" s="211"/>
      <c r="D193" s="211"/>
      <c r="E193" s="211"/>
      <c r="F193" s="211"/>
      <c r="G193" s="211"/>
      <c r="H193" s="211"/>
      <c r="I193" s="211"/>
      <c r="J193" s="211"/>
    </row>
    <row r="194" spans="1:10">
      <c r="A194" s="210" t="str">
        <f>ПТО!F12</f>
        <v xml:space="preserve">  -  поверка (замена) манометров и термометров</v>
      </c>
      <c r="B194" s="210"/>
      <c r="C194" s="210"/>
      <c r="D194" s="210"/>
      <c r="E194" s="210"/>
      <c r="F194" s="210"/>
      <c r="G194" s="210"/>
      <c r="H194" s="48">
        <f>ПТО!G12</f>
        <v>1200</v>
      </c>
      <c r="I194" s="49" t="s">
        <v>74</v>
      </c>
    </row>
    <row r="195" spans="1:10" ht="18.75" customHeight="1">
      <c r="A195" s="210" t="str">
        <f>ПТО!F13</f>
        <v xml:space="preserve">  -  техническое освидетельствование лифта</v>
      </c>
      <c r="B195" s="210"/>
      <c r="C195" s="210"/>
      <c r="D195" s="210"/>
      <c r="E195" s="210"/>
      <c r="F195" s="210"/>
      <c r="G195" s="210"/>
      <c r="H195" s="48">
        <f>ПТО!G13</f>
        <v>16200</v>
      </c>
      <c r="I195" s="49" t="s">
        <v>74</v>
      </c>
    </row>
    <row r="196" spans="1:10" ht="18.75" customHeight="1">
      <c r="A196" s="210" t="str">
        <f>ПТО!F14</f>
        <v xml:space="preserve">  -  техническое обслуживание системы видеонаблюдения</v>
      </c>
      <c r="B196" s="210"/>
      <c r="C196" s="210"/>
      <c r="D196" s="210"/>
      <c r="E196" s="210"/>
      <c r="F196" s="210"/>
      <c r="G196" s="210"/>
      <c r="H196" s="48">
        <f>ПТО!G14</f>
        <v>26400</v>
      </c>
      <c r="I196" s="49" t="s">
        <v>74</v>
      </c>
    </row>
    <row r="197" spans="1:10" ht="18.75" customHeight="1">
      <c r="A197" s="210" t="str">
        <f>ПТО!F15</f>
        <v xml:space="preserve">  -  замена тамбурных дверей </v>
      </c>
      <c r="B197" s="210"/>
      <c r="C197" s="210"/>
      <c r="D197" s="210"/>
      <c r="E197" s="210"/>
      <c r="F197" s="210"/>
      <c r="G197" s="210"/>
      <c r="H197" s="48">
        <f>ПТО!G15</f>
        <v>150000</v>
      </c>
      <c r="I197" s="49" t="s">
        <v>74</v>
      </c>
    </row>
    <row r="198" spans="1:10" ht="18.75" customHeight="1">
      <c r="A198" s="210" t="str">
        <f>ПТО!F16</f>
        <v xml:space="preserve">  -  замена дверей выхода на пожарную лестницу</v>
      </c>
      <c r="B198" s="210"/>
      <c r="C198" s="210"/>
      <c r="D198" s="210"/>
      <c r="E198" s="210"/>
      <c r="F198" s="210"/>
      <c r="G198" s="210"/>
      <c r="H198" s="48">
        <f>ПТО!G16</f>
        <v>250000</v>
      </c>
      <c r="I198" s="51" t="s">
        <v>74</v>
      </c>
    </row>
    <row r="199" spans="1:10" ht="30.75" customHeight="1">
      <c r="A199" s="210" t="str">
        <f>ПТО!F17</f>
        <v xml:space="preserve">  -  механизированная уборка и вывоз снега с придомовой территории</v>
      </c>
      <c r="B199" s="210"/>
      <c r="C199" s="210"/>
      <c r="D199" s="210"/>
      <c r="E199" s="210"/>
      <c r="F199" s="210"/>
      <c r="G199" s="210"/>
      <c r="H199" s="48">
        <f>ПТО!G17</f>
        <v>20000</v>
      </c>
      <c r="I199" s="49" t="s">
        <v>74</v>
      </c>
    </row>
    <row r="200" spans="1:10">
      <c r="A200" s="210" t="str">
        <f>ПТО!F18</f>
        <v xml:space="preserve">  -  ремонт контейнерной площадки</v>
      </c>
      <c r="B200" s="210"/>
      <c r="C200" s="210"/>
      <c r="D200" s="210"/>
      <c r="E200" s="210"/>
      <c r="F200" s="210"/>
      <c r="G200" s="210"/>
      <c r="H200" s="48">
        <f>ПТО!G18</f>
        <v>35000</v>
      </c>
      <c r="I200" s="49" t="s">
        <v>74</v>
      </c>
    </row>
    <row r="201" spans="1:10" hidden="1">
      <c r="A201" s="210">
        <f>ПТО!F19</f>
        <v>0</v>
      </c>
      <c r="B201" s="210"/>
      <c r="C201" s="210"/>
      <c r="D201" s="210"/>
      <c r="E201" s="210"/>
      <c r="F201" s="210"/>
      <c r="G201" s="210"/>
      <c r="H201" s="48">
        <f>ПТО!G19</f>
        <v>0</v>
      </c>
      <c r="I201" s="49" t="s">
        <v>74</v>
      </c>
    </row>
    <row r="202" spans="1:10" hidden="1">
      <c r="A202" s="210">
        <f>ПТО!F20</f>
        <v>0</v>
      </c>
      <c r="B202" s="210"/>
      <c r="C202" s="210"/>
      <c r="D202" s="210"/>
      <c r="E202" s="210"/>
      <c r="F202" s="210"/>
      <c r="G202" s="210"/>
      <c r="H202" s="48">
        <f>ПТО!G20</f>
        <v>0</v>
      </c>
      <c r="I202" s="49" t="s">
        <v>74</v>
      </c>
    </row>
    <row r="203" spans="1:10" hidden="1">
      <c r="A203" s="210">
        <f>ПТО!F21</f>
        <v>0</v>
      </c>
      <c r="B203" s="210"/>
      <c r="C203" s="210"/>
      <c r="D203" s="210"/>
      <c r="E203" s="210"/>
      <c r="F203" s="210"/>
      <c r="G203" s="210"/>
      <c r="H203" s="48">
        <f>ПТО!G21</f>
        <v>0</v>
      </c>
      <c r="I203" s="49" t="s">
        <v>74</v>
      </c>
    </row>
    <row r="204" spans="1:10" hidden="1">
      <c r="A204" s="210">
        <f>ПТО!F22</f>
        <v>0</v>
      </c>
      <c r="B204" s="210"/>
      <c r="C204" s="210"/>
      <c r="D204" s="210"/>
      <c r="E204" s="210"/>
      <c r="F204" s="210"/>
      <c r="G204" s="210"/>
      <c r="H204" s="48">
        <f>ПТО!G22</f>
        <v>0</v>
      </c>
      <c r="I204" s="49" t="s">
        <v>74</v>
      </c>
    </row>
    <row r="205" spans="1:10" hidden="1">
      <c r="A205" s="210">
        <f>ПТО!F23</f>
        <v>0</v>
      </c>
      <c r="B205" s="210"/>
      <c r="C205" s="210"/>
      <c r="D205" s="210"/>
      <c r="E205" s="210"/>
      <c r="F205" s="210"/>
      <c r="G205" s="210"/>
      <c r="H205" s="48">
        <f>ПТО!G23</f>
        <v>0</v>
      </c>
      <c r="I205" s="49" t="s">
        <v>74</v>
      </c>
    </row>
    <row r="206" spans="1:10" hidden="1">
      <c r="A206" s="210">
        <f>ПТО!F24</f>
        <v>0</v>
      </c>
      <c r="B206" s="210"/>
      <c r="C206" s="210"/>
      <c r="D206" s="210"/>
      <c r="E206" s="210"/>
      <c r="F206" s="210"/>
      <c r="G206" s="210"/>
      <c r="H206" s="48">
        <f>ПТО!G24</f>
        <v>0</v>
      </c>
      <c r="I206" s="49" t="s">
        <v>74</v>
      </c>
    </row>
    <row r="207" spans="1:10" hidden="1">
      <c r="A207" s="210">
        <f>ПТО!F25</f>
        <v>0</v>
      </c>
      <c r="B207" s="210"/>
      <c r="C207" s="210"/>
      <c r="D207" s="210"/>
      <c r="E207" s="210"/>
      <c r="F207" s="210"/>
      <c r="G207" s="210"/>
      <c r="H207" s="48">
        <f>ПТО!G25</f>
        <v>0</v>
      </c>
      <c r="I207" s="49" t="s">
        <v>74</v>
      </c>
    </row>
    <row r="208" spans="1:10" hidden="1">
      <c r="A208" s="210">
        <f>ПТО!F26</f>
        <v>0</v>
      </c>
      <c r="B208" s="210"/>
      <c r="C208" s="210"/>
      <c r="D208" s="210"/>
      <c r="E208" s="210"/>
      <c r="F208" s="210"/>
      <c r="G208" s="210"/>
      <c r="H208" s="48">
        <f>ПТО!G26</f>
        <v>0</v>
      </c>
      <c r="I208" s="49" t="s">
        <v>74</v>
      </c>
    </row>
    <row r="209" spans="1:9" hidden="1">
      <c r="A209" s="210">
        <f>ПТО!F27</f>
        <v>0</v>
      </c>
      <c r="B209" s="210"/>
      <c r="C209" s="210"/>
      <c r="D209" s="210"/>
      <c r="E209" s="210"/>
      <c r="F209" s="210"/>
      <c r="G209" s="210"/>
      <c r="H209" s="48">
        <f>ПТО!G27</f>
        <v>0</v>
      </c>
      <c r="I209" s="49" t="s">
        <v>74</v>
      </c>
    </row>
    <row r="210" spans="1:9" hidden="1">
      <c r="A210" s="210">
        <f>ПТО!F28</f>
        <v>0</v>
      </c>
      <c r="B210" s="210"/>
      <c r="C210" s="210"/>
      <c r="D210" s="210"/>
      <c r="E210" s="210"/>
      <c r="F210" s="210"/>
      <c r="G210" s="210"/>
      <c r="H210" s="48">
        <f>ПТО!G28</f>
        <v>0</v>
      </c>
      <c r="I210" s="49" t="s">
        <v>74</v>
      </c>
    </row>
    <row r="211" spans="1:9" hidden="1">
      <c r="A211" s="210">
        <f>ПТО!F29</f>
        <v>0</v>
      </c>
      <c r="B211" s="210"/>
      <c r="C211" s="210"/>
      <c r="D211" s="210"/>
      <c r="E211" s="210"/>
      <c r="F211" s="210"/>
      <c r="G211" s="210"/>
      <c r="H211" s="48">
        <f>ПТО!G29</f>
        <v>0</v>
      </c>
      <c r="I211" s="49" t="s">
        <v>74</v>
      </c>
    </row>
    <row r="212" spans="1:9" hidden="1">
      <c r="A212" s="210">
        <f>ПТО!F30</f>
        <v>0</v>
      </c>
      <c r="B212" s="210"/>
      <c r="C212" s="210"/>
      <c r="D212" s="210"/>
      <c r="E212" s="210"/>
      <c r="F212" s="210"/>
      <c r="G212" s="210"/>
      <c r="H212" s="48">
        <f>ПТО!G30</f>
        <v>0</v>
      </c>
      <c r="I212" s="49" t="s">
        <v>74</v>
      </c>
    </row>
    <row r="213" spans="1:9" hidden="1">
      <c r="A213" s="210">
        <f>ПТО!F31</f>
        <v>0</v>
      </c>
      <c r="B213" s="210"/>
      <c r="C213" s="210"/>
      <c r="D213" s="210"/>
      <c r="E213" s="210"/>
      <c r="F213" s="210"/>
      <c r="G213" s="210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498800</v>
      </c>
      <c r="I214" s="55" t="s">
        <v>78</v>
      </c>
    </row>
  </sheetData>
  <sheetProtection algorithmName="SHA-512" hashValue="wO/MWW7M5cBAJuWoI70qcEQ07SR+I5Jwk9x0iNJIdT/jHyFXDuFiqpQ/x5hrE681r1KYdM0SyrGD8sZdNbDoTg==" saltValue="0nHy3f+S7Uvemy5ujUlDG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9" t="s">
        <v>19</v>
      </c>
      <c r="B1" s="139" t="s">
        <v>57</v>
      </c>
      <c r="C1" s="139" t="s">
        <v>21</v>
      </c>
      <c r="D1" s="139" t="s">
        <v>20</v>
      </c>
      <c r="E1" s="34"/>
      <c r="F1" s="99" t="s">
        <v>201</v>
      </c>
      <c r="G1" s="100">
        <f>-13461.05</f>
        <v>-13461.05</v>
      </c>
    </row>
    <row r="2" spans="1:12" ht="18.75" customHeight="1">
      <c r="A2" s="32" t="s">
        <v>179</v>
      </c>
      <c r="B2" s="175" t="s">
        <v>180</v>
      </c>
      <c r="C2" s="176">
        <v>2</v>
      </c>
      <c r="D2" s="177">
        <v>16200</v>
      </c>
      <c r="E2" s="138" t="s">
        <v>219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1" t="s">
        <v>181</v>
      </c>
      <c r="B3" s="152" t="s">
        <v>182</v>
      </c>
      <c r="C3" s="152">
        <v>12</v>
      </c>
      <c r="D3" s="153">
        <f>2200*12</f>
        <v>26400</v>
      </c>
      <c r="E3" s="150"/>
      <c r="F3" s="30"/>
      <c r="G3" s="30"/>
      <c r="L3" s="33" t="str">
        <f t="shared" si="0"/>
        <v>ТР</v>
      </c>
    </row>
    <row r="4" spans="1:12" ht="18.75" customHeight="1">
      <c r="A4" s="154" t="s">
        <v>202</v>
      </c>
      <c r="B4" s="133" t="s">
        <v>195</v>
      </c>
      <c r="C4" s="134">
        <v>1</v>
      </c>
      <c r="D4" s="135">
        <v>800</v>
      </c>
      <c r="E4" s="136" t="s">
        <v>204</v>
      </c>
      <c r="F4" s="30"/>
      <c r="G4" s="30"/>
      <c r="L4" s="33" t="str">
        <f t="shared" si="0"/>
        <v>ТР</v>
      </c>
    </row>
    <row r="5" spans="1:12" ht="18.75" customHeight="1">
      <c r="A5" s="155" t="s">
        <v>223</v>
      </c>
      <c r="B5" s="156" t="s">
        <v>195</v>
      </c>
      <c r="C5" s="157">
        <v>1</v>
      </c>
      <c r="D5" s="158">
        <v>4900</v>
      </c>
      <c r="E5" s="159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55" t="s">
        <v>194</v>
      </c>
      <c r="B6" s="156" t="s">
        <v>195</v>
      </c>
      <c r="C6" s="157">
        <v>1</v>
      </c>
      <c r="D6" s="158">
        <v>17869.21</v>
      </c>
      <c r="E6" s="159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60" t="s">
        <v>203</v>
      </c>
      <c r="B7" s="161" t="s">
        <v>195</v>
      </c>
      <c r="C7" s="137">
        <v>1</v>
      </c>
      <c r="D7" s="43">
        <v>2200</v>
      </c>
      <c r="E7" s="162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55" t="s">
        <v>209</v>
      </c>
      <c r="B8" s="156" t="s">
        <v>195</v>
      </c>
      <c r="C8" s="157">
        <v>1</v>
      </c>
      <c r="D8" s="158">
        <v>3500</v>
      </c>
      <c r="E8" s="159" t="s">
        <v>210</v>
      </c>
      <c r="F8" s="45"/>
      <c r="G8" s="45"/>
      <c r="K8" s="43"/>
      <c r="L8" s="33" t="str">
        <f t="shared" si="0"/>
        <v>ТР</v>
      </c>
    </row>
    <row r="9" spans="1:12">
      <c r="A9" s="163" t="s">
        <v>208</v>
      </c>
      <c r="B9" s="133" t="s">
        <v>195</v>
      </c>
      <c r="C9" s="133">
        <v>1</v>
      </c>
      <c r="D9" s="119">
        <v>6720</v>
      </c>
      <c r="E9" s="164" t="s">
        <v>211</v>
      </c>
      <c r="F9" s="44"/>
      <c r="G9" s="44"/>
      <c r="K9" s="43"/>
      <c r="L9" s="33" t="str">
        <f t="shared" si="0"/>
        <v>ТР</v>
      </c>
    </row>
    <row r="10" spans="1:12">
      <c r="A10" s="182" t="s">
        <v>224</v>
      </c>
      <c r="B10" s="170" t="s">
        <v>195</v>
      </c>
      <c r="C10" s="137">
        <v>1</v>
      </c>
      <c r="D10" s="46">
        <f>6115.2+2702.7</f>
        <v>8817.9</v>
      </c>
      <c r="E10" s="138" t="s">
        <v>216</v>
      </c>
      <c r="F10" s="138"/>
      <c r="L10" s="33" t="str">
        <f t="shared" si="0"/>
        <v>ТР</v>
      </c>
    </row>
    <row r="11" spans="1:12" ht="94.5">
      <c r="A11" s="171" t="s">
        <v>212</v>
      </c>
      <c r="B11" s="172" t="s">
        <v>195</v>
      </c>
      <c r="C11" s="133">
        <v>1</v>
      </c>
      <c r="D11" s="173">
        <v>3250</v>
      </c>
      <c r="E11" s="174" t="s">
        <v>217</v>
      </c>
      <c r="F11" s="110" t="s">
        <v>197</v>
      </c>
      <c r="G11" s="110"/>
      <c r="L11" s="33" t="str">
        <f t="shared" si="0"/>
        <v>ТР</v>
      </c>
    </row>
    <row r="12" spans="1:12" ht="31.5">
      <c r="A12" s="155" t="s">
        <v>215</v>
      </c>
      <c r="B12" s="133" t="s">
        <v>195</v>
      </c>
      <c r="C12" s="134">
        <v>1</v>
      </c>
      <c r="D12" s="135">
        <v>46238</v>
      </c>
      <c r="E12" s="136" t="s">
        <v>218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68" t="s">
        <v>214</v>
      </c>
      <c r="B13" s="165" t="s">
        <v>195</v>
      </c>
      <c r="C13" s="169">
        <v>1</v>
      </c>
      <c r="D13" s="166">
        <v>7000</v>
      </c>
      <c r="E13" s="167" t="s">
        <v>213</v>
      </c>
      <c r="F13" s="111" t="s">
        <v>75</v>
      </c>
      <c r="G13" s="112">
        <v>16200</v>
      </c>
      <c r="L13" s="33" t="str">
        <f t="shared" si="0"/>
        <v>ТР</v>
      </c>
    </row>
    <row r="14" spans="1:12" ht="31.5">
      <c r="A14" s="181" t="s">
        <v>222</v>
      </c>
      <c r="B14" s="178" t="s">
        <v>195</v>
      </c>
      <c r="C14" s="178">
        <v>1</v>
      </c>
      <c r="D14" s="179">
        <v>899</v>
      </c>
      <c r="E14" s="180" t="s">
        <v>220</v>
      </c>
      <c r="F14" s="111" t="s">
        <v>76</v>
      </c>
      <c r="G14" s="113">
        <v>26400</v>
      </c>
      <c r="L14" s="33" t="str">
        <f t="shared" si="0"/>
        <v>ТР</v>
      </c>
    </row>
    <row r="15" spans="1:12" ht="15.75">
      <c r="A15" s="122"/>
      <c r="B15" s="133"/>
      <c r="C15" s="133"/>
      <c r="D15" s="119"/>
      <c r="E15" s="123"/>
      <c r="F15" s="146" t="s">
        <v>184</v>
      </c>
      <c r="G15" s="147">
        <v>150000</v>
      </c>
      <c r="L15" s="33">
        <f t="shared" si="0"/>
        <v>0</v>
      </c>
    </row>
    <row r="16" spans="1:12" ht="31.5">
      <c r="A16" s="122"/>
      <c r="B16" s="133"/>
      <c r="C16" s="133"/>
      <c r="D16" s="119"/>
      <c r="E16" s="124"/>
      <c r="F16" s="146" t="s">
        <v>185</v>
      </c>
      <c r="G16" s="147">
        <v>250000</v>
      </c>
      <c r="L16" s="33">
        <f t="shared" si="0"/>
        <v>0</v>
      </c>
    </row>
    <row r="17" spans="1:12" ht="15.75">
      <c r="A17" s="122"/>
      <c r="B17" s="133"/>
      <c r="C17" s="133"/>
      <c r="D17" s="119"/>
      <c r="E17" s="124"/>
      <c r="F17" s="148" t="s">
        <v>196</v>
      </c>
      <c r="G17" s="149">
        <v>20000</v>
      </c>
      <c r="L17" s="33">
        <f t="shared" si="0"/>
        <v>0</v>
      </c>
    </row>
    <row r="18" spans="1:12" ht="15.75">
      <c r="A18" s="122"/>
      <c r="B18" s="118"/>
      <c r="C18" s="118"/>
      <c r="D18" s="119"/>
      <c r="E18" s="124"/>
      <c r="F18" s="111" t="s">
        <v>221</v>
      </c>
      <c r="G18" s="112">
        <v>35000</v>
      </c>
      <c r="L18" s="33">
        <f t="shared" si="0"/>
        <v>0</v>
      </c>
    </row>
    <row r="19" spans="1:12">
      <c r="A19" s="130"/>
      <c r="B19" s="126"/>
      <c r="C19" s="120"/>
      <c r="D19" s="121"/>
      <c r="E19" s="131"/>
      <c r="F19" s="102"/>
      <c r="L19" s="33">
        <f t="shared" si="0"/>
        <v>0</v>
      </c>
    </row>
    <row r="20" spans="1:12">
      <c r="A20" s="130"/>
      <c r="B20" s="118"/>
      <c r="C20" s="118"/>
      <c r="D20" s="119"/>
      <c r="E20" s="131"/>
      <c r="F20" s="102"/>
      <c r="L20" s="33">
        <f t="shared" si="0"/>
        <v>0</v>
      </c>
    </row>
    <row r="21" spans="1:12">
      <c r="A21" s="132"/>
      <c r="B21" s="118"/>
      <c r="C21" s="118"/>
      <c r="D21" s="119"/>
      <c r="E21" s="131"/>
      <c r="F21" s="102"/>
      <c r="L21" s="33">
        <f t="shared" si="0"/>
        <v>0</v>
      </c>
    </row>
    <row r="22" spans="1:12">
      <c r="A22" s="125"/>
      <c r="B22" s="126"/>
      <c r="C22" s="120"/>
      <c r="D22" s="121"/>
      <c r="E22" s="117"/>
      <c r="F22" s="102"/>
      <c r="L22" s="33">
        <f t="shared" si="0"/>
        <v>0</v>
      </c>
    </row>
    <row r="23" spans="1:12">
      <c r="A23" s="127"/>
      <c r="B23" s="118"/>
      <c r="C23" s="118"/>
      <c r="D23" s="119"/>
      <c r="E23" s="131"/>
      <c r="F23" s="102"/>
      <c r="L23" s="33">
        <f t="shared" ref="L23:L31" si="1">IF(A23&gt;0,"ТР",0)</f>
        <v>0</v>
      </c>
    </row>
    <row r="24" spans="1:12">
      <c r="A24" s="128"/>
      <c r="B24" s="118"/>
      <c r="C24" s="118"/>
      <c r="D24" s="119"/>
      <c r="E24" s="129"/>
      <c r="F24" s="102"/>
      <c r="L24" s="33">
        <f t="shared" si="1"/>
        <v>0</v>
      </c>
    </row>
    <row r="25" spans="1:12">
      <c r="A25" s="128"/>
      <c r="B25" s="118"/>
      <c r="C25" s="118"/>
      <c r="D25" s="119"/>
      <c r="E25" s="129"/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139933.79999999996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139933.79999999996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155428.20000000001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155428.20000000001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76987.8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76987.8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58104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58104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16947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16947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89577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89577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193195.80000000002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193195.80000000002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0"/>
      <c r="C47" s="141"/>
      <c r="D47" s="142"/>
      <c r="E47" s="140">
        <v>1504.3</v>
      </c>
      <c r="F47" s="140">
        <v>1167.2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43"/>
      <c r="C48" s="141"/>
      <c r="D48" s="142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 t="s">
        <v>187</v>
      </c>
      <c r="F52" s="144" t="s">
        <v>188</v>
      </c>
      <c r="G52" s="144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>
        <v>35.896999999999998</v>
      </c>
      <c r="F53" s="140">
        <v>4260.6000000000004</v>
      </c>
      <c r="G53" s="144">
        <v>3.83</v>
      </c>
      <c r="H53" s="144">
        <f>G53*E47/F53</f>
        <v>1.3522670515889779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 t="s">
        <v>190</v>
      </c>
      <c r="G54" s="144" t="s">
        <v>191</v>
      </c>
      <c r="H54" s="144">
        <f>H53*G56</f>
        <v>106.42341696005256</v>
      </c>
    </row>
    <row r="55" spans="5:16">
      <c r="E55" s="144"/>
      <c r="F55" s="144">
        <v>1.17</v>
      </c>
      <c r="G55" s="144">
        <v>1.23</v>
      </c>
      <c r="H55" s="144"/>
    </row>
    <row r="56" spans="5:16">
      <c r="E56" s="144"/>
      <c r="F56" s="144"/>
      <c r="G56" s="144">
        <v>78.7</v>
      </c>
      <c r="H56" s="144"/>
    </row>
    <row r="57" spans="5:16">
      <c r="E57" s="144"/>
      <c r="F57" s="144"/>
      <c r="G57" s="144"/>
      <c r="H57" s="144"/>
    </row>
    <row r="58" spans="5:16">
      <c r="E58" s="144" t="s">
        <v>192</v>
      </c>
      <c r="F58" s="144"/>
      <c r="G58" s="144"/>
      <c r="H58" s="144"/>
    </row>
    <row r="59" spans="5:16">
      <c r="E59" s="144">
        <v>0.59599999999999997</v>
      </c>
      <c r="F59" s="140">
        <f>F53</f>
        <v>4260.6000000000004</v>
      </c>
      <c r="G59" s="144">
        <v>7.4999999999999997E-2</v>
      </c>
      <c r="H59" s="144">
        <f>G59*F47</f>
        <v>87.54</v>
      </c>
    </row>
    <row r="60" spans="5:16">
      <c r="E60" s="144"/>
      <c r="F60" s="144" t="s">
        <v>190</v>
      </c>
      <c r="G60" s="144" t="s">
        <v>191</v>
      </c>
      <c r="H60" s="144">
        <f>H59/F59</f>
        <v>2.0546401915223209E-2</v>
      </c>
    </row>
    <row r="61" spans="5:16">
      <c r="E61" s="144"/>
      <c r="F61" s="144">
        <v>12.94</v>
      </c>
      <c r="G61" s="144">
        <v>13.45</v>
      </c>
      <c r="H61" s="144">
        <f>H60*G56</f>
        <v>1.6170018307280665</v>
      </c>
    </row>
    <row r="62" spans="5:16">
      <c r="E62" s="144" t="s">
        <v>193</v>
      </c>
      <c r="F62" s="144"/>
      <c r="G62" s="144"/>
      <c r="H62" s="144"/>
    </row>
    <row r="63" spans="5:16">
      <c r="E63" s="144">
        <v>0.59599999999999997</v>
      </c>
      <c r="F63" s="140">
        <f>F53</f>
        <v>4260.6000000000004</v>
      </c>
      <c r="G63" s="144">
        <v>7.4999999999999997E-2</v>
      </c>
      <c r="H63" s="144">
        <f>G63*F47</f>
        <v>87.54</v>
      </c>
    </row>
    <row r="64" spans="5:16">
      <c r="E64" s="144"/>
      <c r="F64" s="144" t="s">
        <v>190</v>
      </c>
      <c r="G64" s="144" t="s">
        <v>191</v>
      </c>
      <c r="H64" s="144">
        <f>H63/F63</f>
        <v>2.0546401915223209E-2</v>
      </c>
    </row>
    <row r="65" spans="4:13" ht="18.75" customHeight="1">
      <c r="E65" s="144"/>
      <c r="F65" s="144">
        <v>15.73</v>
      </c>
      <c r="G65" s="144">
        <v>16.350000000000001</v>
      </c>
      <c r="H65" s="144">
        <f>H64*G56</f>
        <v>1.6170018307280665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pRC9LJrr5qcmXUSZ3zGSYELRlkIoDPmKSJlHqL1x9yvhO54dmTqeHaQcWW0+tDDIZW7f7ytHYB4JoXxJmqakNg==" saltValue="bI42DJRdDNqfbWIYg2UrA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183</v>
      </c>
      <c r="F1" s="59">
        <v>4035</v>
      </c>
    </row>
    <row r="2" spans="1:10" ht="15.75" customHeight="1">
      <c r="A2" s="69" t="s">
        <v>83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4</v>
      </c>
      <c r="C4" s="82">
        <v>281457.39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5</v>
      </c>
      <c r="C5" s="78">
        <f>SUM(C6:C8)</f>
        <v>938607.60000000009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6</v>
      </c>
      <c r="C6" s="82">
        <v>709096.8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7</v>
      </c>
      <c r="C7" s="82">
        <f>F1*4.74*12</f>
        <v>229510.80000000002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9</v>
      </c>
      <c r="C9" s="78">
        <f>SUM(C10:C14)</f>
        <v>858693.92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10</v>
      </c>
      <c r="C10" s="82">
        <v>858693.92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15</v>
      </c>
      <c r="C15" s="78">
        <f>C9</f>
        <v>858693.92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18</v>
      </c>
      <c r="C18" s="78">
        <f>IF(C16&gt;0,0,IF(C4&gt;0,C4+C5-C9,C5-C2-C9))</f>
        <v>361371.07000000018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14"/>
      <c r="N20" s="61"/>
    </row>
    <row r="21" spans="1:15" ht="15.75" customHeight="1">
      <c r="A21" s="69" t="s">
        <v>101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14"/>
      <c r="N21" s="61"/>
    </row>
    <row r="22" spans="1:15" ht="15.75" customHeight="1">
      <c r="A22" s="69" t="s">
        <v>102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14"/>
      <c r="N22" s="61"/>
    </row>
    <row r="23" spans="1:15" ht="15.75" customHeight="1">
      <c r="A23" s="69" t="s">
        <v>103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14"/>
      <c r="N23" s="61"/>
    </row>
    <row r="24" spans="1:15" ht="18.75">
      <c r="A24" s="72" t="s">
        <v>163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213"/>
      <c r="N25" s="62"/>
    </row>
    <row r="26" spans="1:15" ht="18.75" customHeight="1">
      <c r="A26" s="69" t="s">
        <v>105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213"/>
      <c r="N26" s="62"/>
    </row>
    <row r="27" spans="1:15" ht="18.75" customHeight="1">
      <c r="A27" s="69" t="s">
        <v>106</v>
      </c>
      <c r="B27" s="74" t="s">
        <v>4</v>
      </c>
      <c r="C27" s="85">
        <v>189476.38</v>
      </c>
      <c r="D27" s="80" t="s">
        <v>60</v>
      </c>
      <c r="E27" s="63"/>
      <c r="F27" s="63"/>
      <c r="G27" s="63"/>
      <c r="H27" s="63"/>
      <c r="I27" s="63"/>
      <c r="J27" s="63"/>
      <c r="M27" s="213"/>
      <c r="N27" s="62"/>
    </row>
    <row r="28" spans="1:15" ht="18.75" customHeight="1">
      <c r="A28" s="69" t="s">
        <v>107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213"/>
      <c r="N28" s="62"/>
    </row>
    <row r="29" spans="1:15" ht="18.75" customHeight="1">
      <c r="A29" s="69" t="s">
        <v>108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213"/>
      <c r="N29" s="62"/>
    </row>
    <row r="30" spans="1:15" ht="18.75" customHeight="1">
      <c r="A30" s="69" t="s">
        <v>109</v>
      </c>
      <c r="B30" s="74" t="s">
        <v>18</v>
      </c>
      <c r="C30" s="85">
        <v>225647.49</v>
      </c>
      <c r="D30" s="80" t="s">
        <v>66</v>
      </c>
      <c r="E30" s="63"/>
      <c r="F30" s="63"/>
      <c r="G30" s="63"/>
      <c r="H30" s="63"/>
      <c r="I30" s="63"/>
      <c r="J30" s="63"/>
      <c r="M30" s="213"/>
      <c r="N30" s="62"/>
    </row>
    <row r="31" spans="1:15" ht="18.75" customHeight="1">
      <c r="A31" s="69" t="s">
        <v>110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213"/>
      <c r="N31" s="62"/>
    </row>
    <row r="32" spans="1:15" ht="18.75" customHeight="1">
      <c r="A32" s="69" t="s">
        <v>111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213"/>
      <c r="N32" s="62"/>
    </row>
    <row r="33" spans="1:15" ht="18.75" customHeight="1">
      <c r="A33" s="69" t="s">
        <v>112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213"/>
      <c r="N33" s="62"/>
    </row>
    <row r="34" spans="1:15" ht="18.75" customHeight="1">
      <c r="A34" s="69" t="s">
        <v>113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213"/>
      <c r="N34" s="62"/>
    </row>
    <row r="35" spans="1:15" ht="18.75">
      <c r="A35" s="72" t="s">
        <v>164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304127.74</v>
      </c>
      <c r="F37" s="93" t="s">
        <v>168</v>
      </c>
      <c r="G37" s="65"/>
      <c r="H37" s="65"/>
      <c r="I37" s="65"/>
      <c r="L37" s="62"/>
      <c r="M37" s="212"/>
      <c r="N37" s="62"/>
      <c r="O37" s="62"/>
    </row>
    <row r="38" spans="1:15" ht="18.75" customHeight="1">
      <c r="A38" s="69" t="s">
        <v>114</v>
      </c>
      <c r="B38" s="77" t="s">
        <v>37</v>
      </c>
      <c r="C38" s="89">
        <v>223623.34</v>
      </c>
      <c r="D38" s="93" t="s">
        <v>166</v>
      </c>
      <c r="E38" s="67"/>
      <c r="G38" s="66"/>
      <c r="H38" s="66"/>
      <c r="L38" s="62"/>
      <c r="M38" s="212"/>
      <c r="N38" s="62"/>
      <c r="O38" s="62"/>
    </row>
    <row r="39" spans="1:15" ht="18.75" customHeight="1">
      <c r="A39" s="69" t="s">
        <v>115</v>
      </c>
      <c r="B39" s="77" t="s">
        <v>38</v>
      </c>
      <c r="C39" s="90">
        <v>296038.03000000003</v>
      </c>
      <c r="D39" s="93" t="s">
        <v>167</v>
      </c>
      <c r="E39" s="67"/>
      <c r="G39" s="66"/>
      <c r="H39" s="66"/>
      <c r="L39" s="62"/>
      <c r="M39" s="212"/>
      <c r="N39" s="62"/>
      <c r="O39" s="62"/>
    </row>
    <row r="40" spans="1:15" ht="18.75" customHeight="1">
      <c r="A40" s="69" t="s">
        <v>116</v>
      </c>
      <c r="B40" s="77" t="s">
        <v>39</v>
      </c>
      <c r="C40" s="92">
        <f>IF(E37-C39&lt;0,0,E37-C39)</f>
        <v>8089.7099999999627</v>
      </c>
      <c r="D40" s="79" t="s">
        <v>59</v>
      </c>
      <c r="E40" s="145"/>
      <c r="G40" s="66"/>
      <c r="H40" s="66"/>
      <c r="L40" s="62"/>
      <c r="M40" s="212"/>
      <c r="N40" s="62"/>
      <c r="O40" s="62"/>
    </row>
    <row r="41" spans="1:15" ht="18.75" customHeight="1">
      <c r="A41" s="69" t="s">
        <v>117</v>
      </c>
      <c r="B41" s="77" t="s">
        <v>40</v>
      </c>
      <c r="C41" s="92">
        <f>E37</f>
        <v>304127.74</v>
      </c>
      <c r="D41" s="79" t="s">
        <v>59</v>
      </c>
      <c r="E41" s="145"/>
      <c r="G41" s="66"/>
      <c r="H41" s="66"/>
      <c r="L41" s="62"/>
      <c r="M41" s="212"/>
      <c r="N41" s="62"/>
      <c r="O41" s="62"/>
    </row>
    <row r="42" spans="1:15" ht="18.75" customHeight="1">
      <c r="A42" s="69" t="s">
        <v>118</v>
      </c>
      <c r="B42" s="77" t="s">
        <v>41</v>
      </c>
      <c r="C42" s="92">
        <f>E37</f>
        <v>304127.74</v>
      </c>
      <c r="D42" s="79" t="s">
        <v>59</v>
      </c>
      <c r="E42" s="145"/>
      <c r="G42" s="66"/>
      <c r="H42" s="66"/>
      <c r="L42" s="62"/>
      <c r="M42" s="212"/>
      <c r="N42" s="62"/>
      <c r="O42" s="62"/>
    </row>
    <row r="43" spans="1:15" ht="18.75" customHeight="1">
      <c r="A43" s="69" t="s">
        <v>119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212"/>
      <c r="N43" s="62"/>
      <c r="O43" s="62"/>
    </row>
    <row r="44" spans="1:15" ht="30" customHeight="1">
      <c r="A44" s="69" t="s">
        <v>120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212"/>
      <c r="N44" s="62"/>
      <c r="O44" s="62"/>
    </row>
    <row r="45" spans="1:15" ht="18.75">
      <c r="A45" s="72" t="s">
        <v>122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173740.52</v>
      </c>
      <c r="F45" s="93" t="s">
        <v>168</v>
      </c>
      <c r="G45" s="65"/>
      <c r="H45" s="65"/>
      <c r="L45" s="62"/>
      <c r="M45" s="212"/>
      <c r="N45" s="62"/>
      <c r="O45" s="62"/>
    </row>
    <row r="46" spans="1:15" ht="18.75" customHeight="1">
      <c r="A46" s="72" t="s">
        <v>123</v>
      </c>
      <c r="B46" s="77" t="s">
        <v>37</v>
      </c>
      <c r="C46" s="89">
        <v>11924.54</v>
      </c>
      <c r="D46" s="93" t="s">
        <v>169</v>
      </c>
      <c r="E46" s="67"/>
      <c r="G46" s="66"/>
      <c r="H46" s="66"/>
      <c r="L46" s="62"/>
      <c r="M46" s="212"/>
      <c r="N46" s="62"/>
      <c r="O46" s="62"/>
    </row>
    <row r="47" spans="1:15" ht="18.75" customHeight="1">
      <c r="A47" s="72" t="s">
        <v>124</v>
      </c>
      <c r="B47" s="77" t="s">
        <v>38</v>
      </c>
      <c r="C47" s="90">
        <v>161628.69</v>
      </c>
      <c r="D47" s="93" t="s">
        <v>167</v>
      </c>
      <c r="E47" s="67"/>
      <c r="G47" s="66"/>
      <c r="H47" s="66"/>
      <c r="L47" s="62"/>
      <c r="M47" s="212"/>
      <c r="N47" s="62"/>
      <c r="O47" s="62"/>
    </row>
    <row r="48" spans="1:15" ht="18.75" customHeight="1">
      <c r="A48" s="72" t="s">
        <v>125</v>
      </c>
      <c r="B48" s="77" t="s">
        <v>39</v>
      </c>
      <c r="C48" s="92">
        <f>IF(E45-C47&lt;0,0,E45-C47)</f>
        <v>12111.829999999987</v>
      </c>
      <c r="D48" s="79" t="s">
        <v>59</v>
      </c>
      <c r="E48" s="67"/>
      <c r="G48" s="66"/>
      <c r="H48" s="66"/>
      <c r="L48" s="62"/>
      <c r="M48" s="212"/>
      <c r="N48" s="62"/>
      <c r="O48" s="62"/>
    </row>
    <row r="49" spans="1:15" ht="18.75" customHeight="1">
      <c r="A49" s="72" t="s">
        <v>126</v>
      </c>
      <c r="B49" s="77" t="s">
        <v>40</v>
      </c>
      <c r="C49" s="92">
        <f>E45</f>
        <v>173740.52</v>
      </c>
      <c r="D49" s="79" t="s">
        <v>59</v>
      </c>
      <c r="E49" s="67"/>
      <c r="G49" s="66"/>
      <c r="H49" s="66"/>
      <c r="L49" s="62"/>
      <c r="M49" s="212"/>
      <c r="N49" s="62"/>
      <c r="O49" s="62"/>
    </row>
    <row r="50" spans="1:15" ht="18.75" customHeight="1">
      <c r="A50" s="72" t="s">
        <v>127</v>
      </c>
      <c r="B50" s="77" t="s">
        <v>41</v>
      </c>
      <c r="C50" s="92">
        <f>E45</f>
        <v>173740.52</v>
      </c>
      <c r="D50" s="79" t="s">
        <v>59</v>
      </c>
      <c r="E50" s="67"/>
      <c r="G50" s="66"/>
      <c r="H50" s="66"/>
      <c r="L50" s="62"/>
      <c r="M50" s="212"/>
      <c r="N50" s="62"/>
      <c r="O50" s="62"/>
    </row>
    <row r="51" spans="1:15" ht="18.75" customHeight="1">
      <c r="A51" s="72" t="s">
        <v>128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212"/>
      <c r="N51" s="62"/>
      <c r="O51" s="62"/>
    </row>
    <row r="52" spans="1:15" ht="29.25" customHeight="1">
      <c r="A52" s="72" t="s">
        <v>129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212"/>
      <c r="N52" s="62"/>
      <c r="O52" s="62"/>
    </row>
    <row r="53" spans="1:15" ht="18.75">
      <c r="A53" s="72" t="s">
        <v>130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211589.46</v>
      </c>
      <c r="F53" s="93" t="s">
        <v>168</v>
      </c>
      <c r="G53" s="65"/>
      <c r="H53" s="65"/>
      <c r="L53" s="62"/>
      <c r="M53" s="212"/>
      <c r="N53" s="62"/>
      <c r="O53" s="62"/>
    </row>
    <row r="54" spans="1:15" ht="18.75" customHeight="1">
      <c r="A54" s="72" t="s">
        <v>131</v>
      </c>
      <c r="B54" s="74" t="s">
        <v>37</v>
      </c>
      <c r="C54" s="97">
        <v>11947.46</v>
      </c>
      <c r="D54" s="93" t="s">
        <v>169</v>
      </c>
      <c r="E54" s="68"/>
      <c r="F54" s="88"/>
      <c r="G54" s="63"/>
      <c r="H54" s="63"/>
      <c r="L54" s="62"/>
      <c r="M54" s="212"/>
      <c r="N54" s="62"/>
      <c r="O54" s="62"/>
    </row>
    <row r="55" spans="1:15" ht="18.75" customHeight="1">
      <c r="A55" s="72" t="s">
        <v>132</v>
      </c>
      <c r="B55" s="74" t="s">
        <v>38</v>
      </c>
      <c r="C55" s="85">
        <v>195619.89</v>
      </c>
      <c r="D55" s="93" t="s">
        <v>167</v>
      </c>
      <c r="E55" s="68"/>
      <c r="G55" s="63"/>
      <c r="H55" s="63"/>
      <c r="L55" s="62"/>
      <c r="M55" s="212"/>
      <c r="N55" s="62"/>
      <c r="O55" s="62"/>
    </row>
    <row r="56" spans="1:15" ht="18.75" customHeight="1">
      <c r="A56" s="72" t="s">
        <v>133</v>
      </c>
      <c r="B56" s="74" t="s">
        <v>39</v>
      </c>
      <c r="C56" s="92">
        <f>IF(E53-C55&lt;0,0,E53-C55)</f>
        <v>15969.569999999978</v>
      </c>
      <c r="D56" s="79" t="s">
        <v>59</v>
      </c>
      <c r="E56" s="68"/>
      <c r="G56" s="63"/>
      <c r="H56" s="63"/>
      <c r="L56" s="62"/>
      <c r="M56" s="212"/>
      <c r="N56" s="62"/>
      <c r="O56" s="62"/>
    </row>
    <row r="57" spans="1:15" ht="18.75" customHeight="1">
      <c r="A57" s="72" t="s">
        <v>134</v>
      </c>
      <c r="B57" s="74" t="s">
        <v>40</v>
      </c>
      <c r="C57" s="92">
        <f>E53</f>
        <v>211589.46</v>
      </c>
      <c r="D57" s="79" t="s">
        <v>59</v>
      </c>
      <c r="E57" s="68"/>
      <c r="G57" s="63"/>
      <c r="H57" s="63"/>
      <c r="L57" s="62"/>
      <c r="M57" s="212"/>
      <c r="N57" s="62"/>
      <c r="O57" s="62"/>
    </row>
    <row r="58" spans="1:15" ht="18.75" customHeight="1">
      <c r="A58" s="72" t="s">
        <v>135</v>
      </c>
      <c r="B58" s="74" t="s">
        <v>41</v>
      </c>
      <c r="C58" s="92">
        <f>E53</f>
        <v>211589.46</v>
      </c>
      <c r="D58" s="79" t="s">
        <v>59</v>
      </c>
      <c r="E58" s="68"/>
      <c r="G58" s="63"/>
      <c r="H58" s="63"/>
      <c r="L58" s="62"/>
      <c r="M58" s="212"/>
      <c r="N58" s="62"/>
      <c r="O58" s="62"/>
    </row>
    <row r="59" spans="1:15" ht="18.75" customHeight="1">
      <c r="A59" s="72" t="s">
        <v>136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212"/>
      <c r="N59" s="62"/>
      <c r="O59" s="62"/>
    </row>
    <row r="60" spans="1:15" ht="33.75" customHeight="1">
      <c r="A60" s="72" t="s">
        <v>137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212"/>
      <c r="N60" s="62"/>
      <c r="O60" s="62"/>
    </row>
    <row r="61" spans="1:15" ht="15.75">
      <c r="A61" s="72" t="s">
        <v>138</v>
      </c>
      <c r="B61" s="76" t="s">
        <v>79</v>
      </c>
      <c r="C61" s="95">
        <f>IF(E61&gt;0,"Предоставляется",0)</f>
        <v>0</v>
      </c>
      <c r="D61" s="95" t="s">
        <v>55</v>
      </c>
      <c r="E61" s="94"/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37</v>
      </c>
      <c r="C62" s="97"/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38</v>
      </c>
      <c r="C63" s="85"/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142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143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144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145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>
        <f>IF(E69&gt;0,"Предоставляется",0)</f>
        <v>0</v>
      </c>
      <c r="D69" s="95" t="s">
        <v>55</v>
      </c>
      <c r="E69" s="94"/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37</v>
      </c>
      <c r="C70" s="97"/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38</v>
      </c>
      <c r="C71" s="85"/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150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151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152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153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/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37</v>
      </c>
      <c r="C78" s="97"/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38</v>
      </c>
      <c r="C79" s="85"/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158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159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160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161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46</v>
      </c>
      <c r="C3" s="104">
        <v>4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47</v>
      </c>
      <c r="C4" s="105">
        <v>110000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2024-03-29T01:40:45Z</dcterms:modified>
</cp:coreProperties>
</file>