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B48" i="2" l="1"/>
  <c r="B45" i="2"/>
  <c r="B44" i="2"/>
  <c r="B42" i="2"/>
  <c r="B41" i="2"/>
  <c r="B40" i="2"/>
  <c r="B39" i="2"/>
  <c r="E4" i="3" l="1"/>
  <c r="E3" i="3"/>
  <c r="G1" i="2" l="1"/>
  <c r="C7" i="3" l="1"/>
  <c r="J141" i="1" l="1"/>
  <c r="J136" i="1"/>
  <c r="J135" i="1"/>
  <c r="G134" i="1"/>
  <c r="J133" i="1"/>
  <c r="J128" i="1"/>
  <c r="J127" i="1"/>
  <c r="G126" i="1"/>
  <c r="C37" i="3"/>
  <c r="C45" i="3"/>
  <c r="A107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8" i="1"/>
  <c r="A104" i="1"/>
  <c r="G102" i="1"/>
  <c r="F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02" i="1" l="1"/>
  <c r="A105" i="1"/>
  <c r="A113" i="1"/>
  <c r="A114" i="1"/>
  <c r="A119" i="1"/>
  <c r="A123" i="1"/>
  <c r="A109" i="1"/>
  <c r="F110" i="1"/>
  <c r="A117" i="1"/>
  <c r="A118" i="1"/>
  <c r="A120" i="1"/>
  <c r="A110" i="1"/>
  <c r="A111" i="1"/>
  <c r="A115" i="1"/>
  <c r="F118" i="1"/>
  <c r="A121" i="1"/>
  <c r="A125" i="1"/>
  <c r="D118" i="1"/>
  <c r="A124" i="1"/>
  <c r="D110" i="1"/>
  <c r="A112" i="1"/>
  <c r="A141" i="1"/>
  <c r="F134" i="1"/>
  <c r="A137" i="1"/>
  <c r="A106" i="1"/>
  <c r="A138" i="1"/>
  <c r="A102" i="1"/>
  <c r="A103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H183" i="1" l="1"/>
  <c r="F186" i="1"/>
  <c r="H173" i="1"/>
  <c r="F178" i="1"/>
  <c r="H185" i="1"/>
  <c r="H169" i="1"/>
  <c r="F185" i="1"/>
  <c r="F169" i="1"/>
  <c r="H167" i="1"/>
  <c r="F164" i="1"/>
  <c r="H178" i="1"/>
  <c r="H172" i="1"/>
  <c r="F172" i="1"/>
  <c r="H164" i="1"/>
  <c r="F183" i="1"/>
  <c r="F168" i="1"/>
  <c r="H184" i="1"/>
  <c r="H170" i="1"/>
  <c r="F184" i="1"/>
  <c r="F179" i="1"/>
  <c r="H180" i="1"/>
  <c r="H168" i="1"/>
  <c r="F180" i="1"/>
  <c r="F176" i="1"/>
  <c r="H165" i="1"/>
  <c r="H171" i="1"/>
  <c r="F187" i="1"/>
  <c r="F170" i="1"/>
  <c r="F171" i="1"/>
  <c r="H179" i="1"/>
  <c r="H166" i="1"/>
  <c r="F175" i="1"/>
  <c r="H177" i="1"/>
  <c r="F182" i="1"/>
  <c r="F173" i="1"/>
  <c r="H176" i="1"/>
  <c r="F166" i="1"/>
  <c r="H174" i="1"/>
  <c r="H187" i="1"/>
  <c r="F177" i="1"/>
  <c r="H182" i="1"/>
  <c r="F167" i="1"/>
  <c r="F165" i="1"/>
  <c r="F174" i="1"/>
  <c r="H175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<sst xmlns="http://schemas.openxmlformats.org/spreadsheetml/2006/main" count="555" uniqueCount="204">
  <si>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</si>
  <si>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</si>
  <si>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</si>
  <si>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</si>
  <si>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</si>
  <si>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</si>
  <si>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</si>
  <si>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</si>
  <si>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</si>
  <si>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</si>
  <si>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</si>
  <si>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</si>
  <si>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</si>
  <si>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</si>
  <si>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</si>
  <si>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</si>
  <si>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</si>
  <si>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</si>
  <si>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</si>
  <si>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</si>
  <si>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</si>
  <si>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</si>
  <si>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</si>
  <si>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</si>
  <si>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</si>
  <si>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</si>
  <si>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</si>
  <si>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</si>
  <si>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</si>
  <si>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</si>
  <si>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</si>
  <si>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</si>
  <si>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</si>
  <si>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</si>
  <si>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</si>
  <si>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</si>
  <si>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</si>
  <si>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</si>
  <si>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</si>
  <si>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</si>
  <si>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</si>
  <si>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</si>
  <si>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</si>
  <si>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</si>
  <si>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</si>
  <si>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</si>
  <si>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</si>
  <si>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</si>
  <si>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</si>
  <si>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</si>
  <si>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</si>
  <si>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</si>
  <si>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</si>
  <si>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</si>
  <si>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</si>
  <si>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</si>
  <si>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</si>
  <si>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</si>
  <si>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</si>
  <si>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</si>
  <si>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</si>
  <si>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</si>
  <si>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</si>
  <si>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</si>
  <si>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</si>
  <si>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</si>
  <si>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</si>
  <si>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</si>
  <si>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</si>
  <si>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</si>
  <si>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</si>
  <si>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</si>
  <si>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</si>
  <si>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</si>
  <si>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</si>
  <si>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</si>
  <si>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</si>
  <si>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</si>
  <si>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</si>
  <si>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</si>
  <si>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</si>
  <si>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</si>
  <si>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</si>
  <si>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</si>
  <si>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</si>
  <si>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</si>
  <si>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</si>
  <si>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</si>
  <si>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</si>
  <si>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</si>
  <si>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</si>
  <si>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</si>
  <si>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</si>
  <si>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</si>
  <si>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</si>
  <si>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</si>
  <si>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</si>
  <si>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</si>
  <si>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</si>
  <si>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</si>
  <si>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</si>
  <si>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</si>
  <si>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</si>
  <si>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</si>
  <si>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</si>
  <si>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</si>
  <si>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</si>
  <si>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</si>
  <si>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</si>
  <si>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</si>
  <si>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</si>
  <si>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</si>
  <si>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</si>
  <si>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</si>
  <si>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</si>
  <si>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</si>
  <si>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</si>
  <si>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</si>
  <si>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</si>
  <si>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</si>
  <si>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</si>
  <si>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</si>
  <si>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</si>
  <si>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</si>
  <si>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</si>
  <si>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</si>
  <si>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</si>
  <si>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</si>
  <si>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</si>
  <si>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</si>
  <si>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</si>
  <si>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</si>
  <si>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</si>
  <si>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</si>
  <si>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</si>
  <si>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</si>
  <si>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</si>
  <si>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</si>
  <si>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</si>
  <si>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</si>
  <si>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</si>
  <si>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</si>
  <si>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</si>
  <si>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</si>
  <si>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</si>
  <si>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</si>
  <si>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</si>
  <si>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</si>
  <si>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</si>
  <si>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</si>
  <si>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</si>
  <si>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</si>
  <si>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</si>
  <si>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</si>
  <si>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</si>
  <si>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</si>
  <si>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</si>
  <si>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</si>
  <si>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</si>
  <si>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</si>
  <si>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</si>
  <si>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</si>
  <si>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</si>
  <si>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</si>
  <si>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</si>
  <si>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</si>
  <si>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</si>
  <si>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</si>
  <si>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</si>
  <si>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</si>
  <si>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</si>
  <si>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</si>
  <si>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</si>
  <si>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</si>
  <si>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Березовый, 140/1</t>
  </si>
  <si>
    <t>площадь дома</t>
  </si>
  <si>
    <t>Отчет об исполнении договора управления многоквартирного дома 
Березовый, 140/1 в части текущего ремонта</t>
  </si>
  <si>
    <t>П №1 от 20.10.22</t>
  </si>
  <si>
    <t>лифты и охрана в содержании жилья 01.11.2022</t>
  </si>
  <si>
    <t>Техническое обслуживание охранной сигнализации (сод)</t>
  </si>
  <si>
    <t xml:space="preserve">  -  замена теплообменника отопления</t>
  </si>
  <si>
    <t xml:space="preserve">  -  ремонт подъезда </t>
  </si>
  <si>
    <t>Перерасход (+) или экономия 
(-) средств в 2023 году (руб.)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</si>
  <si>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</si>
  <si>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</si>
  <si>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</si>
  <si>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</si>
  <si>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Механизированная уборка и вывоз снега с придомовой территории.</t>
  </si>
  <si>
    <t>АВР 2/24 от 09.02.2024</t>
  </si>
  <si>
    <t>Сброс снега с кровли.</t>
  </si>
  <si>
    <t>АВР 1/24 от 07.02.2024, Решение</t>
  </si>
  <si>
    <t>Ремонт и обслуживание системы видеонаблюдения.</t>
  </si>
  <si>
    <t>АВР 3/24 от 28.03.2024, Решение, счет №8486267 от 28.03.2024</t>
  </si>
  <si>
    <t>разово</t>
  </si>
  <si>
    <t>Приобретение краски (для покраски пандусов).</t>
  </si>
  <si>
    <t>АВР 6/24 от 31.05.2024, Решение</t>
  </si>
  <si>
    <t>АВР 4/24 от 27.05.2024, Решение</t>
  </si>
  <si>
    <t>АВР 5/24 от 22.05.2024, Решение</t>
  </si>
  <si>
    <t>снег с декабря 2024 года в содержании</t>
  </si>
  <si>
    <t>вывоз снега в содержании с 01.06.2024 0,88 коп</t>
  </si>
  <si>
    <t>сброс снега с кровли в содержании с 01.06.2024 0,25 коп</t>
  </si>
  <si>
    <t>Работы по содержанию земельного участка</t>
  </si>
  <si>
    <t>Благоустройство придомовой территории (приобретение рассады).</t>
  </si>
  <si>
    <t>Благоустройство придомовой территории (приобретение перегноя).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</si>
</sst>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5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243">
    <xf numFmtId="0" fontId="0" fillId="0" borderId="0"/>
    <xf numFmtId="0" fontId="29" fillId="0" borderId="0"/>
    <xf numFmtId="0" fontId="28" fillId="0" borderId="0"/>
    <xf numFmtId="0" fontId="41" fillId="0" borderId="0"/>
    <xf numFmtId="0" fontId="27" fillId="0" borderId="0"/>
    <xf numFmtId="0" fontId="26" fillId="0" borderId="0"/>
    <xf numFmtId="0" fontId="41" fillId="0" borderId="0"/>
    <xf numFmtId="0" fontId="41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0" fontId="41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4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43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4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223">
    <xf numFmtId="0" fontId="0" fillId="0" borderId="0" xfId="0"/>
    <xf numFmtId="0" fontId="30" fillId="0" borderId="0" xfId="0" applyFont="1"/>
    <xf numFmtId="0" fontId="30" fillId="0" borderId="0" xfId="0" applyFont="1" applyAlignment="1">
      <alignment horizontal="center" wrapText="1"/>
    </xf>
    <xf numFmtId="14" fontId="30" fillId="0" borderId="0" xfId="0" applyNumberFormat="1" applyFont="1"/>
    <xf numFmtId="0" fontId="31" fillId="2" borderId="0" xfId="0" applyFont="1" applyFill="1" applyAlignment="1">
      <alignment horizontal="right" wrapText="1" indent="1"/>
    </xf>
    <xf numFmtId="0" fontId="32" fillId="3" borderId="1" xfId="0" applyFont="1" applyFill="1" applyBorder="1" applyAlignment="1">
      <alignment horizontal="center" vertical="center" wrapText="1"/>
    </xf>
    <xf numFmtId="4" fontId="32" fillId="3" borderId="1" xfId="1" applyNumberFormat="1" applyFont="1" applyFill="1" applyBorder="1" applyAlignment="1">
      <alignment horizontal="center" vertical="center" wrapText="1"/>
    </xf>
    <xf numFmtId="0" fontId="33" fillId="0" borderId="0" xfId="0" applyFont="1"/>
    <xf numFmtId="0" fontId="33" fillId="0" borderId="1" xfId="0" applyFont="1" applyBorder="1" applyAlignment="1">
      <alignment horizontal="center"/>
    </xf>
    <xf numFmtId="4" fontId="32" fillId="2" borderId="1" xfId="1" applyNumberFormat="1" applyFont="1" applyFill="1" applyBorder="1" applyAlignment="1">
      <alignment horizontal="center" wrapText="1"/>
    </xf>
    <xf numFmtId="0" fontId="33" fillId="0" borderId="1" xfId="0" applyFont="1" applyBorder="1" applyAlignment="1">
      <alignment vertical="center" wrapText="1"/>
    </xf>
    <xf numFmtId="0" fontId="35" fillId="0" borderId="0" xfId="0" applyFont="1"/>
    <xf numFmtId="0" fontId="36" fillId="0" borderId="0" xfId="0" applyFont="1"/>
    <xf numFmtId="0" fontId="34" fillId="0" borderId="1" xfId="1" applyFont="1" applyBorder="1" applyAlignment="1">
      <alignment vertical="center"/>
    </xf>
    <xf numFmtId="0" fontId="32" fillId="2" borderId="1" xfId="1" applyNumberFormat="1" applyFont="1" applyFill="1" applyBorder="1" applyAlignment="1">
      <alignment horizontal="center" wrapText="1"/>
    </xf>
    <xf numFmtId="0" fontId="37" fillId="0" borderId="0" xfId="0" applyFont="1"/>
    <xf numFmtId="4" fontId="30" fillId="0" borderId="0" xfId="0" applyNumberFormat="1" applyFont="1"/>
    <xf numFmtId="4" fontId="32" fillId="2" borderId="1" xfId="0" applyNumberFormat="1" applyFont="1" applyFill="1" applyBorder="1" applyAlignment="1" applyProtection="1">
      <alignment horizontal="center" wrapText="1"/>
    </xf>
    <xf numFmtId="4" fontId="32" fillId="2" borderId="1" xfId="1" applyNumberFormat="1" applyFont="1" applyFill="1" applyBorder="1" applyAlignment="1">
      <alignment horizontal="center" vertical="center"/>
    </xf>
    <xf numFmtId="4" fontId="32" fillId="3" borderId="1" xfId="1" applyNumberFormat="1" applyFont="1" applyFill="1" applyBorder="1" applyAlignment="1">
      <alignment horizontal="center" vertical="center" wrapText="1"/>
    </xf>
    <xf numFmtId="0" fontId="32" fillId="3" borderId="1" xfId="0" applyFont="1" applyFill="1" applyBorder="1" applyAlignment="1">
      <alignment horizontal="center" vertical="center" wrapText="1"/>
    </xf>
    <xf numFmtId="0" fontId="32" fillId="0" borderId="0" xfId="0" applyFont="1" applyBorder="1" applyAlignment="1">
      <alignment horizontal="left" wrapText="1"/>
    </xf>
    <xf numFmtId="0" fontId="30" fillId="0" borderId="0" xfId="0" applyFont="1" applyAlignment="1">
      <alignment vertical="center"/>
    </xf>
    <xf numFmtId="0" fontId="39" fillId="0" borderId="0" xfId="0" applyFont="1" applyAlignment="1">
      <alignment wrapText="1"/>
    </xf>
    <xf numFmtId="4" fontId="32" fillId="3" borderId="1" xfId="1" applyNumberFormat="1" applyFont="1" applyFill="1" applyBorder="1" applyAlignment="1">
      <alignment horizontal="center" vertical="center" wrapText="1"/>
    </xf>
    <xf numFmtId="4" fontId="32" fillId="3" borderId="1" xfId="1" applyNumberFormat="1" applyFont="1" applyFill="1" applyBorder="1" applyAlignment="1">
      <alignment horizontal="center" vertical="center" wrapText="1"/>
    </xf>
    <xf numFmtId="4" fontId="32" fillId="0" borderId="0" xfId="0" applyNumberFormat="1" applyFont="1" applyBorder="1" applyAlignment="1">
      <alignment horizontal="left" wrapText="1"/>
    </xf>
    <xf numFmtId="4" fontId="30" fillId="0" borderId="0" xfId="0" applyNumberFormat="1" applyFont="1" applyAlignment="1">
      <alignment vertical="center"/>
    </xf>
    <xf numFmtId="4" fontId="38" fillId="0" borderId="0" xfId="0" applyNumberFormat="1" applyFont="1" applyBorder="1" applyAlignment="1">
      <alignment vertical="center" wrapText="1"/>
    </xf>
    <xf numFmtId="4" fontId="32" fillId="3" borderId="1" xfId="1" applyNumberFormat="1" applyFont="1" applyFill="1" applyBorder="1" applyAlignment="1">
      <alignment horizontal="center" vertical="center" wrapText="1"/>
    </xf>
    <xf numFmtId="0" fontId="28" fillId="0" borderId="0" xfId="2" applyFill="1" applyBorder="1" applyAlignment="1"/>
    <xf numFmtId="0" fontId="0" fillId="0" borderId="0" xfId="0" applyBorder="1"/>
    <xf numFmtId="0" fontId="40" fillId="0" borderId="0" xfId="2" applyFont="1" applyFill="1" applyBorder="1" applyAlignment="1"/>
    <xf numFmtId="4" fontId="40" fillId="0" borderId="0" xfId="2" applyNumberFormat="1" applyFont="1" applyBorder="1" applyAlignment="1">
      <alignment horizontal="center"/>
    </xf>
    <xf numFmtId="0" fontId="32" fillId="3" borderId="0" xfId="0" applyFont="1" applyFill="1" applyBorder="1" applyAlignment="1">
      <alignment vertical="center" wrapText="1"/>
    </xf>
    <xf numFmtId="0" fontId="43" fillId="3" borderId="0" xfId="0" applyFont="1" applyFill="1" applyBorder="1" applyAlignment="1">
      <alignment horizontal="center" vertical="center" wrapText="1"/>
    </xf>
    <xf numFmtId="0" fontId="33" fillId="0" borderId="0" xfId="0" applyFont="1" applyBorder="1" applyAlignment="1">
      <alignment vertical="center"/>
    </xf>
    <xf numFmtId="4" fontId="40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32" fillId="3" borderId="1" xfId="1" applyNumberFormat="1" applyFont="1" applyFill="1" applyBorder="1" applyAlignment="1">
      <alignment horizontal="center" vertical="center" wrapText="1"/>
    </xf>
    <xf numFmtId="4" fontId="27" fillId="0" borderId="0" xfId="4" applyNumberFormat="1" applyFill="1" applyBorder="1" applyAlignment="1"/>
    <xf numFmtId="0" fontId="40" fillId="0" borderId="0" xfId="4" applyFont="1" applyFill="1" applyBorder="1" applyAlignment="1"/>
    <xf numFmtId="0" fontId="27" fillId="0" borderId="0" xfId="4" applyFill="1" applyBorder="1" applyAlignment="1"/>
    <xf numFmtId="4" fontId="40" fillId="0" borderId="0" xfId="4" applyNumberFormat="1" applyFont="1" applyFill="1" applyBorder="1" applyAlignment="1"/>
    <xf numFmtId="0" fontId="37" fillId="0" borderId="0" xfId="0" applyFont="1" applyAlignment="1">
      <alignment horizontal="left" vertical="center" textRotation="90"/>
    </xf>
    <xf numFmtId="4" fontId="38" fillId="0" borderId="0" xfId="0" applyNumberFormat="1" applyFont="1"/>
    <xf numFmtId="0" fontId="38" fillId="0" borderId="0" xfId="0" applyFont="1"/>
    <xf numFmtId="4" fontId="38" fillId="0" borderId="0" xfId="0" applyNumberFormat="1" applyFont="1" applyFill="1"/>
    <xf numFmtId="0" fontId="30" fillId="0" borderId="0" xfId="0" applyFont="1" applyFill="1"/>
    <xf numFmtId="0" fontId="36" fillId="0" borderId="0" xfId="0" applyFont="1" applyFill="1" applyBorder="1" applyAlignment="1">
      <alignment horizontal="left"/>
    </xf>
    <xf numFmtId="0" fontId="38" fillId="0" borderId="0" xfId="0" applyFont="1" applyFill="1"/>
    <xf numFmtId="4" fontId="46" fillId="0" borderId="0" xfId="0" applyNumberFormat="1" applyFont="1"/>
    <xf numFmtId="0" fontId="46" fillId="0" borderId="0" xfId="0" applyFont="1"/>
    <xf numFmtId="0" fontId="35" fillId="0" borderId="0" xfId="0" applyFont="1" applyBorder="1"/>
    <xf numFmtId="0" fontId="30" fillId="0" borderId="0" xfId="0" applyFont="1" applyBorder="1"/>
    <xf numFmtId="0" fontId="32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32" fillId="0" borderId="0" xfId="0" applyFont="1" applyBorder="1" applyAlignment="1" applyProtection="1">
      <alignment wrapText="1"/>
      <protection locked="0"/>
    </xf>
    <xf numFmtId="0" fontId="33" fillId="0" borderId="0" xfId="0" applyFont="1" applyBorder="1" applyProtection="1">
      <protection locked="0"/>
    </xf>
    <xf numFmtId="0" fontId="30" fillId="0" borderId="0" xfId="0" applyFont="1" applyBorder="1" applyProtection="1">
      <protection locked="0"/>
    </xf>
    <xf numFmtId="0" fontId="32" fillId="0" borderId="0" xfId="1" applyFont="1" applyBorder="1" applyAlignment="1" applyProtection="1">
      <alignment wrapText="1"/>
      <protection locked="0"/>
    </xf>
    <xf numFmtId="0" fontId="33" fillId="0" borderId="0" xfId="0" applyFont="1" applyBorder="1" applyAlignment="1" applyProtection="1">
      <alignment vertical="center" wrapText="1"/>
      <protection locked="0"/>
    </xf>
    <xf numFmtId="0" fontId="34" fillId="0" borderId="0" xfId="1" applyFont="1" applyBorder="1" applyAlignment="1" applyProtection="1">
      <alignment vertical="center"/>
      <protection locked="0"/>
    </xf>
    <xf numFmtId="0" fontId="32" fillId="0" borderId="0" xfId="1" applyFont="1" applyBorder="1" applyAlignment="1" applyProtection="1">
      <alignment vertical="center" wrapText="1"/>
      <protection locked="0"/>
    </xf>
    <xf numFmtId="0" fontId="32" fillId="0" borderId="0" xfId="1" applyFont="1" applyBorder="1" applyAlignment="1" applyProtection="1">
      <alignment horizontal="center" vertical="center" wrapText="1"/>
      <protection locked="0"/>
    </xf>
    <xf numFmtId="0" fontId="32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35" fillId="0" borderId="0" xfId="0" applyFont="1" applyBorder="1" applyProtection="1"/>
    <xf numFmtId="0" fontId="32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6" fillId="0" borderId="0" xfId="0" applyFont="1" applyBorder="1" applyProtection="1"/>
    <xf numFmtId="0" fontId="32" fillId="0" borderId="0" xfId="1" applyFont="1" applyBorder="1" applyAlignment="1" applyProtection="1">
      <alignment wrapText="1"/>
    </xf>
    <xf numFmtId="0" fontId="33" fillId="0" borderId="0" xfId="0" applyFont="1" applyBorder="1" applyAlignment="1" applyProtection="1">
      <alignment horizontal="center" vertical="center" wrapText="1"/>
    </xf>
    <xf numFmtId="0" fontId="34" fillId="0" borderId="0" xfId="1" applyFont="1" applyBorder="1" applyAlignment="1" applyProtection="1">
      <alignment vertical="center"/>
    </xf>
    <xf numFmtId="0" fontId="32" fillId="0" borderId="0" xfId="1" applyFont="1" applyBorder="1" applyAlignment="1" applyProtection="1">
      <alignment vertical="center" wrapText="1"/>
    </xf>
    <xf numFmtId="4" fontId="32" fillId="4" borderId="0" xfId="0" applyNumberFormat="1" applyFont="1" applyFill="1" applyBorder="1" applyAlignment="1" applyProtection="1">
      <alignment horizontal="center" wrapText="1"/>
    </xf>
    <xf numFmtId="0" fontId="33" fillId="0" borderId="0" xfId="0" applyFont="1" applyBorder="1" applyProtection="1"/>
    <xf numFmtId="0" fontId="45" fillId="0" borderId="0" xfId="0" applyFont="1" applyBorder="1" applyProtection="1"/>
    <xf numFmtId="4" fontId="32" fillId="4" borderId="0" xfId="1" applyNumberFormat="1" applyFont="1" applyFill="1" applyBorder="1" applyAlignment="1" applyProtection="1">
      <alignment horizontal="center" wrapText="1"/>
    </xf>
    <xf numFmtId="4" fontId="32" fillId="5" borderId="0" xfId="0" applyNumberFormat="1" applyFont="1" applyFill="1" applyBorder="1" applyAlignment="1" applyProtection="1">
      <alignment horizontal="center" wrapText="1"/>
      <protection locked="0"/>
    </xf>
    <xf numFmtId="0" fontId="33" fillId="5" borderId="0" xfId="0" applyFont="1" applyFill="1" applyBorder="1" applyAlignment="1" applyProtection="1">
      <alignment horizontal="center"/>
      <protection locked="0"/>
    </xf>
    <xf numFmtId="2" fontId="33" fillId="5" borderId="0" xfId="0" applyNumberFormat="1" applyFont="1" applyFill="1" applyBorder="1" applyAlignment="1" applyProtection="1">
      <alignment horizontal="center"/>
      <protection locked="0"/>
    </xf>
    <xf numFmtId="4" fontId="32" fillId="5" borderId="0" xfId="1" applyNumberFormat="1" applyFont="1" applyFill="1" applyBorder="1" applyAlignment="1" applyProtection="1">
      <alignment horizontal="center" wrapText="1"/>
      <protection locked="0"/>
    </xf>
    <xf numFmtId="0" fontId="32" fillId="5" borderId="0" xfId="1" applyFont="1" applyFill="1" applyBorder="1" applyAlignment="1" applyProtection="1">
      <alignment horizontal="center" wrapText="1"/>
      <protection locked="0"/>
    </xf>
    <xf numFmtId="2" fontId="32" fillId="5" borderId="0" xfId="1" applyNumberFormat="1" applyFont="1" applyFill="1" applyBorder="1" applyAlignment="1" applyProtection="1">
      <alignment horizontal="center" wrapText="1"/>
      <protection locked="0"/>
    </xf>
    <xf numFmtId="0" fontId="34" fillId="0" borderId="0" xfId="1" applyFont="1" applyBorder="1" applyAlignment="1" applyProtection="1">
      <alignment horizontal="center" vertical="center" wrapText="1"/>
      <protection locked="0"/>
    </xf>
    <xf numFmtId="4" fontId="32" fillId="5" borderId="0" xfId="1" applyNumberFormat="1" applyFont="1" applyFill="1" applyBorder="1" applyAlignment="1" applyProtection="1">
      <alignment horizontal="center" vertical="center"/>
      <protection locked="0"/>
    </xf>
    <xf numFmtId="4" fontId="32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32" fillId="0" borderId="0" xfId="0" applyFont="1" applyBorder="1" applyAlignment="1" applyProtection="1">
      <alignment horizontal="center" vertical="center" wrapText="1"/>
    </xf>
    <xf numFmtId="4" fontId="32" fillId="4" borderId="0" xfId="1" applyNumberFormat="1" applyFont="1" applyFill="1" applyBorder="1" applyAlignment="1" applyProtection="1">
      <alignment horizontal="center" vertical="center" wrapText="1"/>
    </xf>
    <xf numFmtId="0" fontId="34" fillId="0" borderId="0" xfId="1" applyFont="1" applyBorder="1" applyAlignment="1" applyProtection="1">
      <alignment horizontal="center" vertical="center" wrapText="1"/>
    </xf>
    <xf numFmtId="4" fontId="34" fillId="5" borderId="0" xfId="1" applyNumberFormat="1" applyFont="1" applyFill="1" applyBorder="1" applyAlignment="1" applyProtection="1">
      <alignment horizontal="center" vertical="center"/>
      <protection locked="0"/>
    </xf>
    <xf numFmtId="0" fontId="34" fillId="0" borderId="0" xfId="1" applyFont="1" applyBorder="1" applyAlignment="1" applyProtection="1">
      <alignment horizontal="center" vertical="center"/>
    </xf>
    <xf numFmtId="4" fontId="33" fillId="0" borderId="1" xfId="0" applyNumberFormat="1" applyFont="1" applyBorder="1" applyAlignment="1">
      <alignment horizontal="center"/>
    </xf>
    <xf numFmtId="4" fontId="32" fillId="5" borderId="0" xfId="1" applyNumberFormat="1" applyFont="1" applyFill="1" applyBorder="1" applyAlignment="1" applyProtection="1">
      <alignment horizontal="center"/>
      <protection locked="0"/>
    </xf>
    <xf numFmtId="0" fontId="30" fillId="0" borderId="0" xfId="0" applyFont="1" applyAlignment="1">
      <alignment wrapText="1"/>
    </xf>
    <xf numFmtId="0" fontId="30" fillId="5" borderId="0" xfId="0" applyFont="1" applyFill="1" applyAlignment="1">
      <alignment wrapText="1"/>
    </xf>
    <xf numFmtId="4" fontId="30" fillId="0" borderId="5" xfId="0" applyNumberFormat="1" applyFont="1" applyBorder="1" applyAlignment="1">
      <alignment horizontal="center" vertical="center" wrapText="1"/>
    </xf>
    <xf numFmtId="0" fontId="30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8" fillId="0" borderId="0" xfId="0" applyFont="1"/>
    <xf numFmtId="0" fontId="32" fillId="5" borderId="1" xfId="1" applyNumberFormat="1" applyFont="1" applyFill="1" applyBorder="1" applyAlignment="1" applyProtection="1">
      <alignment horizontal="center" wrapText="1"/>
      <protection locked="0"/>
    </xf>
    <xf numFmtId="4" fontId="32" fillId="5" borderId="1" xfId="1" applyNumberFormat="1" applyFont="1" applyFill="1" applyBorder="1" applyAlignment="1" applyProtection="1">
      <alignment horizontal="center" wrapText="1"/>
      <protection locked="0"/>
    </xf>
    <xf numFmtId="0" fontId="45" fillId="0" borderId="0" xfId="0" applyFont="1" applyBorder="1"/>
    <xf numFmtId="0" fontId="0" fillId="0" borderId="0" xfId="0" applyProtection="1">
      <protection locked="0"/>
    </xf>
    <xf numFmtId="0" fontId="30" fillId="0" borderId="0" xfId="0" applyFont="1" applyProtection="1">
      <protection locked="0"/>
    </xf>
    <xf numFmtId="0" fontId="37" fillId="0" borderId="0" xfId="0" applyFont="1" applyProtection="1">
      <protection locked="0"/>
    </xf>
    <xf numFmtId="0" fontId="33" fillId="0" borderId="0" xfId="0" applyFont="1" applyAlignment="1">
      <alignment wrapText="1"/>
    </xf>
    <xf numFmtId="0" fontId="33" fillId="0" borderId="0" xfId="0" applyFont="1" applyFill="1" applyBorder="1" applyAlignment="1">
      <alignment wrapText="1"/>
    </xf>
    <xf numFmtId="4" fontId="32" fillId="0" borderId="0" xfId="0" applyNumberFormat="1" applyFont="1"/>
    <xf numFmtId="0" fontId="49" fillId="2" borderId="0" xfId="0" applyFont="1" applyFill="1" applyAlignment="1">
      <alignment horizontal="right" wrapText="1" indent="1"/>
    </xf>
    <xf numFmtId="0" fontId="30" fillId="0" borderId="0" xfId="0" applyFont="1" applyAlignment="1" applyProtection="1">
      <alignment vertical="center"/>
      <protection locked="0"/>
    </xf>
    <xf numFmtId="14" fontId="30" fillId="0" borderId="0" xfId="0" applyNumberFormat="1" applyFont="1" applyProtection="1">
      <protection locked="0"/>
    </xf>
    <xf numFmtId="0" fontId="33" fillId="0" borderId="0" xfId="0" applyFont="1" applyBorder="1" applyAlignment="1"/>
    <xf numFmtId="4" fontId="33" fillId="0" borderId="0" xfId="0" applyNumberFormat="1" applyFont="1" applyBorder="1" applyAlignment="1"/>
    <xf numFmtId="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Fill="1" applyBorder="1"/>
    <xf numFmtId="0" fontId="40" fillId="0" borderId="0" xfId="50" applyFont="1" applyFill="1" applyBorder="1" applyAlignment="1"/>
    <xf numFmtId="0" fontId="21" fillId="0" borderId="0" xfId="50" applyFill="1" applyBorder="1" applyAlignment="1">
      <alignment horizontal="center"/>
    </xf>
    <xf numFmtId="4" fontId="21" fillId="0" borderId="0" xfId="50" applyNumberFormat="1" applyFill="1" applyBorder="1" applyAlignment="1"/>
    <xf numFmtId="0" fontId="27" fillId="0" borderId="0" xfId="4" applyFill="1" applyBorder="1" applyAlignment="1">
      <alignment horizontal="center"/>
    </xf>
    <xf numFmtId="0" fontId="20" fillId="0" borderId="0" xfId="2" applyFont="1" applyFill="1" applyBorder="1" applyAlignment="1"/>
    <xf numFmtId="0" fontId="20" fillId="0" borderId="0" xfId="4" applyFont="1" applyFill="1" applyBorder="1" applyAlignment="1">
      <alignment horizontal="center"/>
    </xf>
    <xf numFmtId="0" fontId="19" fillId="0" borderId="0" xfId="4" applyFont="1" applyFill="1" applyBorder="1" applyAlignment="1">
      <alignment horizontal="center"/>
    </xf>
    <xf numFmtId="0" fontId="18" fillId="0" borderId="0" xfId="2" applyFont="1" applyFill="1" applyBorder="1" applyAlignment="1"/>
    <xf numFmtId="0" fontId="18" fillId="0" borderId="0" xfId="4" applyFont="1" applyFill="1" applyBorder="1" applyAlignment="1">
      <alignment horizontal="center"/>
    </xf>
    <xf numFmtId="0" fontId="17" fillId="0" borderId="0" xfId="2" applyFont="1" applyFill="1" applyBorder="1" applyAlignment="1"/>
    <xf numFmtId="0" fontId="17" fillId="0" borderId="0" xfId="4" applyFont="1" applyFill="1" applyBorder="1" applyAlignment="1">
      <alignment horizontal="center"/>
    </xf>
    <xf numFmtId="0" fontId="16" fillId="0" borderId="0" xfId="2" applyFont="1" applyFill="1" applyBorder="1" applyAlignment="1"/>
    <xf numFmtId="4" fontId="32" fillId="0" borderId="0" xfId="0" applyNumberFormat="1" applyFont="1" applyBorder="1"/>
    <xf numFmtId="49" fontId="33" fillId="0" borderId="0" xfId="0" applyNumberFormat="1" applyFont="1" applyBorder="1" applyAlignment="1"/>
    <xf numFmtId="4" fontId="33" fillId="0" borderId="0" xfId="0" applyNumberFormat="1" applyFont="1" applyBorder="1"/>
    <xf numFmtId="49" fontId="33" fillId="0" borderId="0" xfId="0" applyNumberFormat="1" applyFont="1" applyFill="1" applyBorder="1" applyAlignment="1"/>
    <xf numFmtId="4" fontId="33" fillId="0" borderId="0" xfId="0" applyNumberFormat="1" applyFont="1" applyFill="1" applyBorder="1"/>
    <xf numFmtId="0" fontId="14" fillId="0" borderId="0" xfId="50" applyFont="1" applyFill="1" applyBorder="1" applyAlignment="1">
      <alignment horizontal="center"/>
    </xf>
    <xf numFmtId="0" fontId="13" fillId="0" borderId="0" xfId="86" applyFont="1" applyFill="1" applyBorder="1" applyAlignment="1"/>
    <xf numFmtId="0" fontId="13" fillId="0" borderId="0" xfId="4" applyFont="1" applyFill="1" applyBorder="1" applyAlignment="1">
      <alignment horizontal="center"/>
    </xf>
    <xf numFmtId="0" fontId="12" fillId="0" borderId="0" xfId="4" applyFont="1" applyFill="1" applyBorder="1" applyAlignment="1">
      <alignment horizontal="center"/>
    </xf>
    <xf numFmtId="0" fontId="11" fillId="0" borderId="0" xfId="2" applyFont="1" applyFill="1" applyBorder="1" applyAlignment="1"/>
    <xf numFmtId="0" fontId="11" fillId="0" borderId="0" xfId="4" applyFont="1" applyFill="1" applyBorder="1" applyAlignment="1">
      <alignment horizontal="center"/>
    </xf>
    <xf numFmtId="0" fontId="10" fillId="0" borderId="0" xfId="4" applyFont="1" applyFill="1" applyBorder="1" applyAlignment="1">
      <alignment horizontal="center"/>
    </xf>
    <xf numFmtId="0" fontId="10" fillId="0" borderId="0" xfId="86" applyFont="1" applyFill="1" applyBorder="1" applyAlignment="1"/>
    <xf numFmtId="4" fontId="10" fillId="0" borderId="0" xfId="131" applyNumberFormat="1" applyFill="1" applyBorder="1" applyAlignment="1"/>
    <xf numFmtId="0" fontId="10" fillId="0" borderId="0" xfId="131" applyFill="1" applyBorder="1" applyAlignment="1">
      <alignment horizontal="center"/>
    </xf>
    <xf numFmtId="0" fontId="10" fillId="0" borderId="0" xfId="131" applyFont="1" applyFill="1" applyBorder="1" applyAlignment="1">
      <alignment horizontal="center"/>
    </xf>
    <xf numFmtId="0" fontId="10" fillId="0" borderId="0" xfId="318" applyFont="1" applyFill="1" applyBorder="1" applyAlignment="1"/>
    <xf numFmtId="0" fontId="0" fillId="0" borderId="0" xfId="0" applyFont="1" applyFill="1"/>
    <xf numFmtId="0" fontId="9" fillId="0" borderId="0" xfId="4" applyFont="1" applyFill="1" applyBorder="1" applyAlignment="1">
      <alignment horizontal="center"/>
    </xf>
    <xf numFmtId="0" fontId="9" fillId="0" borderId="0" xfId="2" applyFont="1" applyFill="1" applyBorder="1" applyAlignment="1"/>
    <xf numFmtId="0" fontId="0" fillId="0" borderId="0" xfId="0" applyFont="1" applyFill="1" applyBorder="1"/>
    <xf numFmtId="0" fontId="8" fillId="0" borderId="0" xfId="4" applyFont="1" applyFill="1" applyBorder="1" applyAlignment="1">
      <alignment horizontal="center"/>
    </xf>
    <xf numFmtId="0" fontId="7" fillId="0" borderId="0" xfId="2" applyFont="1" applyFill="1" applyBorder="1" applyAlignment="1"/>
    <xf numFmtId="0" fontId="6" fillId="0" borderId="0" xfId="86" applyFont="1" applyFill="1" applyBorder="1" applyAlignment="1"/>
    <xf numFmtId="0" fontId="6" fillId="0" borderId="0" xfId="5" applyFont="1" applyFill="1" applyBorder="1" applyAlignment="1"/>
    <xf numFmtId="0" fontId="40" fillId="4" borderId="0" xfId="2" applyFont="1" applyFill="1" applyBorder="1" applyAlignment="1"/>
    <xf numFmtId="0" fontId="32" fillId="6" borderId="0" xfId="0" applyFont="1" applyFill="1" applyBorder="1" applyAlignment="1" applyProtection="1">
      <alignment wrapText="1"/>
      <protection locked="0"/>
    </xf>
    <xf numFmtId="0" fontId="32" fillId="4" borderId="0" xfId="0" applyFont="1" applyFill="1" applyBorder="1" applyAlignment="1" applyProtection="1">
      <alignment wrapText="1"/>
      <protection locked="0"/>
    </xf>
    <xf numFmtId="0" fontId="5" fillId="0" borderId="1" xfId="2" applyFont="1" applyFill="1" applyBorder="1" applyAlignment="1"/>
    <xf numFmtId="0" fontId="2" fillId="0" borderId="1" xfId="4" applyFont="1" applyFill="1" applyBorder="1" applyAlignment="1">
      <alignment horizontal="center"/>
    </xf>
    <xf numFmtId="0" fontId="27" fillId="0" borderId="1" xfId="4" applyFill="1" applyBorder="1" applyAlignment="1">
      <alignment horizontal="center"/>
    </xf>
    <xf numFmtId="4" fontId="27" fillId="0" borderId="1" xfId="4" applyNumberFormat="1" applyFill="1" applyBorder="1" applyAlignment="1"/>
    <xf numFmtId="0" fontId="40" fillId="0" borderId="1" xfId="4" applyFont="1" applyFill="1" applyBorder="1" applyAlignment="1"/>
    <xf numFmtId="0" fontId="0" fillId="0" borderId="1" xfId="0" applyFill="1" applyBorder="1"/>
    <xf numFmtId="0" fontId="40" fillId="0" borderId="1" xfId="36" applyFont="1" applyFill="1" applyBorder="1" applyAlignment="1"/>
    <xf numFmtId="0" fontId="2" fillId="0" borderId="1" xfId="36" applyFont="1" applyFill="1" applyBorder="1" applyAlignment="1">
      <alignment horizontal="center"/>
    </xf>
    <xf numFmtId="0" fontId="22" fillId="0" borderId="1" xfId="36" applyFill="1" applyBorder="1" applyAlignment="1">
      <alignment horizontal="center"/>
    </xf>
    <xf numFmtId="4" fontId="22" fillId="0" borderId="1" xfId="36" applyNumberFormat="1" applyFill="1" applyBorder="1" applyAlignment="1"/>
    <xf numFmtId="0" fontId="2" fillId="0" borderId="1" xfId="31" applyFont="1" applyFill="1" applyBorder="1" applyAlignment="1">
      <alignment horizontal="center" vertical="center"/>
    </xf>
    <xf numFmtId="0" fontId="4" fillId="0" borderId="1" xfId="4" applyFont="1" applyFill="1" applyBorder="1" applyAlignment="1">
      <alignment horizontal="center"/>
    </xf>
    <xf numFmtId="4" fontId="0" fillId="0" borderId="1" xfId="0" applyNumberFormat="1" applyFill="1" applyBorder="1" applyAlignment="1"/>
    <xf numFmtId="0" fontId="0" fillId="0" borderId="1" xfId="0" applyFont="1" applyFill="1" applyBorder="1"/>
    <xf numFmtId="0" fontId="2" fillId="0" borderId="1" xfId="50" applyFont="1" applyFill="1" applyBorder="1" applyAlignment="1">
      <alignment horizontal="center"/>
    </xf>
    <xf numFmtId="0" fontId="21" fillId="0" borderId="1" xfId="50" applyFill="1" applyBorder="1" applyAlignment="1">
      <alignment horizontal="center"/>
    </xf>
    <xf numFmtId="4" fontId="21" fillId="0" borderId="1" xfId="50" applyNumberFormat="1" applyFill="1" applyBorder="1" applyAlignment="1"/>
    <xf numFmtId="0" fontId="40" fillId="0" borderId="1" xfId="50" applyFont="1" applyFill="1" applyBorder="1" applyAlignment="1"/>
    <xf numFmtId="0" fontId="40" fillId="0" borderId="1" xfId="725" applyFont="1" applyFill="1" applyBorder="1" applyAlignment="1"/>
    <xf numFmtId="0" fontId="2" fillId="0" borderId="1" xfId="725" applyFont="1" applyFill="1" applyBorder="1" applyAlignment="1">
      <alignment horizontal="center"/>
    </xf>
    <xf numFmtId="0" fontId="3" fillId="0" borderId="1" xfId="725" applyFill="1" applyBorder="1" applyAlignment="1">
      <alignment horizontal="center"/>
    </xf>
    <xf numFmtId="4" fontId="3" fillId="0" borderId="1" xfId="725" applyNumberFormat="1" applyFill="1" applyBorder="1" applyAlignment="1"/>
    <xf numFmtId="0" fontId="42" fillId="3" borderId="1" xfId="0" applyFont="1" applyFill="1" applyBorder="1" applyAlignment="1">
      <alignment horizontal="left" vertical="center" wrapText="1"/>
    </xf>
    <xf numFmtId="4" fontId="50" fillId="0" borderId="1" xfId="0" applyNumberFormat="1" applyFont="1" applyBorder="1"/>
    <xf numFmtId="4" fontId="42" fillId="3" borderId="1" xfId="1" applyNumberFormat="1" applyFont="1" applyFill="1" applyBorder="1" applyAlignment="1">
      <alignment horizontal="left" vertical="center" wrapText="1"/>
    </xf>
    <xf numFmtId="0" fontId="44" fillId="0" borderId="1" xfId="0" applyFont="1" applyBorder="1" applyAlignment="1">
      <alignment horizontal="left" vertical="center"/>
    </xf>
    <xf numFmtId="0" fontId="32" fillId="3" borderId="1" xfId="0" applyFont="1" applyFill="1" applyBorder="1" applyAlignment="1">
      <alignment vertical="center" wrapText="1"/>
    </xf>
    <xf numFmtId="0" fontId="0" fillId="0" borderId="1" xfId="0" applyBorder="1"/>
    <xf numFmtId="0" fontId="44" fillId="0" borderId="1" xfId="0" applyFont="1" applyFill="1" applyBorder="1" applyAlignment="1">
      <alignment horizontal="left" vertical="center"/>
    </xf>
    <xf numFmtId="4" fontId="0" fillId="0" borderId="1" xfId="0" applyNumberFormat="1" applyBorder="1" applyAlignment="1">
      <alignment horizontal="center"/>
    </xf>
    <xf numFmtId="4" fontId="42" fillId="3" borderId="1" xfId="21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/>
    </xf>
    <xf numFmtId="0" fontId="1" fillId="0" borderId="1" xfId="2" applyFont="1" applyFill="1" applyBorder="1" applyAlignment="1"/>
    <xf numFmtId="0" fontId="32" fillId="3" borderId="1" xfId="0" applyFont="1" applyFill="1" applyBorder="1" applyAlignment="1">
      <alignment horizontal="left" vertical="center" wrapText="1"/>
    </xf>
    <xf numFmtId="4" fontId="32" fillId="3" borderId="1" xfId="1" applyNumberFormat="1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/>
    </xf>
    <xf numFmtId="0" fontId="30" fillId="0" borderId="0" xfId="0" applyFont="1" applyAlignment="1">
      <alignment horizontal="left" wrapText="1"/>
    </xf>
    <xf numFmtId="0" fontId="36" fillId="0" borderId="0" xfId="0" applyFont="1" applyAlignment="1">
      <alignment horizontal="center" wrapText="1"/>
    </xf>
    <xf numFmtId="0" fontId="38" fillId="0" borderId="0" xfId="0" applyFont="1" applyBorder="1" applyAlignment="1">
      <alignment horizontal="left" wrapText="1"/>
    </xf>
    <xf numFmtId="0" fontId="32" fillId="3" borderId="1" xfId="0" applyFont="1" applyFill="1" applyBorder="1" applyAlignment="1">
      <alignment horizontal="center" vertical="center" wrapText="1"/>
    </xf>
    <xf numFmtId="0" fontId="37" fillId="0" borderId="0" xfId="0" applyFont="1" applyAlignment="1" applyProtection="1">
      <alignment horizontal="center" vertical="center" textRotation="90" wrapText="1"/>
      <protection locked="0"/>
    </xf>
    <xf numFmtId="0" fontId="32" fillId="0" borderId="1" xfId="1" applyFont="1" applyBorder="1" applyAlignment="1">
      <alignment horizontal="left" wrapText="1"/>
    </xf>
    <xf numFmtId="0" fontId="33" fillId="0" borderId="1" xfId="0" applyFont="1" applyBorder="1" applyAlignment="1">
      <alignment horizontal="center" vertical="center" wrapText="1"/>
    </xf>
    <xf numFmtId="4" fontId="34" fillId="0" borderId="1" xfId="1" applyNumberFormat="1" applyFont="1" applyBorder="1" applyAlignment="1">
      <alignment horizontal="center" vertical="center"/>
    </xf>
    <xf numFmtId="0" fontId="34" fillId="0" borderId="1" xfId="1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0" fontId="34" fillId="0" borderId="1" xfId="1" applyFont="1" applyBorder="1" applyAlignment="1">
      <alignment horizontal="left" vertical="center"/>
    </xf>
    <xf numFmtId="0" fontId="32" fillId="0" borderId="1" xfId="1" applyFont="1" applyBorder="1" applyAlignment="1">
      <alignment horizontal="left" vertical="center" wrapText="1"/>
    </xf>
    <xf numFmtId="0" fontId="32" fillId="0" borderId="2" xfId="1" applyFont="1" applyBorder="1" applyAlignment="1">
      <alignment horizontal="left" wrapText="1"/>
    </xf>
    <xf numFmtId="0" fontId="32" fillId="0" borderId="3" xfId="1" applyFont="1" applyBorder="1" applyAlignment="1">
      <alignment horizontal="left" wrapText="1"/>
    </xf>
    <xf numFmtId="0" fontId="32" fillId="0" borderId="4" xfId="1" applyFont="1" applyBorder="1" applyAlignment="1">
      <alignment horizontal="left" wrapText="1"/>
    </xf>
    <xf numFmtId="0" fontId="32" fillId="0" borderId="1" xfId="0" applyFont="1" applyBorder="1" applyAlignment="1">
      <alignment horizontal="left" wrapText="1"/>
    </xf>
    <xf numFmtId="0" fontId="32" fillId="0" borderId="2" xfId="0" applyFont="1" applyBorder="1" applyAlignment="1" applyProtection="1">
      <alignment horizontal="left" wrapText="1"/>
    </xf>
    <xf numFmtId="0" fontId="32" fillId="0" borderId="3" xfId="0" applyFont="1" applyBorder="1" applyAlignment="1" applyProtection="1">
      <alignment horizontal="left" wrapText="1"/>
    </xf>
    <xf numFmtId="0" fontId="32" fillId="0" borderId="4" xfId="0" applyFont="1" applyBorder="1" applyAlignment="1" applyProtection="1">
      <alignment horizontal="left" wrapText="1"/>
    </xf>
    <xf numFmtId="0" fontId="36" fillId="0" borderId="0" xfId="0" applyFont="1" applyAlignment="1" applyProtection="1">
      <alignment horizontal="center" wrapText="1"/>
      <protection locked="0"/>
    </xf>
    <xf numFmtId="0" fontId="37" fillId="0" borderId="0" xfId="0" applyFont="1" applyAlignment="1" applyProtection="1">
      <alignment horizontal="left" textRotation="90"/>
      <protection locked="0"/>
    </xf>
    <xf numFmtId="0" fontId="37" fillId="0" borderId="0" xfId="0" applyFont="1" applyAlignment="1" applyProtection="1">
      <alignment horizontal="left" vertical="center" textRotation="90"/>
      <protection locked="0"/>
    </xf>
    <xf numFmtId="0" fontId="37" fillId="0" borderId="0" xfId="0" applyFont="1" applyAlignment="1" applyProtection="1">
      <alignment horizontal="left" vertical="center" textRotation="90" wrapText="1"/>
      <protection locked="0"/>
    </xf>
    <xf numFmtId="0" fontId="37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wrapText="1"/>
    </xf>
    <xf numFmtId="0" fontId="30" fillId="0" borderId="0" xfId="0" applyFont="1" applyAlignment="1">
      <alignment horizontal="justify" wrapText="1"/>
    </xf>
    <xf numFmtId="0" fontId="37" fillId="0" borderId="0" xfId="0" applyFont="1" applyBorder="1" applyAlignment="1" applyProtection="1">
      <alignment horizontal="left" vertical="center" textRotation="90"/>
      <protection locked="0"/>
    </xf>
    <xf numFmtId="0" fontId="37" fillId="0" borderId="0" xfId="0" applyFont="1" applyBorder="1" applyAlignment="1" applyProtection="1">
      <alignment horizontal="left" vertical="center" textRotation="90" wrapText="1"/>
      <protection locked="0"/>
    </xf>
    <xf numFmtId="0" fontId="47" fillId="0" borderId="0" xfId="0" applyFont="1" applyBorder="1" applyAlignment="1" applyProtection="1">
      <alignment horizontal="center" vertical="center" textRotation="90" wrapText="1"/>
      <protection locked="0"/>
    </xf>
  </cellXfs>
  <cellStyles count="1243">
    <cellStyle name="Обычный" xfId="0" builtinId="0"/>
    <cellStyle name="Обычный 2" xfId="1"/>
    <cellStyle name="Обычный 2 10" xfId="48"/>
    <cellStyle name="Обычный 2 10 2" xfId="280"/>
    <cellStyle name="Обычный 2 10 2 2" xfId="1072"/>
    <cellStyle name="Обычный 2 10 2 3" xfId="616"/>
    <cellStyle name="Обычный 2 10 3" xfId="387"/>
    <cellStyle name="Обычный 2 10 3 2" xfId="1179"/>
    <cellStyle name="Обычный 2 10 3 3" xfId="723"/>
    <cellStyle name="Обычный 2 10 4" xfId="173"/>
    <cellStyle name="Обычный 2 10 4 2" xfId="965"/>
    <cellStyle name="Обычный 2 10 5" xfId="842"/>
    <cellStyle name="Обычный 2 10 6" xfId="509"/>
    <cellStyle name="Обычный 2 11" xfId="129"/>
    <cellStyle name="Обычный 2 11 2" xfId="922"/>
    <cellStyle name="Обычный 2 11 3" xfId="799"/>
    <cellStyle name="Обычный 2 11 4" xfId="466"/>
    <cellStyle name="Обычный 2 12" xfId="237"/>
    <cellStyle name="Обычный 2 12 2" xfId="1029"/>
    <cellStyle name="Обычный 2 12 3" xfId="573"/>
    <cellStyle name="Обычный 2 13" xfId="344"/>
    <cellStyle name="Обычный 2 13 2" xfId="1136"/>
    <cellStyle name="Обычный 2 13 3" xfId="680"/>
    <cellStyle name="Обычный 2 14" xfId="114"/>
    <cellStyle name="Обычный 2 14 2" xfId="907"/>
    <cellStyle name="Обычный 2 15" xfId="787"/>
    <cellStyle name="Обычный 2 16" xfId="451"/>
    <cellStyle name="Обычный 2 2" xfId="3"/>
    <cellStyle name="Обычный 2 3" xfId="14"/>
    <cellStyle name="Обычный 2 3 10" xfId="119"/>
    <cellStyle name="Обычный 2 3 10 2" xfId="912"/>
    <cellStyle name="Обычный 2 3 11" xfId="809"/>
    <cellStyle name="Обычный 2 3 12" xfId="456"/>
    <cellStyle name="Обычный 2 3 2" xfId="27"/>
    <cellStyle name="Обычный 2 3 2 2" xfId="105"/>
    <cellStyle name="Обычный 2 3 2 2 2" xfId="336"/>
    <cellStyle name="Обычный 2 3 2 2 2 2" xfId="1128"/>
    <cellStyle name="Обычный 2 3 2 2 2 3" xfId="672"/>
    <cellStyle name="Обычный 2 3 2 2 3" xfId="443"/>
    <cellStyle name="Обычный 2 3 2 2 3 2" xfId="1235"/>
    <cellStyle name="Обычный 2 3 2 2 3 3" xfId="779"/>
    <cellStyle name="Обычный 2 3 2 2 4" xfId="229"/>
    <cellStyle name="Обычный 2 3 2 2 4 2" xfId="1021"/>
    <cellStyle name="Обычный 2 3 2 2 5" xfId="898"/>
    <cellStyle name="Обычный 2 3 2 2 6" xfId="565"/>
    <cellStyle name="Обычный 2 3 2 3" xfId="259"/>
    <cellStyle name="Обычный 2 3 2 3 2" xfId="1051"/>
    <cellStyle name="Обычный 2 3 2 3 3" xfId="595"/>
    <cellStyle name="Обычный 2 3 2 4" xfId="366"/>
    <cellStyle name="Обычный 2 3 2 4 2" xfId="1158"/>
    <cellStyle name="Обычный 2 3 2 4 3" xfId="702"/>
    <cellStyle name="Обычный 2 3 2 5" xfId="152"/>
    <cellStyle name="Обычный 2 3 2 5 2" xfId="944"/>
    <cellStyle name="Обычный 2 3 2 6" xfId="821"/>
    <cellStyle name="Обычный 2 3 2 7" xfId="488"/>
    <cellStyle name="Обычный 2 3 3" xfId="39"/>
    <cellStyle name="Обычный 2 3 3 2" xfId="88"/>
    <cellStyle name="Обычный 2 3 3 2 2" xfId="320"/>
    <cellStyle name="Обычный 2 3 3 2 2 2" xfId="1112"/>
    <cellStyle name="Обычный 2 3 3 2 2 3" xfId="656"/>
    <cellStyle name="Обычный 2 3 3 2 3" xfId="427"/>
    <cellStyle name="Обычный 2 3 3 2 3 2" xfId="1219"/>
    <cellStyle name="Обычный 2 3 3 2 3 3" xfId="763"/>
    <cellStyle name="Обычный 2 3 3 2 4" xfId="213"/>
    <cellStyle name="Обычный 2 3 3 2 4 2" xfId="1005"/>
    <cellStyle name="Обычный 2 3 3 2 5" xfId="882"/>
    <cellStyle name="Обычный 2 3 3 2 6" xfId="549"/>
    <cellStyle name="Обычный 2 3 3 3" xfId="271"/>
    <cellStyle name="Обычный 2 3 3 3 2" xfId="1063"/>
    <cellStyle name="Обычный 2 3 3 3 3" xfId="607"/>
    <cellStyle name="Обычный 2 3 3 4" xfId="378"/>
    <cellStyle name="Обычный 2 3 3 4 2" xfId="1170"/>
    <cellStyle name="Обычный 2 3 3 4 3" xfId="714"/>
    <cellStyle name="Обычный 2 3 3 5" xfId="164"/>
    <cellStyle name="Обычный 2 3 3 5 2" xfId="956"/>
    <cellStyle name="Обычный 2 3 3 6" xfId="833"/>
    <cellStyle name="Обычный 2 3 3 7" xfId="500"/>
    <cellStyle name="Обычный 2 3 4" xfId="78"/>
    <cellStyle name="Обычный 2 3 4 2" xfId="310"/>
    <cellStyle name="Обычный 2 3 4 2 2" xfId="1102"/>
    <cellStyle name="Обычный 2 3 4 2 3" xfId="646"/>
    <cellStyle name="Обычный 2 3 4 3" xfId="417"/>
    <cellStyle name="Обычный 2 3 4 3 2" xfId="1209"/>
    <cellStyle name="Обычный 2 3 4 3 3" xfId="753"/>
    <cellStyle name="Обычный 2 3 4 4" xfId="203"/>
    <cellStyle name="Обычный 2 3 4 4 2" xfId="995"/>
    <cellStyle name="Обычный 2 3 4 5" xfId="872"/>
    <cellStyle name="Обычный 2 3 4 6" xfId="539"/>
    <cellStyle name="Обычный 2 3 5" xfId="64"/>
    <cellStyle name="Обычный 2 3 5 2" xfId="296"/>
    <cellStyle name="Обычный 2 3 5 2 2" xfId="1088"/>
    <cellStyle name="Обычный 2 3 5 2 3" xfId="632"/>
    <cellStyle name="Обычный 2 3 5 3" xfId="403"/>
    <cellStyle name="Обычный 2 3 5 3 2" xfId="1195"/>
    <cellStyle name="Обычный 2 3 5 3 3" xfId="739"/>
    <cellStyle name="Обычный 2 3 5 4" xfId="189"/>
    <cellStyle name="Обычный 2 3 5 4 2" xfId="981"/>
    <cellStyle name="Обычный 2 3 5 5" xfId="858"/>
    <cellStyle name="Обычный 2 3 5 6" xfId="525"/>
    <cellStyle name="Обычный 2 3 6" xfId="55"/>
    <cellStyle name="Обычный 2 3 6 2" xfId="287"/>
    <cellStyle name="Обычный 2 3 6 2 2" xfId="1079"/>
    <cellStyle name="Обычный 2 3 6 2 3" xfId="623"/>
    <cellStyle name="Обычный 2 3 6 3" xfId="394"/>
    <cellStyle name="Обычный 2 3 6 3 2" xfId="1186"/>
    <cellStyle name="Обычный 2 3 6 3 3" xfId="730"/>
    <cellStyle name="Обычный 2 3 6 4" xfId="180"/>
    <cellStyle name="Обычный 2 3 6 4 2" xfId="972"/>
    <cellStyle name="Обычный 2 3 6 5" xfId="849"/>
    <cellStyle name="Обычный 2 3 6 6" xfId="516"/>
    <cellStyle name="Обычный 2 3 7" xfId="139"/>
    <cellStyle name="Обычный 2 3 7 2" xfId="932"/>
    <cellStyle name="Обычный 2 3 7 3" xfId="476"/>
    <cellStyle name="Обычный 2 3 8" xfId="247"/>
    <cellStyle name="Обычный 2 3 8 2" xfId="1039"/>
    <cellStyle name="Обычный 2 3 8 3" xfId="583"/>
    <cellStyle name="Обычный 2 3 9" xfId="354"/>
    <cellStyle name="Обычный 2 3 9 2" xfId="1146"/>
    <cellStyle name="Обычный 2 3 9 3" xfId="690"/>
    <cellStyle name="Обычный 2 4" xfId="9"/>
    <cellStyle name="Обычный 2 4 2" xfId="95"/>
    <cellStyle name="Обычный 2 4 2 2" xfId="326"/>
    <cellStyle name="Обычный 2 4 2 2 2" xfId="1118"/>
    <cellStyle name="Обычный 2 4 2 2 3" xfId="662"/>
    <cellStyle name="Обычный 2 4 2 3" xfId="433"/>
    <cellStyle name="Обычный 2 4 2 3 2" xfId="1225"/>
    <cellStyle name="Обычный 2 4 2 3 3" xfId="769"/>
    <cellStyle name="Обычный 2 4 2 4" xfId="219"/>
    <cellStyle name="Обычный 2 4 2 4 2" xfId="1011"/>
    <cellStyle name="Обычный 2 4 2 5" xfId="888"/>
    <cellStyle name="Обычный 2 4 2 6" xfId="555"/>
    <cellStyle name="Обычный 2 4 3" xfId="242"/>
    <cellStyle name="Обычный 2 4 3 2" xfId="1034"/>
    <cellStyle name="Обычный 2 4 3 3" xfId="578"/>
    <cellStyle name="Обычный 2 4 4" xfId="349"/>
    <cellStyle name="Обычный 2 4 4 2" xfId="1141"/>
    <cellStyle name="Обычный 2 4 4 3" xfId="685"/>
    <cellStyle name="Обычный 2 4 5" xfId="134"/>
    <cellStyle name="Обычный 2 4 5 2" xfId="927"/>
    <cellStyle name="Обычный 2 4 6" xfId="804"/>
    <cellStyle name="Обычный 2 4 7" xfId="471"/>
    <cellStyle name="Обычный 2 5" xfId="21"/>
    <cellStyle name="Обычный 2 5 2" xfId="47"/>
    <cellStyle name="Обычный 2 5 2 2" xfId="279"/>
    <cellStyle name="Обычный 2 5 2 2 2" xfId="1071"/>
    <cellStyle name="Обычный 2 5 2 2 3" xfId="615"/>
    <cellStyle name="Обычный 2 5 2 3" xfId="386"/>
    <cellStyle name="Обычный 2 5 2 3 2" xfId="1178"/>
    <cellStyle name="Обычный 2 5 2 3 3" xfId="722"/>
    <cellStyle name="Обычный 2 5 2 4" xfId="172"/>
    <cellStyle name="Обычный 2 5 2 4 2" xfId="964"/>
    <cellStyle name="Обычный 2 5 2 5" xfId="841"/>
    <cellStyle name="Обычный 2 5 2 6" xfId="508"/>
    <cellStyle name="Обычный 2 5 3" xfId="100"/>
    <cellStyle name="Обычный 2 5 3 2" xfId="331"/>
    <cellStyle name="Обычный 2 5 3 2 2" xfId="1123"/>
    <cellStyle name="Обычный 2 5 3 2 3" xfId="667"/>
    <cellStyle name="Обычный 2 5 3 3" xfId="438"/>
    <cellStyle name="Обычный 2 5 3 3 2" xfId="1230"/>
    <cellStyle name="Обычный 2 5 3 3 3" xfId="774"/>
    <cellStyle name="Обычный 2 5 3 4" xfId="224"/>
    <cellStyle name="Обычный 2 5 3 4 2" xfId="1016"/>
    <cellStyle name="Обычный 2 5 3 5" xfId="893"/>
    <cellStyle name="Обычный 2 5 3 6" xfId="560"/>
    <cellStyle name="Обычный 2 5 4" xfId="146"/>
    <cellStyle name="Обычный 2 5 4 2" xfId="938"/>
    <cellStyle name="Обычный 2 5 4 3" xfId="815"/>
    <cellStyle name="Обычный 2 5 4 4" xfId="482"/>
    <cellStyle name="Обычный 2 5 5" xfId="253"/>
    <cellStyle name="Обычный 2 5 5 2" xfId="1045"/>
    <cellStyle name="Обычный 2 5 5 3" xfId="589"/>
    <cellStyle name="Обычный 2 5 6" xfId="360"/>
    <cellStyle name="Обычный 2 5 6 2" xfId="1152"/>
    <cellStyle name="Обычный 2 5 6 3" xfId="696"/>
    <cellStyle name="Обычный 2 5 7" xfId="127"/>
    <cellStyle name="Обычный 2 5 7 2" xfId="920"/>
    <cellStyle name="Обычный 2 5 8" xfId="795"/>
    <cellStyle name="Обычный 2 5 9" xfId="464"/>
    <cellStyle name="Обычный 2 6" xfId="34"/>
    <cellStyle name="Обычный 2 6 2" xfId="108"/>
    <cellStyle name="Обычный 2 6 2 2" xfId="339"/>
    <cellStyle name="Обычный 2 6 2 2 2" xfId="1131"/>
    <cellStyle name="Обычный 2 6 2 2 3" xfId="675"/>
    <cellStyle name="Обычный 2 6 2 3" xfId="446"/>
    <cellStyle name="Обычный 2 6 2 3 2" xfId="1238"/>
    <cellStyle name="Обычный 2 6 2 3 3" xfId="782"/>
    <cellStyle name="Обычный 2 6 2 4" xfId="232"/>
    <cellStyle name="Обычный 2 6 2 4 2" xfId="1024"/>
    <cellStyle name="Обычный 2 6 2 5" xfId="901"/>
    <cellStyle name="Обычный 2 6 2 6" xfId="568"/>
    <cellStyle name="Обычный 2 6 3" xfId="266"/>
    <cellStyle name="Обычный 2 6 3 2" xfId="1058"/>
    <cellStyle name="Обычный 2 6 3 3" xfId="602"/>
    <cellStyle name="Обычный 2 6 4" xfId="373"/>
    <cellStyle name="Обычный 2 6 4 2" xfId="1165"/>
    <cellStyle name="Обычный 2 6 4 3" xfId="709"/>
    <cellStyle name="Обычный 2 6 5" xfId="159"/>
    <cellStyle name="Обычный 2 6 5 2" xfId="951"/>
    <cellStyle name="Обычный 2 6 6" xfId="828"/>
    <cellStyle name="Обычный 2 6 7" xfId="495"/>
    <cellStyle name="Обычный 2 7" xfId="83"/>
    <cellStyle name="Обычный 2 7 2" xfId="315"/>
    <cellStyle name="Обычный 2 7 2 2" xfId="1107"/>
    <cellStyle name="Обычный 2 7 2 3" xfId="651"/>
    <cellStyle name="Обычный 2 7 3" xfId="422"/>
    <cellStyle name="Обычный 2 7 3 2" xfId="1214"/>
    <cellStyle name="Обычный 2 7 3 3" xfId="758"/>
    <cellStyle name="Обычный 2 7 4" xfId="208"/>
    <cellStyle name="Обычный 2 7 4 2" xfId="1000"/>
    <cellStyle name="Обычный 2 7 5" xfId="877"/>
    <cellStyle name="Обычный 2 7 6" xfId="544"/>
    <cellStyle name="Обычный 2 8" xfId="71"/>
    <cellStyle name="Обычный 2 8 2" xfId="303"/>
    <cellStyle name="Обычный 2 8 2 2" xfId="1095"/>
    <cellStyle name="Обычный 2 8 2 3" xfId="639"/>
    <cellStyle name="Обычный 2 8 3" xfId="410"/>
    <cellStyle name="Обычный 2 8 3 2" xfId="1202"/>
    <cellStyle name="Обычный 2 8 3 3" xfId="746"/>
    <cellStyle name="Обычный 2 8 4" xfId="196"/>
    <cellStyle name="Обычный 2 8 4 2" xfId="988"/>
    <cellStyle name="Обычный 2 8 5" xfId="865"/>
    <cellStyle name="Обычный 2 8 6" xfId="532"/>
    <cellStyle name="Обычный 2 9" xfId="60"/>
    <cellStyle name="Обычный 2 9 2" xfId="292"/>
    <cellStyle name="Обычный 2 9 2 2" xfId="1084"/>
    <cellStyle name="Обычный 2 9 2 3" xfId="628"/>
    <cellStyle name="Обычный 2 9 3" xfId="399"/>
    <cellStyle name="Обычный 2 9 3 2" xfId="1191"/>
    <cellStyle name="Обычный 2 9 3 3" xfId="735"/>
    <cellStyle name="Обычный 2 9 4" xfId="185"/>
    <cellStyle name="Обычный 2 9 4 2" xfId="977"/>
    <cellStyle name="Обычный 2 9 5" xfId="854"/>
    <cellStyle name="Обычный 2 9 6" xfId="521"/>
    <cellStyle name="Обычный 3" xfId="2"/>
    <cellStyle name="Обычный 3 10" xfId="72"/>
    <cellStyle name="Обычный 3 10 2" xfId="304"/>
    <cellStyle name="Обычный 3 10 2 2" xfId="1096"/>
    <cellStyle name="Обычный 3 10 2 3" xfId="640"/>
    <cellStyle name="Обычный 3 10 3" xfId="411"/>
    <cellStyle name="Обычный 3 10 3 2" xfId="1203"/>
    <cellStyle name="Обычный 3 10 3 3" xfId="747"/>
    <cellStyle name="Обычный 3 10 4" xfId="197"/>
    <cellStyle name="Обычный 3 10 4 2" xfId="989"/>
    <cellStyle name="Обычный 3 10 5" xfId="866"/>
    <cellStyle name="Обычный 3 10 6" xfId="533"/>
    <cellStyle name="Обычный 3 11" xfId="61"/>
    <cellStyle name="Обычный 3 11 2" xfId="293"/>
    <cellStyle name="Обычный 3 11 2 2" xfId="1085"/>
    <cellStyle name="Обычный 3 11 2 3" xfId="629"/>
    <cellStyle name="Обычный 3 11 3" xfId="400"/>
    <cellStyle name="Обычный 3 11 3 2" xfId="1192"/>
    <cellStyle name="Обычный 3 11 3 3" xfId="736"/>
    <cellStyle name="Обычный 3 11 4" xfId="186"/>
    <cellStyle name="Обычный 3 11 4 2" xfId="978"/>
    <cellStyle name="Обычный 3 11 5" xfId="855"/>
    <cellStyle name="Обычный 3 11 6" xfId="522"/>
    <cellStyle name="Обычный 3 12" xfId="49"/>
    <cellStyle name="Обычный 3 12 2" xfId="281"/>
    <cellStyle name="Обычный 3 12 2 2" xfId="1073"/>
    <cellStyle name="Обычный 3 12 2 3" xfId="617"/>
    <cellStyle name="Обычный 3 12 3" xfId="388"/>
    <cellStyle name="Обычный 3 12 3 2" xfId="1180"/>
    <cellStyle name="Обычный 3 12 3 3" xfId="724"/>
    <cellStyle name="Обычный 3 12 4" xfId="174"/>
    <cellStyle name="Обычный 3 12 4 2" xfId="966"/>
    <cellStyle name="Обычный 3 12 5" xfId="843"/>
    <cellStyle name="Обычный 3 12 6" xfId="510"/>
    <cellStyle name="Обычный 3 13" xfId="130"/>
    <cellStyle name="Обычный 3 13 2" xfId="923"/>
    <cellStyle name="Обычный 3 13 3" xfId="800"/>
    <cellStyle name="Обычный 3 13 4" xfId="467"/>
    <cellStyle name="Обычный 3 14" xfId="238"/>
    <cellStyle name="Обычный 3 14 2" xfId="1030"/>
    <cellStyle name="Обычный 3 14 3" xfId="574"/>
    <cellStyle name="Обычный 3 15" xfId="345"/>
    <cellStyle name="Обычный 3 15 2" xfId="1137"/>
    <cellStyle name="Обычный 3 15 3" xfId="681"/>
    <cellStyle name="Обычный 3 16" xfId="115"/>
    <cellStyle name="Обычный 3 16 2" xfId="908"/>
    <cellStyle name="Обычный 3 17" xfId="788"/>
    <cellStyle name="Обычный 3 18" xfId="452"/>
    <cellStyle name="Обычный 3 2" xfId="7"/>
    <cellStyle name="Обычный 3 3" xfId="6"/>
    <cellStyle name="Обычный 3 4" xfId="19"/>
    <cellStyle name="Обычный 3 4 2" xfId="28"/>
    <cellStyle name="Обычный 3 4 2 2" xfId="106"/>
    <cellStyle name="Обычный 3 4 2 2 2" xfId="337"/>
    <cellStyle name="Обычный 3 4 2 2 2 2" xfId="1129"/>
    <cellStyle name="Обычный 3 4 2 2 2 3" xfId="673"/>
    <cellStyle name="Обычный 3 4 2 2 3" xfId="444"/>
    <cellStyle name="Обычный 3 4 2 2 3 2" xfId="1236"/>
    <cellStyle name="Обычный 3 4 2 2 3 3" xfId="780"/>
    <cellStyle name="Обычный 3 4 2 2 4" xfId="230"/>
    <cellStyle name="Обычный 3 4 2 2 4 2" xfId="1022"/>
    <cellStyle name="Обычный 3 4 2 2 5" xfId="899"/>
    <cellStyle name="Обычный 3 4 2 2 6" xfId="566"/>
    <cellStyle name="Обычный 3 4 2 3" xfId="260"/>
    <cellStyle name="Обычный 3 4 2 3 2" xfId="1052"/>
    <cellStyle name="Обычный 3 4 2 3 3" xfId="596"/>
    <cellStyle name="Обычный 3 4 2 4" xfId="367"/>
    <cellStyle name="Обычный 3 4 2 4 2" xfId="1159"/>
    <cellStyle name="Обычный 3 4 2 4 3" xfId="703"/>
    <cellStyle name="Обычный 3 4 2 5" xfId="153"/>
    <cellStyle name="Обычный 3 4 2 5 2" xfId="945"/>
    <cellStyle name="Обычный 3 4 2 6" xfId="822"/>
    <cellStyle name="Обычный 3 4 2 7" xfId="489"/>
    <cellStyle name="Обычный 3 4 3" xfId="40"/>
    <cellStyle name="Обычный 3 4 3 2" xfId="93"/>
    <cellStyle name="Обычный 3 4 3 3" xfId="272"/>
    <cellStyle name="Обычный 3 4 3 3 2" xfId="1064"/>
    <cellStyle name="Обычный 3 4 3 3 3" xfId="608"/>
    <cellStyle name="Обычный 3 4 3 4" xfId="379"/>
    <cellStyle name="Обычный 3 4 3 4 2" xfId="1171"/>
    <cellStyle name="Обычный 3 4 3 4 3" xfId="715"/>
    <cellStyle name="Обычный 3 4 3 5" xfId="165"/>
    <cellStyle name="Обычный 3 4 3 5 2" xfId="957"/>
    <cellStyle name="Обычный 3 4 3 6" xfId="834"/>
    <cellStyle name="Обычный 3 4 3 7" xfId="501"/>
    <cellStyle name="Обычный 3 4 4" xfId="79"/>
    <cellStyle name="Обычный 3 4 4 2" xfId="311"/>
    <cellStyle name="Обычный 3 4 4 2 2" xfId="1103"/>
    <cellStyle name="Обычный 3 4 4 2 3" xfId="647"/>
    <cellStyle name="Обычный 3 4 4 3" xfId="418"/>
    <cellStyle name="Обычный 3 4 4 3 2" xfId="1210"/>
    <cellStyle name="Обычный 3 4 4 3 3" xfId="754"/>
    <cellStyle name="Обычный 3 4 4 4" xfId="204"/>
    <cellStyle name="Обычный 3 4 4 4 2" xfId="996"/>
    <cellStyle name="Обычный 3 4 4 5" xfId="873"/>
    <cellStyle name="Обычный 3 4 4 6" xfId="540"/>
    <cellStyle name="Обычный 3 4 5" xfId="144"/>
    <cellStyle name="Обычный 3 4 6" xfId="120"/>
    <cellStyle name="Обычный 3 4 6 2" xfId="913"/>
    <cellStyle name="Обычный 3 4 7" xfId="457"/>
    <cellStyle name="Обычный 3 5" xfId="15"/>
    <cellStyle name="Обычный 3 5 2" xfId="89"/>
    <cellStyle name="Обычный 3 5 2 2" xfId="321"/>
    <cellStyle name="Обычный 3 5 2 2 2" xfId="1113"/>
    <cellStyle name="Обычный 3 5 2 2 3" xfId="657"/>
    <cellStyle name="Обычный 3 5 2 3" xfId="428"/>
    <cellStyle name="Обычный 3 5 2 3 2" xfId="1220"/>
    <cellStyle name="Обычный 3 5 2 3 3" xfId="764"/>
    <cellStyle name="Обычный 3 5 2 4" xfId="214"/>
    <cellStyle name="Обычный 3 5 2 4 2" xfId="1006"/>
    <cellStyle name="Обычный 3 5 2 5" xfId="883"/>
    <cellStyle name="Обычный 3 5 2 6" xfId="550"/>
    <cellStyle name="Обычный 3 5 3" xfId="65"/>
    <cellStyle name="Обычный 3 5 3 2" xfId="297"/>
    <cellStyle name="Обычный 3 5 3 2 2" xfId="1089"/>
    <cellStyle name="Обычный 3 5 3 2 3" xfId="633"/>
    <cellStyle name="Обычный 3 5 3 3" xfId="404"/>
    <cellStyle name="Обычный 3 5 3 3 2" xfId="1196"/>
    <cellStyle name="Обычный 3 5 3 3 3" xfId="740"/>
    <cellStyle name="Обычный 3 5 3 4" xfId="190"/>
    <cellStyle name="Обычный 3 5 3 4 2" xfId="982"/>
    <cellStyle name="Обычный 3 5 3 5" xfId="859"/>
    <cellStyle name="Обычный 3 5 3 6" xfId="526"/>
    <cellStyle name="Обычный 3 5 4" xfId="56"/>
    <cellStyle name="Обычный 3 5 4 2" xfId="288"/>
    <cellStyle name="Обычный 3 5 4 2 2" xfId="1080"/>
    <cellStyle name="Обычный 3 5 4 2 3" xfId="624"/>
    <cellStyle name="Обычный 3 5 4 3" xfId="395"/>
    <cellStyle name="Обычный 3 5 4 3 2" xfId="1187"/>
    <cellStyle name="Обычный 3 5 4 3 3" xfId="731"/>
    <cellStyle name="Обычный 3 5 4 4" xfId="181"/>
    <cellStyle name="Обычный 3 5 4 4 2" xfId="973"/>
    <cellStyle name="Обычный 3 5 4 5" xfId="850"/>
    <cellStyle name="Обычный 3 5 4 6" xfId="517"/>
    <cellStyle name="Обычный 3 5 5" xfId="248"/>
    <cellStyle name="Обычный 3 5 5 2" xfId="1040"/>
    <cellStyle name="Обычный 3 5 5 3" xfId="584"/>
    <cellStyle name="Обычный 3 5 6" xfId="355"/>
    <cellStyle name="Обычный 3 5 6 2" xfId="1147"/>
    <cellStyle name="Обычный 3 5 6 3" xfId="691"/>
    <cellStyle name="Обычный 3 5 7" xfId="140"/>
    <cellStyle name="Обычный 3 5 7 2" xfId="933"/>
    <cellStyle name="Обычный 3 5 8" xfId="810"/>
    <cellStyle name="Обычный 3 5 9" xfId="477"/>
    <cellStyle name="Обычный 3 6" xfId="10"/>
    <cellStyle name="Обычный 3 6 2" xfId="46"/>
    <cellStyle name="Обычный 3 6 2 2" xfId="278"/>
    <cellStyle name="Обычный 3 6 2 2 2" xfId="1070"/>
    <cellStyle name="Обычный 3 6 2 2 3" xfId="614"/>
    <cellStyle name="Обычный 3 6 2 3" xfId="385"/>
    <cellStyle name="Обычный 3 6 2 3 2" xfId="1177"/>
    <cellStyle name="Обычный 3 6 2 3 3" xfId="721"/>
    <cellStyle name="Обычный 3 6 2 4" xfId="171"/>
    <cellStyle name="Обычный 3 6 2 4 2" xfId="963"/>
    <cellStyle name="Обычный 3 6 2 5" xfId="840"/>
    <cellStyle name="Обычный 3 6 2 6" xfId="507"/>
    <cellStyle name="Обычный 3 6 3" xfId="96"/>
    <cellStyle name="Обычный 3 6 3 2" xfId="327"/>
    <cellStyle name="Обычный 3 6 3 2 2" xfId="1119"/>
    <cellStyle name="Обычный 3 6 3 2 3" xfId="663"/>
    <cellStyle name="Обычный 3 6 3 3" xfId="434"/>
    <cellStyle name="Обычный 3 6 3 3 2" xfId="1226"/>
    <cellStyle name="Обычный 3 6 3 3 3" xfId="770"/>
    <cellStyle name="Обычный 3 6 3 4" xfId="220"/>
    <cellStyle name="Обычный 3 6 3 4 2" xfId="1012"/>
    <cellStyle name="Обычный 3 6 3 5" xfId="889"/>
    <cellStyle name="Обычный 3 6 3 6" xfId="556"/>
    <cellStyle name="Обычный 3 6 4" xfId="135"/>
    <cellStyle name="Обычный 3 6 4 2" xfId="928"/>
    <cellStyle name="Обычный 3 6 4 3" xfId="805"/>
    <cellStyle name="Обычный 3 6 4 4" xfId="472"/>
    <cellStyle name="Обычный 3 6 5" xfId="243"/>
    <cellStyle name="Обычный 3 6 5 2" xfId="1035"/>
    <cellStyle name="Обычный 3 6 5 3" xfId="579"/>
    <cellStyle name="Обычный 3 6 6" xfId="350"/>
    <cellStyle name="Обычный 3 6 6 2" xfId="1142"/>
    <cellStyle name="Обычный 3 6 6 3" xfId="686"/>
    <cellStyle name="Обычный 3 6 7" xfId="126"/>
    <cellStyle name="Обычный 3 6 7 2" xfId="919"/>
    <cellStyle name="Обычный 3 6 8" xfId="794"/>
    <cellStyle name="Обычный 3 6 9" xfId="463"/>
    <cellStyle name="Обычный 3 7" xfId="22"/>
    <cellStyle name="Обычный 3 7 2" xfId="101"/>
    <cellStyle name="Обычный 3 7 2 2" xfId="332"/>
    <cellStyle name="Обычный 3 7 2 2 2" xfId="1124"/>
    <cellStyle name="Обычный 3 7 2 2 3" xfId="668"/>
    <cellStyle name="Обычный 3 7 2 3" xfId="439"/>
    <cellStyle name="Обычный 3 7 2 3 2" xfId="1231"/>
    <cellStyle name="Обычный 3 7 2 3 3" xfId="775"/>
    <cellStyle name="Обычный 3 7 2 4" xfId="225"/>
    <cellStyle name="Обычный 3 7 2 4 2" xfId="1017"/>
    <cellStyle name="Обычный 3 7 2 5" xfId="894"/>
    <cellStyle name="Обычный 3 7 2 6" xfId="561"/>
    <cellStyle name="Обычный 3 7 3" xfId="254"/>
    <cellStyle name="Обычный 3 7 3 2" xfId="1046"/>
    <cellStyle name="Обычный 3 7 3 3" xfId="590"/>
    <cellStyle name="Обычный 3 7 4" xfId="361"/>
    <cellStyle name="Обычный 3 7 4 2" xfId="1153"/>
    <cellStyle name="Обычный 3 7 4 3" xfId="697"/>
    <cellStyle name="Обычный 3 7 5" xfId="147"/>
    <cellStyle name="Обычный 3 7 5 2" xfId="939"/>
    <cellStyle name="Обычный 3 7 6" xfId="816"/>
    <cellStyle name="Обычный 3 7 7" xfId="483"/>
    <cellStyle name="Обычный 3 8" xfId="35"/>
    <cellStyle name="Обычный 3 8 2" xfId="109"/>
    <cellStyle name="Обычный 3 8 2 2" xfId="340"/>
    <cellStyle name="Обычный 3 8 2 2 2" xfId="1132"/>
    <cellStyle name="Обычный 3 8 2 2 3" xfId="676"/>
    <cellStyle name="Обычный 3 8 2 3" xfId="447"/>
    <cellStyle name="Обычный 3 8 2 3 2" xfId="1239"/>
    <cellStyle name="Обычный 3 8 2 3 3" xfId="783"/>
    <cellStyle name="Обычный 3 8 2 4" xfId="233"/>
    <cellStyle name="Обычный 3 8 2 4 2" xfId="1025"/>
    <cellStyle name="Обычный 3 8 2 5" xfId="902"/>
    <cellStyle name="Обычный 3 8 2 6" xfId="569"/>
    <cellStyle name="Обычный 3 8 3" xfId="267"/>
    <cellStyle name="Обычный 3 8 3 2" xfId="1059"/>
    <cellStyle name="Обычный 3 8 3 3" xfId="603"/>
    <cellStyle name="Обычный 3 8 4" xfId="374"/>
    <cellStyle name="Обычный 3 8 4 2" xfId="1166"/>
    <cellStyle name="Обычный 3 8 4 3" xfId="710"/>
    <cellStyle name="Обычный 3 8 5" xfId="160"/>
    <cellStyle name="Обычный 3 8 5 2" xfId="952"/>
    <cellStyle name="Обычный 3 8 6" xfId="829"/>
    <cellStyle name="Обычный 3 8 7" xfId="496"/>
    <cellStyle name="Обычный 3 9" xfId="84"/>
    <cellStyle name="Обычный 3 9 2" xfId="316"/>
    <cellStyle name="Обычный 3 9 2 2" xfId="1108"/>
    <cellStyle name="Обычный 3 9 2 3" xfId="652"/>
    <cellStyle name="Обычный 3 9 3" xfId="423"/>
    <cellStyle name="Обычный 3 9 3 2" xfId="1215"/>
    <cellStyle name="Обычный 3 9 3 3" xfId="759"/>
    <cellStyle name="Обычный 3 9 4" xfId="209"/>
    <cellStyle name="Обычный 3 9 4 2" xfId="1001"/>
    <cellStyle name="Обычный 3 9 5" xfId="878"/>
    <cellStyle name="Обычный 3 9 6" xfId="545"/>
    <cellStyle name="Обычный 4" xfId="4"/>
    <cellStyle name="Обычный 4 10" xfId="131"/>
    <cellStyle name="Обычный 4 10 2" xfId="924"/>
    <cellStyle name="Обычный 4 10 3" xfId="801"/>
    <cellStyle name="Обычный 4 10 4" xfId="468"/>
    <cellStyle name="Обычный 4 11" xfId="239"/>
    <cellStyle name="Обычный 4 11 2" xfId="1031"/>
    <cellStyle name="Обычный 4 11 3" xfId="575"/>
    <cellStyle name="Обычный 4 12" xfId="346"/>
    <cellStyle name="Обычный 4 12 2" xfId="1138"/>
    <cellStyle name="Обычный 4 12 3" xfId="682"/>
    <cellStyle name="Обычный 4 13" xfId="116"/>
    <cellStyle name="Обычный 4 13 2" xfId="909"/>
    <cellStyle name="Обычный 4 14" xfId="789"/>
    <cellStyle name="Обычный 4 15" xfId="453"/>
    <cellStyle name="Обычный 4 2" xfId="16"/>
    <cellStyle name="Обычный 4 2 10" xfId="121"/>
    <cellStyle name="Обычный 4 2 10 2" xfId="914"/>
    <cellStyle name="Обычный 4 2 11" xfId="797"/>
    <cellStyle name="Обычный 4 2 12" xfId="458"/>
    <cellStyle name="Обычный 4 2 2" xfId="33"/>
    <cellStyle name="Обычный 4 2 2 2" xfId="107"/>
    <cellStyle name="Обычный 4 2 2 2 2" xfId="338"/>
    <cellStyle name="Обычный 4 2 2 2 2 2" xfId="1130"/>
    <cellStyle name="Обычный 4 2 2 2 2 3" xfId="674"/>
    <cellStyle name="Обычный 4 2 2 2 3" xfId="445"/>
    <cellStyle name="Обычный 4 2 2 2 3 2" xfId="1237"/>
    <cellStyle name="Обычный 4 2 2 2 3 3" xfId="781"/>
    <cellStyle name="Обычный 4 2 2 2 4" xfId="231"/>
    <cellStyle name="Обычный 4 2 2 2 4 2" xfId="1023"/>
    <cellStyle name="Обычный 4 2 2 2 5" xfId="900"/>
    <cellStyle name="Обычный 4 2 2 2 6" xfId="567"/>
    <cellStyle name="Обычный 4 2 2 3" xfId="70"/>
    <cellStyle name="Обычный 4 2 2 3 2" xfId="302"/>
    <cellStyle name="Обычный 4 2 2 3 2 2" xfId="1094"/>
    <cellStyle name="Обычный 4 2 2 3 2 3" xfId="638"/>
    <cellStyle name="Обычный 4 2 2 3 3" xfId="409"/>
    <cellStyle name="Обычный 4 2 2 3 3 2" xfId="1201"/>
    <cellStyle name="Обычный 4 2 2 3 3 3" xfId="745"/>
    <cellStyle name="Обычный 4 2 2 3 4" xfId="195"/>
    <cellStyle name="Обычный 4 2 2 3 4 2" xfId="987"/>
    <cellStyle name="Обычный 4 2 2 3 5" xfId="864"/>
    <cellStyle name="Обычный 4 2 2 3 6" xfId="531"/>
    <cellStyle name="Обычный 4 2 2 4" xfId="265"/>
    <cellStyle name="Обычный 4 2 2 4 2" xfId="1057"/>
    <cellStyle name="Обычный 4 2 2 4 3" xfId="601"/>
    <cellStyle name="Обычный 4 2 2 5" xfId="372"/>
    <cellStyle name="Обычный 4 2 2 5 2" xfId="1164"/>
    <cellStyle name="Обычный 4 2 2 5 3" xfId="708"/>
    <cellStyle name="Обычный 4 2 2 6" xfId="158"/>
    <cellStyle name="Обычный 4 2 2 6 2" xfId="950"/>
    <cellStyle name="Обычный 4 2 2 7" xfId="827"/>
    <cellStyle name="Обычный 4 2 2 8" xfId="494"/>
    <cellStyle name="Обычный 4 2 3" xfId="41"/>
    <cellStyle name="Обычный 4 2 3 2" xfId="90"/>
    <cellStyle name="Обычный 4 2 3 2 2" xfId="322"/>
    <cellStyle name="Обычный 4 2 3 2 2 2" xfId="1114"/>
    <cellStyle name="Обычный 4 2 3 2 2 3" xfId="658"/>
    <cellStyle name="Обычный 4 2 3 2 3" xfId="429"/>
    <cellStyle name="Обычный 4 2 3 2 3 2" xfId="1221"/>
    <cellStyle name="Обычный 4 2 3 2 3 3" xfId="765"/>
    <cellStyle name="Обычный 4 2 3 2 4" xfId="215"/>
    <cellStyle name="Обычный 4 2 3 2 4 2" xfId="1007"/>
    <cellStyle name="Обычный 4 2 3 2 5" xfId="884"/>
    <cellStyle name="Обычный 4 2 3 2 6" xfId="551"/>
    <cellStyle name="Обычный 4 2 3 3" xfId="273"/>
    <cellStyle name="Обычный 4 2 3 3 2" xfId="1065"/>
    <cellStyle name="Обычный 4 2 3 3 3" xfId="609"/>
    <cellStyle name="Обычный 4 2 3 4" xfId="380"/>
    <cellStyle name="Обычный 4 2 3 4 2" xfId="1172"/>
    <cellStyle name="Обычный 4 2 3 4 3" xfId="716"/>
    <cellStyle name="Обычный 4 2 3 5" xfId="166"/>
    <cellStyle name="Обычный 4 2 3 5 2" xfId="958"/>
    <cellStyle name="Обычный 4 2 3 6" xfId="835"/>
    <cellStyle name="Обычный 4 2 3 7" xfId="502"/>
    <cellStyle name="Обычный 4 2 4" xfId="80"/>
    <cellStyle name="Обычный 4 2 4 2" xfId="312"/>
    <cellStyle name="Обычный 4 2 4 2 2" xfId="1104"/>
    <cellStyle name="Обычный 4 2 4 2 3" xfId="648"/>
    <cellStyle name="Обычный 4 2 4 3" xfId="419"/>
    <cellStyle name="Обычный 4 2 4 3 2" xfId="1211"/>
    <cellStyle name="Обычный 4 2 4 3 3" xfId="755"/>
    <cellStyle name="Обычный 4 2 4 4" xfId="205"/>
    <cellStyle name="Обычный 4 2 4 4 2" xfId="997"/>
    <cellStyle name="Обычный 4 2 4 5" xfId="874"/>
    <cellStyle name="Обычный 4 2 4 6" xfId="541"/>
    <cellStyle name="Обычный 4 2 5" xfId="69"/>
    <cellStyle name="Обычный 4 2 5 2" xfId="301"/>
    <cellStyle name="Обычный 4 2 5 2 2" xfId="1093"/>
    <cellStyle name="Обычный 4 2 5 2 3" xfId="637"/>
    <cellStyle name="Обычный 4 2 5 3" xfId="408"/>
    <cellStyle name="Обычный 4 2 5 3 2" xfId="1200"/>
    <cellStyle name="Обычный 4 2 5 3 3" xfId="744"/>
    <cellStyle name="Обычный 4 2 5 4" xfId="194"/>
    <cellStyle name="Обычный 4 2 5 4 2" xfId="986"/>
    <cellStyle name="Обычный 4 2 5 5" xfId="863"/>
    <cellStyle name="Обычный 4 2 5 6" xfId="530"/>
    <cellStyle name="Обычный 4 2 6" xfId="57"/>
    <cellStyle name="Обычный 4 2 6 2" xfId="289"/>
    <cellStyle name="Обычный 4 2 6 2 2" xfId="1081"/>
    <cellStyle name="Обычный 4 2 6 2 3" xfId="625"/>
    <cellStyle name="Обычный 4 2 6 3" xfId="396"/>
    <cellStyle name="Обычный 4 2 6 3 2" xfId="1188"/>
    <cellStyle name="Обычный 4 2 6 3 3" xfId="732"/>
    <cellStyle name="Обычный 4 2 6 4" xfId="182"/>
    <cellStyle name="Обычный 4 2 6 4 2" xfId="974"/>
    <cellStyle name="Обычный 4 2 6 5" xfId="851"/>
    <cellStyle name="Обычный 4 2 6 6" xfId="518"/>
    <cellStyle name="Обычный 4 2 7" xfId="141"/>
    <cellStyle name="Обычный 4 2 7 2" xfId="934"/>
    <cellStyle name="Обычный 4 2 7 3" xfId="811"/>
    <cellStyle name="Обычный 4 2 7 4" xfId="478"/>
    <cellStyle name="Обычный 4 2 8" xfId="249"/>
    <cellStyle name="Обычный 4 2 8 2" xfId="1041"/>
    <cellStyle name="Обычный 4 2 8 3" xfId="585"/>
    <cellStyle name="Обычный 4 2 9" xfId="356"/>
    <cellStyle name="Обычный 4 2 9 2" xfId="1148"/>
    <cellStyle name="Обычный 4 2 9 3" xfId="692"/>
    <cellStyle name="Обычный 4 3" xfId="11"/>
    <cellStyle name="Обычный 4 3 10" xfId="461"/>
    <cellStyle name="Обычный 4 3 2" xfId="29"/>
    <cellStyle name="Обычный 4 3 2 2" xfId="97"/>
    <cellStyle name="Обычный 4 3 2 2 2" xfId="328"/>
    <cellStyle name="Обычный 4 3 2 2 2 2" xfId="1120"/>
    <cellStyle name="Обычный 4 3 2 2 2 3" xfId="664"/>
    <cellStyle name="Обычный 4 3 2 2 3" xfId="435"/>
    <cellStyle name="Обычный 4 3 2 2 3 2" xfId="1227"/>
    <cellStyle name="Обычный 4 3 2 2 3 3" xfId="771"/>
    <cellStyle name="Обычный 4 3 2 2 4" xfId="221"/>
    <cellStyle name="Обычный 4 3 2 2 4 2" xfId="1013"/>
    <cellStyle name="Обычный 4 3 2 2 5" xfId="890"/>
    <cellStyle name="Обычный 4 3 2 2 6" xfId="557"/>
    <cellStyle name="Обычный 4 3 2 3" xfId="261"/>
    <cellStyle name="Обычный 4 3 2 3 2" xfId="1053"/>
    <cellStyle name="Обычный 4 3 2 3 3" xfId="597"/>
    <cellStyle name="Обычный 4 3 2 4" xfId="368"/>
    <cellStyle name="Обычный 4 3 2 4 2" xfId="1160"/>
    <cellStyle name="Обычный 4 3 2 4 3" xfId="704"/>
    <cellStyle name="Обычный 4 3 2 5" xfId="154"/>
    <cellStyle name="Обычный 4 3 2 5 2" xfId="946"/>
    <cellStyle name="Обычный 4 3 2 6" xfId="823"/>
    <cellStyle name="Обычный 4 3 2 7" xfId="490"/>
    <cellStyle name="Обычный 4 3 3" xfId="44"/>
    <cellStyle name="Обычный 4 3 3 2" xfId="276"/>
    <cellStyle name="Обычный 4 3 3 2 2" xfId="1068"/>
    <cellStyle name="Обычный 4 3 3 2 3" xfId="612"/>
    <cellStyle name="Обычный 4 3 3 3" xfId="383"/>
    <cellStyle name="Обычный 4 3 3 3 2" xfId="1175"/>
    <cellStyle name="Обычный 4 3 3 3 3" xfId="719"/>
    <cellStyle name="Обычный 4 3 3 4" xfId="169"/>
    <cellStyle name="Обычный 4 3 3 4 2" xfId="961"/>
    <cellStyle name="Обычный 4 3 3 5" xfId="838"/>
    <cellStyle name="Обычный 4 3 3 6" xfId="505"/>
    <cellStyle name="Обычный 4 3 4" xfId="66"/>
    <cellStyle name="Обычный 4 3 4 2" xfId="298"/>
    <cellStyle name="Обычный 4 3 4 2 2" xfId="1090"/>
    <cellStyle name="Обычный 4 3 4 2 3" xfId="634"/>
    <cellStyle name="Обычный 4 3 4 3" xfId="405"/>
    <cellStyle name="Обычный 4 3 4 3 2" xfId="1197"/>
    <cellStyle name="Обычный 4 3 4 3 3" xfId="741"/>
    <cellStyle name="Обычный 4 3 4 4" xfId="191"/>
    <cellStyle name="Обычный 4 3 4 4 2" xfId="983"/>
    <cellStyle name="Обычный 4 3 4 5" xfId="860"/>
    <cellStyle name="Обычный 4 3 4 6" xfId="527"/>
    <cellStyle name="Обычный 4 3 5" xfId="136"/>
    <cellStyle name="Обычный 4 3 5 2" xfId="929"/>
    <cellStyle name="Обычный 4 3 5 3" xfId="806"/>
    <cellStyle name="Обычный 4 3 5 4" xfId="473"/>
    <cellStyle name="Обычный 4 3 6" xfId="244"/>
    <cellStyle name="Обычный 4 3 6 2" xfId="1036"/>
    <cellStyle name="Обычный 4 3 6 3" xfId="580"/>
    <cellStyle name="Обычный 4 3 7" xfId="351"/>
    <cellStyle name="Обычный 4 3 7 2" xfId="1143"/>
    <cellStyle name="Обычный 4 3 7 3" xfId="687"/>
    <cellStyle name="Обычный 4 3 8" xfId="124"/>
    <cellStyle name="Обычный 4 3 8 2" xfId="917"/>
    <cellStyle name="Обычный 4 3 9" xfId="792"/>
    <cellStyle name="Обычный 4 4" xfId="23"/>
    <cellStyle name="Обычный 4 4 2" xfId="102"/>
    <cellStyle name="Обычный 4 4 2 2" xfId="333"/>
    <cellStyle name="Обычный 4 4 2 2 2" xfId="1125"/>
    <cellStyle name="Обычный 4 4 2 2 3" xfId="669"/>
    <cellStyle name="Обычный 4 4 2 3" xfId="440"/>
    <cellStyle name="Обычный 4 4 2 3 2" xfId="1232"/>
    <cellStyle name="Обычный 4 4 2 3 3" xfId="776"/>
    <cellStyle name="Обычный 4 4 2 4" xfId="226"/>
    <cellStyle name="Обычный 4 4 2 4 2" xfId="1018"/>
    <cellStyle name="Обычный 4 4 2 5" xfId="895"/>
    <cellStyle name="Обычный 4 4 2 6" xfId="562"/>
    <cellStyle name="Обычный 4 4 3" xfId="255"/>
    <cellStyle name="Обычный 4 4 3 2" xfId="1047"/>
    <cellStyle name="Обычный 4 4 3 3" xfId="591"/>
    <cellStyle name="Обычный 4 4 4" xfId="362"/>
    <cellStyle name="Обычный 4 4 4 2" xfId="1154"/>
    <cellStyle name="Обычный 4 4 4 3" xfId="698"/>
    <cellStyle name="Обычный 4 4 5" xfId="148"/>
    <cellStyle name="Обычный 4 4 5 2" xfId="940"/>
    <cellStyle name="Обычный 4 4 6" xfId="817"/>
    <cellStyle name="Обычный 4 4 7" xfId="484"/>
    <cellStyle name="Обычный 4 5" xfId="36"/>
    <cellStyle name="Обычный 4 5 2" xfId="110"/>
    <cellStyle name="Обычный 4 5 2 2" xfId="341"/>
    <cellStyle name="Обычный 4 5 2 2 2" xfId="1133"/>
    <cellStyle name="Обычный 4 5 2 2 3" xfId="677"/>
    <cellStyle name="Обычный 4 5 2 3" xfId="448"/>
    <cellStyle name="Обычный 4 5 2 3 2" xfId="1240"/>
    <cellStyle name="Обычный 4 5 2 3 3" xfId="784"/>
    <cellStyle name="Обычный 4 5 2 4" xfId="234"/>
    <cellStyle name="Обычный 4 5 2 4 2" xfId="1026"/>
    <cellStyle name="Обычный 4 5 2 5" xfId="903"/>
    <cellStyle name="Обычный 4 5 2 6" xfId="570"/>
    <cellStyle name="Обычный 4 5 3" xfId="268"/>
    <cellStyle name="Обычный 4 5 3 2" xfId="1060"/>
    <cellStyle name="Обычный 4 5 3 3" xfId="604"/>
    <cellStyle name="Обычный 4 5 4" xfId="375"/>
    <cellStyle name="Обычный 4 5 4 2" xfId="1167"/>
    <cellStyle name="Обычный 4 5 4 3" xfId="711"/>
    <cellStyle name="Обычный 4 5 5" xfId="161"/>
    <cellStyle name="Обычный 4 5 5 2" xfId="953"/>
    <cellStyle name="Обычный 4 5 6" xfId="830"/>
    <cellStyle name="Обычный 4 5 7" xfId="497"/>
    <cellStyle name="Обычный 4 6" xfId="85"/>
    <cellStyle name="Обычный 4 6 2" xfId="317"/>
    <cellStyle name="Обычный 4 6 2 2" xfId="1109"/>
    <cellStyle name="Обычный 4 6 2 3" xfId="653"/>
    <cellStyle name="Обычный 4 6 3" xfId="424"/>
    <cellStyle name="Обычный 4 6 3 2" xfId="1216"/>
    <cellStyle name="Обычный 4 6 3 3" xfId="760"/>
    <cellStyle name="Обычный 4 6 4" xfId="210"/>
    <cellStyle name="Обычный 4 6 4 2" xfId="1002"/>
    <cellStyle name="Обычный 4 6 5" xfId="879"/>
    <cellStyle name="Обычный 4 6 6" xfId="546"/>
    <cellStyle name="Обычный 4 7" xfId="73"/>
    <cellStyle name="Обычный 4 7 2" xfId="305"/>
    <cellStyle name="Обычный 4 7 2 2" xfId="1097"/>
    <cellStyle name="Обычный 4 7 2 3" xfId="641"/>
    <cellStyle name="Обычный 4 7 3" xfId="412"/>
    <cellStyle name="Обычный 4 7 3 2" xfId="1204"/>
    <cellStyle name="Обычный 4 7 3 3" xfId="748"/>
    <cellStyle name="Обычный 4 7 4" xfId="198"/>
    <cellStyle name="Обычный 4 7 4 2" xfId="990"/>
    <cellStyle name="Обычный 4 7 5" xfId="867"/>
    <cellStyle name="Обычный 4 7 6" xfId="534"/>
    <cellStyle name="Обычный 4 8" xfId="62"/>
    <cellStyle name="Обычный 4 8 2" xfId="294"/>
    <cellStyle name="Обычный 4 8 2 2" xfId="1086"/>
    <cellStyle name="Обычный 4 8 2 3" xfId="630"/>
    <cellStyle name="Обычный 4 8 3" xfId="401"/>
    <cellStyle name="Обычный 4 8 3 2" xfId="1193"/>
    <cellStyle name="Обычный 4 8 3 3" xfId="737"/>
    <cellStyle name="Обычный 4 8 4" xfId="187"/>
    <cellStyle name="Обычный 4 8 4 2" xfId="979"/>
    <cellStyle name="Обычный 4 8 5" xfId="856"/>
    <cellStyle name="Обычный 4 8 6" xfId="523"/>
    <cellStyle name="Обычный 4 9" xfId="50"/>
    <cellStyle name="Обычный 4 9 2" xfId="175"/>
    <cellStyle name="Обычный 4 9 2 2" xfId="967"/>
    <cellStyle name="Обычный 4 9 2 3" xfId="844"/>
    <cellStyle name="Обычный 4 9 2 4" xfId="511"/>
    <cellStyle name="Обычный 4 9 3" xfId="282"/>
    <cellStyle name="Обычный 4 9 3 2" xfId="1074"/>
    <cellStyle name="Обычный 4 9 3 3" xfId="618"/>
    <cellStyle name="Обычный 4 9 4" xfId="389"/>
    <cellStyle name="Обычный 4 9 4 2" xfId="1181"/>
    <cellStyle name="Обычный 4 9 4 3" xfId="906"/>
    <cellStyle name="Обычный 4 9 4 4" xfId="725"/>
    <cellStyle name="Обычный 4 9 5" xfId="128"/>
    <cellStyle name="Обычный 4 9 5 2" xfId="921"/>
    <cellStyle name="Обычный 4 9 6" xfId="796"/>
    <cellStyle name="Обычный 4 9 7" xfId="465"/>
    <cellStyle name="Обычный 5" xfId="5"/>
    <cellStyle name="Обычный 5 10" xfId="51"/>
    <cellStyle name="Обычный 5 10 2" xfId="283"/>
    <cellStyle name="Обычный 5 10 2 2" xfId="1075"/>
    <cellStyle name="Обычный 5 10 2 3" xfId="619"/>
    <cellStyle name="Обычный 5 10 3" xfId="390"/>
    <cellStyle name="Обычный 5 10 3 2" xfId="1182"/>
    <cellStyle name="Обычный 5 10 3 3" xfId="726"/>
    <cellStyle name="Обычный 5 10 4" xfId="176"/>
    <cellStyle name="Обычный 5 10 4 2" xfId="968"/>
    <cellStyle name="Обычный 5 10 5" xfId="845"/>
    <cellStyle name="Обычный 5 10 6" xfId="512"/>
    <cellStyle name="Обычный 5 11" xfId="132"/>
    <cellStyle name="Обычный 5 11 2" xfId="925"/>
    <cellStyle name="Обычный 5 11 3" xfId="802"/>
    <cellStyle name="Обычный 5 11 4" xfId="469"/>
    <cellStyle name="Обычный 5 12" xfId="240"/>
    <cellStyle name="Обычный 5 12 2" xfId="1032"/>
    <cellStyle name="Обычный 5 12 3" xfId="576"/>
    <cellStyle name="Обычный 5 13" xfId="347"/>
    <cellStyle name="Обычный 5 13 2" xfId="1139"/>
    <cellStyle name="Обычный 5 13 3" xfId="683"/>
    <cellStyle name="Обычный 5 14" xfId="117"/>
    <cellStyle name="Обычный 5 14 2" xfId="910"/>
    <cellStyle name="Обычный 5 15" xfId="790"/>
    <cellStyle name="Обычный 5 16" xfId="454"/>
    <cellStyle name="Обычный 5 2" xfId="17"/>
    <cellStyle name="Обычный 5 2 10" xfId="812"/>
    <cellStyle name="Обычный 5 2 11" xfId="459"/>
    <cellStyle name="Обычный 5 2 2" xfId="30"/>
    <cellStyle name="Обычный 5 2 2 2" xfId="91"/>
    <cellStyle name="Обычный 5 2 2 2 2" xfId="323"/>
    <cellStyle name="Обычный 5 2 2 2 2 2" xfId="1115"/>
    <cellStyle name="Обычный 5 2 2 2 2 3" xfId="659"/>
    <cellStyle name="Обычный 5 2 2 2 3" xfId="430"/>
    <cellStyle name="Обычный 5 2 2 2 3 2" xfId="1222"/>
    <cellStyle name="Обычный 5 2 2 2 3 3" xfId="766"/>
    <cellStyle name="Обычный 5 2 2 2 4" xfId="216"/>
    <cellStyle name="Обычный 5 2 2 2 4 2" xfId="1008"/>
    <cellStyle name="Обычный 5 2 2 2 5" xfId="885"/>
    <cellStyle name="Обычный 5 2 2 2 6" xfId="552"/>
    <cellStyle name="Обычный 5 2 2 3" xfId="262"/>
    <cellStyle name="Обычный 5 2 2 3 2" xfId="1054"/>
    <cellStyle name="Обычный 5 2 2 3 3" xfId="598"/>
    <cellStyle name="Обычный 5 2 2 4" xfId="369"/>
    <cellStyle name="Обычный 5 2 2 4 2" xfId="1161"/>
    <cellStyle name="Обычный 5 2 2 4 3" xfId="705"/>
    <cellStyle name="Обычный 5 2 2 5" xfId="155"/>
    <cellStyle name="Обычный 5 2 2 5 2" xfId="947"/>
    <cellStyle name="Обычный 5 2 2 6" xfId="824"/>
    <cellStyle name="Обычный 5 2 2 7" xfId="491"/>
    <cellStyle name="Обычный 5 2 3" xfId="42"/>
    <cellStyle name="Обычный 5 2 3 2" xfId="81"/>
    <cellStyle name="Обычный 5 2 3 2 2" xfId="313"/>
    <cellStyle name="Обычный 5 2 3 2 2 2" xfId="1105"/>
    <cellStyle name="Обычный 5 2 3 2 2 3" xfId="649"/>
    <cellStyle name="Обычный 5 2 3 2 3" xfId="420"/>
    <cellStyle name="Обычный 5 2 3 2 3 2" xfId="1212"/>
    <cellStyle name="Обычный 5 2 3 2 3 3" xfId="756"/>
    <cellStyle name="Обычный 5 2 3 2 4" xfId="206"/>
    <cellStyle name="Обычный 5 2 3 2 4 2" xfId="998"/>
    <cellStyle name="Обычный 5 2 3 2 5" xfId="875"/>
    <cellStyle name="Обычный 5 2 3 2 6" xfId="542"/>
    <cellStyle name="Обычный 5 2 3 3" xfId="274"/>
    <cellStyle name="Обычный 5 2 3 3 2" xfId="1066"/>
    <cellStyle name="Обычный 5 2 3 3 3" xfId="610"/>
    <cellStyle name="Обычный 5 2 3 4" xfId="381"/>
    <cellStyle name="Обычный 5 2 3 4 2" xfId="1173"/>
    <cellStyle name="Обычный 5 2 3 4 3" xfId="717"/>
    <cellStyle name="Обычный 5 2 3 5" xfId="167"/>
    <cellStyle name="Обычный 5 2 3 5 2" xfId="959"/>
    <cellStyle name="Обычный 5 2 3 6" xfId="836"/>
    <cellStyle name="Обычный 5 2 3 7" xfId="503"/>
    <cellStyle name="Обычный 5 2 4" xfId="67"/>
    <cellStyle name="Обычный 5 2 4 2" xfId="299"/>
    <cellStyle name="Обычный 5 2 4 2 2" xfId="1091"/>
    <cellStyle name="Обычный 5 2 4 2 3" xfId="635"/>
    <cellStyle name="Обычный 5 2 4 3" xfId="406"/>
    <cellStyle name="Обычный 5 2 4 3 2" xfId="1198"/>
    <cellStyle name="Обычный 5 2 4 3 3" xfId="742"/>
    <cellStyle name="Обычный 5 2 4 4" xfId="192"/>
    <cellStyle name="Обычный 5 2 4 4 2" xfId="984"/>
    <cellStyle name="Обычный 5 2 4 5" xfId="861"/>
    <cellStyle name="Обычный 5 2 4 6" xfId="528"/>
    <cellStyle name="Обычный 5 2 5" xfId="58"/>
    <cellStyle name="Обычный 5 2 5 2" xfId="290"/>
    <cellStyle name="Обычный 5 2 5 2 2" xfId="1082"/>
    <cellStyle name="Обычный 5 2 5 2 3" xfId="626"/>
    <cellStyle name="Обычный 5 2 5 3" xfId="397"/>
    <cellStyle name="Обычный 5 2 5 3 2" xfId="1189"/>
    <cellStyle name="Обычный 5 2 5 3 3" xfId="733"/>
    <cellStyle name="Обычный 5 2 5 4" xfId="183"/>
    <cellStyle name="Обычный 5 2 5 4 2" xfId="975"/>
    <cellStyle name="Обычный 5 2 5 5" xfId="852"/>
    <cellStyle name="Обычный 5 2 5 6" xfId="519"/>
    <cellStyle name="Обычный 5 2 6" xfId="142"/>
    <cellStyle name="Обычный 5 2 6 2" xfId="935"/>
    <cellStyle name="Обычный 5 2 6 3" xfId="479"/>
    <cellStyle name="Обычный 5 2 7" xfId="250"/>
    <cellStyle name="Обычный 5 2 7 2" xfId="1042"/>
    <cellStyle name="Обычный 5 2 7 3" xfId="586"/>
    <cellStyle name="Обычный 5 2 8" xfId="357"/>
    <cellStyle name="Обычный 5 2 8 2" xfId="1149"/>
    <cellStyle name="Обычный 5 2 8 3" xfId="693"/>
    <cellStyle name="Обычный 5 2 9" xfId="122"/>
    <cellStyle name="Обычный 5 2 9 2" xfId="915"/>
    <cellStyle name="Обычный 5 3" xfId="12"/>
    <cellStyle name="Обычный 5 3 2" xfId="26"/>
    <cellStyle name="Обычный 5 3 2 2" xfId="98"/>
    <cellStyle name="Обычный 5 3 2 2 2" xfId="329"/>
    <cellStyle name="Обычный 5 3 2 2 2 2" xfId="1121"/>
    <cellStyle name="Обычный 5 3 2 2 2 3" xfId="665"/>
    <cellStyle name="Обычный 5 3 2 2 3" xfId="436"/>
    <cellStyle name="Обычный 5 3 2 2 3 2" xfId="1228"/>
    <cellStyle name="Обычный 5 3 2 2 3 3" xfId="772"/>
    <cellStyle name="Обычный 5 3 2 2 4" xfId="222"/>
    <cellStyle name="Обычный 5 3 2 2 4 2" xfId="1014"/>
    <cellStyle name="Обычный 5 3 2 2 5" xfId="891"/>
    <cellStyle name="Обычный 5 3 2 2 6" xfId="558"/>
    <cellStyle name="Обычный 5 3 2 3" xfId="258"/>
    <cellStyle name="Обычный 5 3 2 3 2" xfId="1050"/>
    <cellStyle name="Обычный 5 3 2 3 3" xfId="594"/>
    <cellStyle name="Обычный 5 3 2 4" xfId="365"/>
    <cellStyle name="Обычный 5 3 2 4 2" xfId="1157"/>
    <cellStyle name="Обычный 5 3 2 4 3" xfId="701"/>
    <cellStyle name="Обычный 5 3 2 5" xfId="151"/>
    <cellStyle name="Обычный 5 3 2 5 2" xfId="943"/>
    <cellStyle name="Обычный 5 3 2 6" xfId="820"/>
    <cellStyle name="Обычный 5 3 2 7" xfId="487"/>
    <cellStyle name="Обычный 5 3 3" xfId="54"/>
    <cellStyle name="Обычный 5 3 3 2" xfId="286"/>
    <cellStyle name="Обычный 5 3 3 2 2" xfId="1078"/>
    <cellStyle name="Обычный 5 3 3 2 3" xfId="622"/>
    <cellStyle name="Обычный 5 3 3 3" xfId="393"/>
    <cellStyle name="Обычный 5 3 3 3 2" xfId="1185"/>
    <cellStyle name="Обычный 5 3 3 3 3" xfId="729"/>
    <cellStyle name="Обычный 5 3 3 4" xfId="179"/>
    <cellStyle name="Обычный 5 3 3 4 2" xfId="971"/>
    <cellStyle name="Обычный 5 3 3 5" xfId="848"/>
    <cellStyle name="Обычный 5 3 3 6" xfId="515"/>
    <cellStyle name="Обычный 5 3 4" xfId="245"/>
    <cellStyle name="Обычный 5 3 4 2" xfId="1037"/>
    <cellStyle name="Обычный 5 3 4 3" xfId="581"/>
    <cellStyle name="Обычный 5 3 5" xfId="352"/>
    <cellStyle name="Обычный 5 3 5 2" xfId="1144"/>
    <cellStyle name="Обычный 5 3 5 3" xfId="688"/>
    <cellStyle name="Обычный 5 3 6" xfId="137"/>
    <cellStyle name="Обычный 5 3 6 2" xfId="930"/>
    <cellStyle name="Обычный 5 3 7" xfId="807"/>
    <cellStyle name="Обычный 5 3 8" xfId="474"/>
    <cellStyle name="Обычный 5 4" xfId="8"/>
    <cellStyle name="Обычный 5 4 10" xfId="791"/>
    <cellStyle name="Обычный 5 4 11" xfId="455"/>
    <cellStyle name="Обычный 5 4 2" xfId="20"/>
    <cellStyle name="Обычный 5 4 2 10" xfId="460"/>
    <cellStyle name="Обычный 5 4 2 2" xfId="32"/>
    <cellStyle name="Обычный 5 4 2 2 2" xfId="99"/>
    <cellStyle name="Обычный 5 4 2 2 2 2" xfId="330"/>
    <cellStyle name="Обычный 5 4 2 2 2 2 2" xfId="1122"/>
    <cellStyle name="Обычный 5 4 2 2 2 2 3" xfId="666"/>
    <cellStyle name="Обычный 5 4 2 2 2 3" xfId="437"/>
    <cellStyle name="Обычный 5 4 2 2 2 3 2" xfId="1229"/>
    <cellStyle name="Обычный 5 4 2 2 2 3 3" xfId="773"/>
    <cellStyle name="Обычный 5 4 2 2 2 4" xfId="223"/>
    <cellStyle name="Обычный 5 4 2 2 2 4 2" xfId="1015"/>
    <cellStyle name="Обычный 5 4 2 2 2 5" xfId="892"/>
    <cellStyle name="Обычный 5 4 2 2 2 6" xfId="559"/>
    <cellStyle name="Обычный 5 4 2 2 3" xfId="264"/>
    <cellStyle name="Обычный 5 4 2 2 3 2" xfId="1056"/>
    <cellStyle name="Обычный 5 4 2 2 3 3" xfId="600"/>
    <cellStyle name="Обычный 5 4 2 2 4" xfId="371"/>
    <cellStyle name="Обычный 5 4 2 2 4 2" xfId="1163"/>
    <cellStyle name="Обычный 5 4 2 2 4 3" xfId="707"/>
    <cellStyle name="Обычный 5 4 2 2 5" xfId="157"/>
    <cellStyle name="Обычный 5 4 2 2 5 2" xfId="949"/>
    <cellStyle name="Обычный 5 4 2 2 6" xfId="826"/>
    <cellStyle name="Обычный 5 4 2 2 7" xfId="493"/>
    <cellStyle name="Обычный 5 4 2 3" xfId="43"/>
    <cellStyle name="Обычный 5 4 2 3 2" xfId="275"/>
    <cellStyle name="Обычный 5 4 2 3 2 2" xfId="1067"/>
    <cellStyle name="Обычный 5 4 2 3 2 3" xfId="611"/>
    <cellStyle name="Обычный 5 4 2 3 3" xfId="382"/>
    <cellStyle name="Обычный 5 4 2 3 3 2" xfId="1174"/>
    <cellStyle name="Обычный 5 4 2 3 3 3" xfId="718"/>
    <cellStyle name="Обычный 5 4 2 3 4" xfId="168"/>
    <cellStyle name="Обычный 5 4 2 3 4 2" xfId="960"/>
    <cellStyle name="Обычный 5 4 2 3 5" xfId="837"/>
    <cellStyle name="Обычный 5 4 2 3 6" xfId="504"/>
    <cellStyle name="Обычный 5 4 2 4" xfId="59"/>
    <cellStyle name="Обычный 5 4 2 4 2" xfId="291"/>
    <cellStyle name="Обычный 5 4 2 4 2 2" xfId="1083"/>
    <cellStyle name="Обычный 5 4 2 4 2 3" xfId="627"/>
    <cellStyle name="Обычный 5 4 2 4 3" xfId="398"/>
    <cellStyle name="Обычный 5 4 2 4 3 2" xfId="1190"/>
    <cellStyle name="Обычный 5 4 2 4 3 3" xfId="734"/>
    <cellStyle name="Обычный 5 4 2 4 4" xfId="184"/>
    <cellStyle name="Обычный 5 4 2 4 4 2" xfId="976"/>
    <cellStyle name="Обычный 5 4 2 4 5" xfId="853"/>
    <cellStyle name="Обычный 5 4 2 4 6" xfId="520"/>
    <cellStyle name="Обычный 5 4 2 5" xfId="145"/>
    <cellStyle name="Обычный 5 4 2 5 2" xfId="937"/>
    <cellStyle name="Обычный 5 4 2 5 3" xfId="481"/>
    <cellStyle name="Обычный 5 4 2 6" xfId="252"/>
    <cellStyle name="Обычный 5 4 2 6 2" xfId="1044"/>
    <cellStyle name="Обычный 5 4 2 6 3" xfId="588"/>
    <cellStyle name="Обычный 5 4 2 7" xfId="359"/>
    <cellStyle name="Обычный 5 4 2 7 2" xfId="1151"/>
    <cellStyle name="Обычный 5 4 2 7 3" xfId="695"/>
    <cellStyle name="Обычный 5 4 2 8" xfId="123"/>
    <cellStyle name="Обычный 5 4 2 8 2" xfId="916"/>
    <cellStyle name="Обычный 5 4 2 9" xfId="814"/>
    <cellStyle name="Обычный 5 4 3" xfId="25"/>
    <cellStyle name="Обычный 5 4 3 2" xfId="45"/>
    <cellStyle name="Обычный 5 4 3 2 2" xfId="277"/>
    <cellStyle name="Обычный 5 4 3 2 2 2" xfId="1069"/>
    <cellStyle name="Обычный 5 4 3 2 2 3" xfId="613"/>
    <cellStyle name="Обычный 5 4 3 2 3" xfId="384"/>
    <cellStyle name="Обычный 5 4 3 2 3 2" xfId="1176"/>
    <cellStyle name="Обычный 5 4 3 2 3 3" xfId="720"/>
    <cellStyle name="Обычный 5 4 3 2 4" xfId="170"/>
    <cellStyle name="Обычный 5 4 3 2 4 2" xfId="962"/>
    <cellStyle name="Обычный 5 4 3 2 5" xfId="839"/>
    <cellStyle name="Обычный 5 4 3 2 6" xfId="506"/>
    <cellStyle name="Обычный 5 4 3 3" xfId="112"/>
    <cellStyle name="Обычный 5 4 3 3 2" xfId="343"/>
    <cellStyle name="Обычный 5 4 3 3 2 2" xfId="1135"/>
    <cellStyle name="Обычный 5 4 3 3 2 3" xfId="679"/>
    <cellStyle name="Обычный 5 4 3 3 3" xfId="450"/>
    <cellStyle name="Обычный 5 4 3 3 3 2" xfId="1242"/>
    <cellStyle name="Обычный 5 4 3 3 3 3" xfId="786"/>
    <cellStyle name="Обычный 5 4 3 3 4" xfId="236"/>
    <cellStyle name="Обычный 5 4 3 3 4 2" xfId="1028"/>
    <cellStyle name="Обычный 5 4 3 3 5" xfId="905"/>
    <cellStyle name="Обычный 5 4 3 3 6" xfId="572"/>
    <cellStyle name="Обычный 5 4 3 4" xfId="150"/>
    <cellStyle name="Обычный 5 4 3 4 2" xfId="942"/>
    <cellStyle name="Обычный 5 4 3 4 3" xfId="819"/>
    <cellStyle name="Обычный 5 4 3 4 4" xfId="486"/>
    <cellStyle name="Обычный 5 4 3 5" xfId="257"/>
    <cellStyle name="Обычный 5 4 3 5 2" xfId="1049"/>
    <cellStyle name="Обычный 5 4 3 5 3" xfId="593"/>
    <cellStyle name="Обычный 5 4 3 6" xfId="364"/>
    <cellStyle name="Обычный 5 4 3 6 2" xfId="1156"/>
    <cellStyle name="Обычный 5 4 3 6 3" xfId="700"/>
    <cellStyle name="Обычный 5 4 3 7" xfId="125"/>
    <cellStyle name="Обычный 5 4 3 7 2" xfId="918"/>
    <cellStyle name="Обычный 5 4 3 8" xfId="793"/>
    <cellStyle name="Обычный 5 4 3 9" xfId="462"/>
    <cellStyle name="Обычный 5 4 4" xfId="38"/>
    <cellStyle name="Обычный 5 4 4 2" xfId="94"/>
    <cellStyle name="Обычный 5 4 4 2 2" xfId="325"/>
    <cellStyle name="Обычный 5 4 4 2 2 2" xfId="1117"/>
    <cellStyle name="Обычный 5 4 4 2 2 3" xfId="661"/>
    <cellStyle name="Обычный 5 4 4 2 3" xfId="432"/>
    <cellStyle name="Обычный 5 4 4 2 3 2" xfId="1224"/>
    <cellStyle name="Обычный 5 4 4 2 3 3" xfId="768"/>
    <cellStyle name="Обычный 5 4 4 2 4" xfId="218"/>
    <cellStyle name="Обычный 5 4 4 2 4 2" xfId="1010"/>
    <cellStyle name="Обычный 5 4 4 2 5" xfId="887"/>
    <cellStyle name="Обычный 5 4 4 2 6" xfId="554"/>
    <cellStyle name="Обычный 5 4 4 3" xfId="270"/>
    <cellStyle name="Обычный 5 4 4 3 2" xfId="1062"/>
    <cellStyle name="Обычный 5 4 4 3 3" xfId="606"/>
    <cellStyle name="Обычный 5 4 4 4" xfId="377"/>
    <cellStyle name="Обычный 5 4 4 4 2" xfId="1169"/>
    <cellStyle name="Обычный 5 4 4 4 3" xfId="713"/>
    <cellStyle name="Обычный 5 4 4 5" xfId="163"/>
    <cellStyle name="Обычный 5 4 4 5 2" xfId="955"/>
    <cellStyle name="Обычный 5 4 4 6" xfId="832"/>
    <cellStyle name="Обычный 5 4 4 7" xfId="499"/>
    <cellStyle name="Обычный 5 4 5" xfId="53"/>
    <cellStyle name="Обычный 5 4 5 2" xfId="285"/>
    <cellStyle name="Обычный 5 4 5 2 2" xfId="1077"/>
    <cellStyle name="Обычный 5 4 5 2 3" xfId="621"/>
    <cellStyle name="Обычный 5 4 5 3" xfId="392"/>
    <cellStyle name="Обычный 5 4 5 3 2" xfId="1184"/>
    <cellStyle name="Обычный 5 4 5 3 3" xfId="728"/>
    <cellStyle name="Обычный 5 4 5 4" xfId="178"/>
    <cellStyle name="Обычный 5 4 5 4 2" xfId="970"/>
    <cellStyle name="Обычный 5 4 5 5" xfId="847"/>
    <cellStyle name="Обычный 5 4 5 6" xfId="514"/>
    <cellStyle name="Обычный 5 4 6" xfId="133"/>
    <cellStyle name="Обычный 5 4 6 2" xfId="926"/>
    <cellStyle name="Обычный 5 4 6 3" xfId="803"/>
    <cellStyle name="Обычный 5 4 6 4" xfId="470"/>
    <cellStyle name="Обычный 5 4 7" xfId="241"/>
    <cellStyle name="Обычный 5 4 7 2" xfId="1033"/>
    <cellStyle name="Обычный 5 4 7 3" xfId="577"/>
    <cellStyle name="Обычный 5 4 8" xfId="348"/>
    <cellStyle name="Обычный 5 4 8 2" xfId="1140"/>
    <cellStyle name="Обычный 5 4 8 3" xfId="684"/>
    <cellStyle name="Обычный 5 4 9" xfId="118"/>
    <cellStyle name="Обычный 5 4 9 2" xfId="911"/>
    <cellStyle name="Обычный 5 5" xfId="24"/>
    <cellStyle name="Обычный 5 5 2" xfId="103"/>
    <cellStyle name="Обычный 5 5 2 2" xfId="334"/>
    <cellStyle name="Обычный 5 5 2 2 2" xfId="1126"/>
    <cellStyle name="Обычный 5 5 2 2 3" xfId="670"/>
    <cellStyle name="Обычный 5 5 2 3" xfId="441"/>
    <cellStyle name="Обычный 5 5 2 3 2" xfId="1233"/>
    <cellStyle name="Обычный 5 5 2 3 3" xfId="777"/>
    <cellStyle name="Обычный 5 5 2 4" xfId="227"/>
    <cellStyle name="Обычный 5 5 2 4 2" xfId="1019"/>
    <cellStyle name="Обычный 5 5 2 5" xfId="896"/>
    <cellStyle name="Обычный 5 5 2 6" xfId="563"/>
    <cellStyle name="Обычный 5 5 3" xfId="256"/>
    <cellStyle name="Обычный 5 5 3 2" xfId="1048"/>
    <cellStyle name="Обычный 5 5 3 3" xfId="592"/>
    <cellStyle name="Обычный 5 5 4" xfId="363"/>
    <cellStyle name="Обычный 5 5 4 2" xfId="1155"/>
    <cellStyle name="Обычный 5 5 4 3" xfId="699"/>
    <cellStyle name="Обычный 5 5 5" xfId="149"/>
    <cellStyle name="Обычный 5 5 5 2" xfId="941"/>
    <cellStyle name="Обычный 5 5 6" xfId="818"/>
    <cellStyle name="Обычный 5 5 7" xfId="485"/>
    <cellStyle name="Обычный 5 6" xfId="37"/>
    <cellStyle name="Обычный 5 6 2" xfId="111"/>
    <cellStyle name="Обычный 5 6 2 2" xfId="342"/>
    <cellStyle name="Обычный 5 6 2 2 2" xfId="1134"/>
    <cellStyle name="Обычный 5 6 2 2 3" xfId="678"/>
    <cellStyle name="Обычный 5 6 2 3" xfId="449"/>
    <cellStyle name="Обычный 5 6 2 3 2" xfId="1241"/>
    <cellStyle name="Обычный 5 6 2 3 3" xfId="785"/>
    <cellStyle name="Обычный 5 6 2 4" xfId="235"/>
    <cellStyle name="Обычный 5 6 2 4 2" xfId="1027"/>
    <cellStyle name="Обычный 5 6 2 5" xfId="904"/>
    <cellStyle name="Обычный 5 6 2 6" xfId="571"/>
    <cellStyle name="Обычный 5 6 3" xfId="269"/>
    <cellStyle name="Обычный 5 6 3 2" xfId="1061"/>
    <cellStyle name="Обычный 5 6 3 3" xfId="605"/>
    <cellStyle name="Обычный 5 6 4" xfId="376"/>
    <cellStyle name="Обычный 5 6 4 2" xfId="1168"/>
    <cellStyle name="Обычный 5 6 4 3" xfId="712"/>
    <cellStyle name="Обычный 5 6 5" xfId="162"/>
    <cellStyle name="Обычный 5 6 5 2" xfId="954"/>
    <cellStyle name="Обычный 5 6 6" xfId="831"/>
    <cellStyle name="Обычный 5 6 7" xfId="498"/>
    <cellStyle name="Обычный 5 7" xfId="86"/>
    <cellStyle name="Обычный 5 7 2" xfId="318"/>
    <cellStyle name="Обычный 5 7 2 2" xfId="1110"/>
    <cellStyle name="Обычный 5 7 2 3" xfId="654"/>
    <cellStyle name="Обычный 5 7 3" xfId="425"/>
    <cellStyle name="Обычный 5 7 3 2" xfId="1217"/>
    <cellStyle name="Обычный 5 7 3 3" xfId="761"/>
    <cellStyle name="Обычный 5 7 4" xfId="211"/>
    <cellStyle name="Обычный 5 7 4 2" xfId="1003"/>
    <cellStyle name="Обычный 5 7 5" xfId="880"/>
    <cellStyle name="Обычный 5 7 6" xfId="547"/>
    <cellStyle name="Обычный 5 8" xfId="74"/>
    <cellStyle name="Обычный 5 8 2" xfId="306"/>
    <cellStyle name="Обычный 5 8 2 2" xfId="1098"/>
    <cellStyle name="Обычный 5 8 2 3" xfId="642"/>
    <cellStyle name="Обычный 5 8 3" xfId="413"/>
    <cellStyle name="Обычный 5 8 3 2" xfId="1205"/>
    <cellStyle name="Обычный 5 8 3 3" xfId="749"/>
    <cellStyle name="Обычный 5 8 4" xfId="199"/>
    <cellStyle name="Обычный 5 8 4 2" xfId="991"/>
    <cellStyle name="Обычный 5 8 5" xfId="868"/>
    <cellStyle name="Обычный 5 8 6" xfId="535"/>
    <cellStyle name="Обычный 5 9" xfId="63"/>
    <cellStyle name="Обычный 5 9 2" xfId="295"/>
    <cellStyle name="Обычный 5 9 2 2" xfId="1087"/>
    <cellStyle name="Обычный 5 9 2 3" xfId="631"/>
    <cellStyle name="Обычный 5 9 3" xfId="402"/>
    <cellStyle name="Обычный 5 9 3 2" xfId="1194"/>
    <cellStyle name="Обычный 5 9 3 3" xfId="738"/>
    <cellStyle name="Обычный 5 9 4" xfId="188"/>
    <cellStyle name="Обычный 5 9 4 2" xfId="980"/>
    <cellStyle name="Обычный 5 9 5" xfId="857"/>
    <cellStyle name="Обычный 5 9 6" xfId="524"/>
    <cellStyle name="Обычный 6" xfId="31"/>
    <cellStyle name="Обычный 6 2" xfId="76"/>
    <cellStyle name="Обычный 6 2 2" xfId="308"/>
    <cellStyle name="Обычный 6 2 2 2" xfId="1100"/>
    <cellStyle name="Обычный 6 2 2 3" xfId="644"/>
    <cellStyle name="Обычный 6 2 3" xfId="415"/>
    <cellStyle name="Обычный 6 2 3 2" xfId="1207"/>
    <cellStyle name="Обычный 6 2 3 3" xfId="751"/>
    <cellStyle name="Обычный 6 2 4" xfId="201"/>
    <cellStyle name="Обычный 6 2 4 2" xfId="993"/>
    <cellStyle name="Обычный 6 2 5" xfId="870"/>
    <cellStyle name="Обычный 6 2 6" xfId="537"/>
    <cellStyle name="Обычный 6 3" xfId="52"/>
    <cellStyle name="Обычный 6 3 2" xfId="284"/>
    <cellStyle name="Обычный 6 3 2 2" xfId="1076"/>
    <cellStyle name="Обычный 6 3 2 3" xfId="620"/>
    <cellStyle name="Обычный 6 3 3" xfId="391"/>
    <cellStyle name="Обычный 6 3 3 2" xfId="1183"/>
    <cellStyle name="Обычный 6 3 3 3" xfId="727"/>
    <cellStyle name="Обычный 6 3 4" xfId="177"/>
    <cellStyle name="Обычный 6 3 4 2" xfId="969"/>
    <cellStyle name="Обычный 6 3 5" xfId="846"/>
    <cellStyle name="Обычный 6 3 6" xfId="513"/>
    <cellStyle name="Обычный 6 4" xfId="113"/>
    <cellStyle name="Обычный 6 4 2" xfId="263"/>
    <cellStyle name="Обычный 6 4 2 2" xfId="1055"/>
    <cellStyle name="Обычный 6 4 3" xfId="825"/>
    <cellStyle name="Обычный 6 4 4" xfId="599"/>
    <cellStyle name="Обычный 6 5" xfId="370"/>
    <cellStyle name="Обычный 6 5 2" xfId="1162"/>
    <cellStyle name="Обычный 6 5 3" xfId="706"/>
    <cellStyle name="Обычный 6 6" xfId="156"/>
    <cellStyle name="Обычный 6 6 2" xfId="948"/>
    <cellStyle name="Обычный 6 7" xfId="798"/>
    <cellStyle name="Обычный 6 8" xfId="492"/>
    <cellStyle name="Финансовый 2" xfId="13"/>
    <cellStyle name="Финансовый 2 10" xfId="808"/>
    <cellStyle name="Финансовый 2 11" xfId="475"/>
    <cellStyle name="Финансовый 2 2" xfId="18"/>
    <cellStyle name="Финансовый 2 2 2" xfId="92"/>
    <cellStyle name="Финансовый 2 2 2 2" xfId="324"/>
    <cellStyle name="Финансовый 2 2 2 2 2" xfId="1116"/>
    <cellStyle name="Финансовый 2 2 2 2 3" xfId="660"/>
    <cellStyle name="Финансовый 2 2 2 3" xfId="431"/>
    <cellStyle name="Финансовый 2 2 2 3 2" xfId="1223"/>
    <cellStyle name="Финансовый 2 2 2 3 3" xfId="767"/>
    <cellStyle name="Финансовый 2 2 2 4" xfId="217"/>
    <cellStyle name="Финансовый 2 2 2 4 2" xfId="1009"/>
    <cellStyle name="Финансовый 2 2 2 5" xfId="886"/>
    <cellStyle name="Финансовый 2 2 2 6" xfId="553"/>
    <cellStyle name="Финансовый 2 2 3" xfId="82"/>
    <cellStyle name="Финансовый 2 2 3 2" xfId="314"/>
    <cellStyle name="Финансовый 2 2 3 2 2" xfId="1106"/>
    <cellStyle name="Финансовый 2 2 3 2 3" xfId="650"/>
    <cellStyle name="Финансовый 2 2 3 3" xfId="421"/>
    <cellStyle name="Финансовый 2 2 3 3 2" xfId="1213"/>
    <cellStyle name="Финансовый 2 2 3 3 3" xfId="757"/>
    <cellStyle name="Финансовый 2 2 3 4" xfId="207"/>
    <cellStyle name="Финансовый 2 2 3 4 2" xfId="999"/>
    <cellStyle name="Финансовый 2 2 3 5" xfId="876"/>
    <cellStyle name="Финансовый 2 2 3 6" xfId="543"/>
    <cellStyle name="Финансовый 2 2 4" xfId="251"/>
    <cellStyle name="Финансовый 2 2 4 2" xfId="1043"/>
    <cellStyle name="Финансовый 2 2 4 3" xfId="587"/>
    <cellStyle name="Финансовый 2 2 5" xfId="358"/>
    <cellStyle name="Финансовый 2 2 5 2" xfId="1150"/>
    <cellStyle name="Финансовый 2 2 5 3" xfId="694"/>
    <cellStyle name="Финансовый 2 2 6" xfId="143"/>
    <cellStyle name="Финансовый 2 2 6 2" xfId="936"/>
    <cellStyle name="Финансовый 2 2 7" xfId="813"/>
    <cellStyle name="Финансовый 2 2 8" xfId="480"/>
    <cellStyle name="Финансовый 2 3" xfId="104"/>
    <cellStyle name="Финансовый 2 3 2" xfId="335"/>
    <cellStyle name="Финансовый 2 3 2 2" xfId="1127"/>
    <cellStyle name="Финансовый 2 3 2 3" xfId="671"/>
    <cellStyle name="Финансовый 2 3 3" xfId="442"/>
    <cellStyle name="Финансовый 2 3 3 2" xfId="1234"/>
    <cellStyle name="Финансовый 2 3 3 3" xfId="778"/>
    <cellStyle name="Финансовый 2 3 4" xfId="228"/>
    <cellStyle name="Финансовый 2 3 4 2" xfId="1020"/>
    <cellStyle name="Финансовый 2 3 5" xfId="897"/>
    <cellStyle name="Финансовый 2 3 6" xfId="564"/>
    <cellStyle name="Финансовый 2 4" xfId="87"/>
    <cellStyle name="Финансовый 2 4 2" xfId="319"/>
    <cellStyle name="Финансовый 2 4 2 2" xfId="1111"/>
    <cellStyle name="Финансовый 2 4 2 3" xfId="655"/>
    <cellStyle name="Финансовый 2 4 3" xfId="426"/>
    <cellStyle name="Финансовый 2 4 3 2" xfId="1218"/>
    <cellStyle name="Финансовый 2 4 3 3" xfId="762"/>
    <cellStyle name="Финансовый 2 4 4" xfId="212"/>
    <cellStyle name="Финансовый 2 4 4 2" xfId="1004"/>
    <cellStyle name="Финансовый 2 4 5" xfId="881"/>
    <cellStyle name="Финансовый 2 4 6" xfId="548"/>
    <cellStyle name="Финансовый 2 5" xfId="75"/>
    <cellStyle name="Финансовый 2 5 2" xfId="307"/>
    <cellStyle name="Финансовый 2 5 2 2" xfId="1099"/>
    <cellStyle name="Финансовый 2 5 2 3" xfId="643"/>
    <cellStyle name="Финансовый 2 5 3" xfId="414"/>
    <cellStyle name="Финансовый 2 5 3 2" xfId="1206"/>
    <cellStyle name="Финансовый 2 5 3 3" xfId="750"/>
    <cellStyle name="Финансовый 2 5 4" xfId="200"/>
    <cellStyle name="Финансовый 2 5 4 2" xfId="992"/>
    <cellStyle name="Финансовый 2 5 5" xfId="869"/>
    <cellStyle name="Финансовый 2 5 6" xfId="536"/>
    <cellStyle name="Финансовый 2 6" xfId="68"/>
    <cellStyle name="Финансовый 2 6 2" xfId="300"/>
    <cellStyle name="Финансовый 2 6 2 2" xfId="1092"/>
    <cellStyle name="Финансовый 2 6 2 3" xfId="636"/>
    <cellStyle name="Финансовый 2 6 3" xfId="407"/>
    <cellStyle name="Финансовый 2 6 3 2" xfId="1199"/>
    <cellStyle name="Финансовый 2 6 3 3" xfId="743"/>
    <cellStyle name="Финансовый 2 6 4" xfId="193"/>
    <cellStyle name="Финансовый 2 6 4 2" xfId="985"/>
    <cellStyle name="Финансовый 2 6 5" xfId="862"/>
    <cellStyle name="Финансовый 2 6 6" xfId="529"/>
    <cellStyle name="Финансовый 2 7" xfId="246"/>
    <cellStyle name="Финансовый 2 7 2" xfId="1038"/>
    <cellStyle name="Финансовый 2 7 3" xfId="582"/>
    <cellStyle name="Финансовый 2 8" xfId="353"/>
    <cellStyle name="Финансовый 2 8 2" xfId="1145"/>
    <cellStyle name="Финансовый 2 8 3" xfId="689"/>
    <cellStyle name="Финансовый 2 9" xfId="138"/>
    <cellStyle name="Финансовый 2 9 2" xfId="931"/>
    <cellStyle name="Финансовый 3" xfId="77"/>
    <cellStyle name="Финансовый 3 2" xfId="309"/>
    <cellStyle name="Финансовый 3 2 2" xfId="1101"/>
    <cellStyle name="Финансовый 3 2 3" xfId="645"/>
    <cellStyle name="Финансовый 3 3" xfId="416"/>
    <cellStyle name="Финансовый 3 3 2" xfId="1208"/>
    <cellStyle name="Финансовый 3 3 3" xfId="752"/>
    <cellStyle name="Финансовый 3 4" xfId="202"/>
    <cellStyle name="Финансовый 3 4 2" xfId="994"/>
    <cellStyle name="Финансовый 3 5" xfId="871"/>
    <cellStyle name="Финансовый 3 6" xfId="53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5" sqref="K5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5"/>
      <c r="L1" s="105"/>
      <c r="M1" s="105"/>
      <c r="N1" s="105"/>
    </row>
    <row r="2" spans="1:18" ht="42" customHeight="1">
      <c r="A2" s="213" t="s">
        <v>174</v>
      </c>
      <c r="B2" s="213"/>
      <c r="C2" s="213"/>
      <c r="D2" s="213"/>
      <c r="E2" s="213"/>
      <c r="F2" s="213"/>
      <c r="G2" s="213"/>
      <c r="H2" s="213"/>
      <c r="I2" s="213"/>
      <c r="J2" s="213"/>
      <c r="K2" s="105"/>
      <c r="L2" s="105"/>
      <c r="M2" s="105"/>
      <c r="N2" s="105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5"/>
      <c r="L3" s="105"/>
      <c r="M3" s="105"/>
      <c r="N3" s="105"/>
    </row>
    <row r="4" spans="1:18">
      <c r="A4" s="1" t="s">
        <v>0</v>
      </c>
      <c r="E4" s="112">
        <v>45292</v>
      </c>
      <c r="K4" s="105"/>
      <c r="L4" s="105"/>
      <c r="M4" s="105"/>
      <c r="N4" s="105"/>
    </row>
    <row r="5" spans="1:18">
      <c r="A5" s="1" t="s">
        <v>1</v>
      </c>
      <c r="E5" s="112">
        <v>45657</v>
      </c>
      <c r="K5" s="105"/>
      <c r="L5" s="105"/>
      <c r="M5" s="105"/>
      <c r="N5" s="105"/>
    </row>
    <row r="6" spans="1:18" ht="12" customHeight="1">
      <c r="E6" s="3"/>
      <c r="K6" s="105"/>
      <c r="L6" s="105"/>
      <c r="M6" s="105"/>
      <c r="N6" s="105"/>
    </row>
    <row r="7" spans="1:18">
      <c r="A7" s="11" t="s">
        <v>32</v>
      </c>
      <c r="K7" s="105"/>
      <c r="L7" s="105"/>
      <c r="M7" s="105"/>
      <c r="N7" s="105"/>
    </row>
    <row r="8" spans="1:18" ht="18.75" customHeight="1" outlineLevel="1">
      <c r="A8" s="210" t="s">
        <v>2</v>
      </c>
      <c r="B8" s="211"/>
      <c r="C8" s="211"/>
      <c r="D8" s="211"/>
      <c r="E8" s="211"/>
      <c r="F8" s="211"/>
      <c r="G8" s="211"/>
      <c r="H8" s="211"/>
      <c r="I8" s="212"/>
      <c r="J8" s="17">
        <f t="shared" ref="J8:J24" si="0">VLOOKUP(O8,АО,3,FALSE)</f>
        <v>0</v>
      </c>
      <c r="K8" s="105"/>
      <c r="L8" s="214"/>
      <c r="M8" s="105"/>
      <c r="N8" s="105"/>
      <c r="O8" s="66" t="s">
        <v>80</v>
      </c>
      <c r="R8" s="16"/>
    </row>
    <row r="9" spans="1:18" ht="18.75" customHeight="1" outlineLevel="1">
      <c r="A9" s="210" t="s">
        <v>3</v>
      </c>
      <c r="B9" s="211"/>
      <c r="C9" s="211"/>
      <c r="D9" s="211"/>
      <c r="E9" s="211"/>
      <c r="F9" s="211"/>
      <c r="G9" s="211"/>
      <c r="H9" s="211"/>
      <c r="I9" s="212"/>
      <c r="J9" s="17">
        <f t="shared" si="0"/>
        <v>0</v>
      </c>
      <c r="K9" s="105"/>
      <c r="L9" s="214"/>
      <c r="M9" s="105"/>
      <c r="N9" s="105"/>
      <c r="O9" s="66" t="s">
        <v>81</v>
      </c>
    </row>
    <row r="10" spans="1:18" ht="18.75" customHeight="1" outlineLevel="1">
      <c r="A10" s="210" t="s">
        <v>4</v>
      </c>
      <c r="B10" s="211"/>
      <c r="C10" s="211"/>
      <c r="D10" s="211"/>
      <c r="E10" s="211"/>
      <c r="F10" s="211"/>
      <c r="G10" s="211"/>
      <c r="H10" s="211"/>
      <c r="I10" s="212"/>
      <c r="J10" s="17">
        <f t="shared" si="0"/>
        <v>251880.23</v>
      </c>
      <c r="K10" s="105"/>
      <c r="L10" s="214"/>
      <c r="M10" s="105"/>
      <c r="N10" s="105"/>
      <c r="O10" s="66" t="s">
        <v>82</v>
      </c>
    </row>
    <row r="11" spans="1:18" outlineLevel="1">
      <c r="A11" s="210" t="s">
        <v>5</v>
      </c>
      <c r="B11" s="211"/>
      <c r="C11" s="211"/>
      <c r="D11" s="211"/>
      <c r="E11" s="211"/>
      <c r="F11" s="211"/>
      <c r="G11" s="211"/>
      <c r="H11" s="211"/>
      <c r="I11" s="212"/>
      <c r="J11" s="17">
        <f t="shared" si="0"/>
        <v>1275787.5</v>
      </c>
      <c r="K11" s="105"/>
      <c r="L11" s="214"/>
      <c r="M11" s="105"/>
      <c r="N11" s="105"/>
      <c r="O11" s="66" t="s">
        <v>83</v>
      </c>
    </row>
    <row r="12" spans="1:18" ht="18.75" customHeight="1" outlineLevel="1">
      <c r="A12" s="210" t="s">
        <v>6</v>
      </c>
      <c r="B12" s="211"/>
      <c r="C12" s="211"/>
      <c r="D12" s="211"/>
      <c r="E12" s="211"/>
      <c r="F12" s="211"/>
      <c r="G12" s="211"/>
      <c r="H12" s="211"/>
      <c r="I12" s="212"/>
      <c r="J12" s="17">
        <f t="shared" si="0"/>
        <v>815751.84</v>
      </c>
      <c r="K12" s="105"/>
      <c r="L12" s="214"/>
      <c r="M12" s="105"/>
      <c r="N12" s="105"/>
      <c r="O12" s="66" t="s">
        <v>84</v>
      </c>
    </row>
    <row r="13" spans="1:18" ht="18.75" customHeight="1" outlineLevel="1">
      <c r="A13" s="210" t="s">
        <v>7</v>
      </c>
      <c r="B13" s="211"/>
      <c r="C13" s="211"/>
      <c r="D13" s="211"/>
      <c r="E13" s="211"/>
      <c r="F13" s="211"/>
      <c r="G13" s="211"/>
      <c r="H13" s="211"/>
      <c r="I13" s="212"/>
      <c r="J13" s="17">
        <f t="shared" si="0"/>
        <v>228462</v>
      </c>
      <c r="K13" s="105"/>
      <c r="L13" s="214"/>
      <c r="M13" s="105"/>
      <c r="N13" s="105"/>
      <c r="O13" s="66" t="s">
        <v>85</v>
      </c>
    </row>
    <row r="14" spans="1:18" ht="18.75" customHeight="1" outlineLevel="1">
      <c r="A14" s="210" t="s">
        <v>8</v>
      </c>
      <c r="B14" s="211"/>
      <c r="C14" s="211"/>
      <c r="D14" s="211"/>
      <c r="E14" s="211"/>
      <c r="F14" s="211"/>
      <c r="G14" s="211"/>
      <c r="H14" s="211"/>
      <c r="I14" s="212"/>
      <c r="J14" s="17">
        <f t="shared" si="0"/>
        <v>231573.66</v>
      </c>
      <c r="K14" s="105"/>
      <c r="L14" s="214"/>
      <c r="M14" s="105"/>
      <c r="N14" s="105"/>
      <c r="O14" s="66" t="s">
        <v>86</v>
      </c>
    </row>
    <row r="15" spans="1:18" ht="18.75" customHeight="1" outlineLevel="1">
      <c r="A15" s="210" t="s">
        <v>9</v>
      </c>
      <c r="B15" s="211"/>
      <c r="C15" s="211"/>
      <c r="D15" s="211"/>
      <c r="E15" s="211"/>
      <c r="F15" s="211"/>
      <c r="G15" s="211"/>
      <c r="H15" s="211"/>
      <c r="I15" s="212"/>
      <c r="J15" s="17">
        <f t="shared" si="0"/>
        <v>1247756.1599999999</v>
      </c>
      <c r="K15" s="105"/>
      <c r="L15" s="214"/>
      <c r="M15" s="105"/>
      <c r="N15" s="105"/>
      <c r="O15" s="66" t="s">
        <v>87</v>
      </c>
    </row>
    <row r="16" spans="1:18" ht="18.75" customHeight="1" outlineLevel="1">
      <c r="A16" s="210" t="s">
        <v>10</v>
      </c>
      <c r="B16" s="211"/>
      <c r="C16" s="211"/>
      <c r="D16" s="211"/>
      <c r="E16" s="211"/>
      <c r="F16" s="211"/>
      <c r="G16" s="211"/>
      <c r="H16" s="211"/>
      <c r="I16" s="212"/>
      <c r="J16" s="17">
        <f t="shared" si="0"/>
        <v>1247756.1599999999</v>
      </c>
      <c r="K16" s="105"/>
      <c r="L16" s="214"/>
      <c r="M16" s="105"/>
      <c r="N16" s="105"/>
      <c r="O16" s="66" t="s">
        <v>88</v>
      </c>
    </row>
    <row r="17" spans="1:23" ht="18.75" customHeight="1" outlineLevel="1">
      <c r="A17" s="210" t="s">
        <v>11</v>
      </c>
      <c r="B17" s="211"/>
      <c r="C17" s="211"/>
      <c r="D17" s="211"/>
      <c r="E17" s="211"/>
      <c r="F17" s="211"/>
      <c r="G17" s="211"/>
      <c r="H17" s="211"/>
      <c r="I17" s="212"/>
      <c r="J17" s="17">
        <f t="shared" si="0"/>
        <v>0</v>
      </c>
      <c r="K17" s="105"/>
      <c r="L17" s="214"/>
      <c r="M17" s="105"/>
      <c r="N17" s="105"/>
      <c r="O17" s="66" t="s">
        <v>89</v>
      </c>
    </row>
    <row r="18" spans="1:23" ht="18.75" customHeight="1" outlineLevel="1">
      <c r="A18" s="210" t="s">
        <v>12</v>
      </c>
      <c r="B18" s="211"/>
      <c r="C18" s="211"/>
      <c r="D18" s="211"/>
      <c r="E18" s="211"/>
      <c r="F18" s="211"/>
      <c r="G18" s="211"/>
      <c r="H18" s="211"/>
      <c r="I18" s="212"/>
      <c r="J18" s="17">
        <f t="shared" si="0"/>
        <v>0</v>
      </c>
      <c r="K18" s="105"/>
      <c r="L18" s="214"/>
      <c r="M18" s="105"/>
      <c r="N18" s="105"/>
      <c r="O18" s="66" t="s">
        <v>90</v>
      </c>
    </row>
    <row r="19" spans="1:23" ht="18.75" customHeight="1" outlineLevel="1">
      <c r="A19" s="210" t="s">
        <v>13</v>
      </c>
      <c r="B19" s="211"/>
      <c r="C19" s="211"/>
      <c r="D19" s="211"/>
      <c r="E19" s="211"/>
      <c r="F19" s="211"/>
      <c r="G19" s="211"/>
      <c r="H19" s="211"/>
      <c r="I19" s="212"/>
      <c r="J19" s="17">
        <f t="shared" si="0"/>
        <v>0</v>
      </c>
      <c r="K19" s="105"/>
      <c r="L19" s="214"/>
      <c r="M19" s="105"/>
      <c r="N19" s="105"/>
      <c r="O19" s="66" t="s">
        <v>91</v>
      </c>
    </row>
    <row r="20" spans="1:23" ht="18.75" customHeight="1" outlineLevel="1">
      <c r="A20" s="210" t="s">
        <v>14</v>
      </c>
      <c r="B20" s="211"/>
      <c r="C20" s="211"/>
      <c r="D20" s="211"/>
      <c r="E20" s="211"/>
      <c r="F20" s="211"/>
      <c r="G20" s="211"/>
      <c r="H20" s="211"/>
      <c r="I20" s="212"/>
      <c r="J20" s="17">
        <f t="shared" si="0"/>
        <v>0</v>
      </c>
      <c r="K20" s="105"/>
      <c r="L20" s="214"/>
      <c r="M20" s="105"/>
      <c r="N20" s="105"/>
      <c r="O20" s="66" t="s">
        <v>92</v>
      </c>
    </row>
    <row r="21" spans="1:23" ht="18.75" customHeight="1" outlineLevel="1">
      <c r="A21" s="210" t="s">
        <v>15</v>
      </c>
      <c r="B21" s="211"/>
      <c r="C21" s="211"/>
      <c r="D21" s="211"/>
      <c r="E21" s="211"/>
      <c r="F21" s="211"/>
      <c r="G21" s="211"/>
      <c r="H21" s="211"/>
      <c r="I21" s="212"/>
      <c r="J21" s="17">
        <f t="shared" si="0"/>
        <v>1247756.1599999999</v>
      </c>
      <c r="K21" s="105"/>
      <c r="L21" s="214"/>
      <c r="M21" s="105"/>
      <c r="N21" s="105"/>
      <c r="O21" s="66" t="s">
        <v>93</v>
      </c>
    </row>
    <row r="22" spans="1:23" ht="18.75" customHeight="1" outlineLevel="1">
      <c r="A22" s="210" t="s">
        <v>16</v>
      </c>
      <c r="B22" s="211"/>
      <c r="C22" s="211"/>
      <c r="D22" s="211"/>
      <c r="E22" s="211"/>
      <c r="F22" s="211"/>
      <c r="G22" s="211"/>
      <c r="H22" s="211"/>
      <c r="I22" s="212"/>
      <c r="J22" s="17">
        <f t="shared" si="0"/>
        <v>0</v>
      </c>
      <c r="K22" s="105"/>
      <c r="L22" s="214"/>
      <c r="M22" s="105"/>
      <c r="N22" s="105"/>
      <c r="O22" s="66" t="s">
        <v>94</v>
      </c>
    </row>
    <row r="23" spans="1:23" ht="18.75" customHeight="1" outlineLevel="1">
      <c r="A23" s="210" t="s">
        <v>17</v>
      </c>
      <c r="B23" s="211"/>
      <c r="C23" s="211"/>
      <c r="D23" s="211"/>
      <c r="E23" s="211"/>
      <c r="F23" s="211"/>
      <c r="G23" s="211"/>
      <c r="H23" s="211"/>
      <c r="I23" s="212"/>
      <c r="J23" s="17">
        <f t="shared" si="0"/>
        <v>0</v>
      </c>
      <c r="K23" s="105"/>
      <c r="L23" s="214"/>
      <c r="M23" s="105"/>
      <c r="N23" s="105"/>
      <c r="O23" s="66" t="s">
        <v>95</v>
      </c>
    </row>
    <row r="24" spans="1:23" ht="18.75" customHeight="1" outlineLevel="1">
      <c r="A24" s="210" t="s">
        <v>18</v>
      </c>
      <c r="B24" s="211"/>
      <c r="C24" s="211"/>
      <c r="D24" s="211"/>
      <c r="E24" s="211"/>
      <c r="F24" s="211"/>
      <c r="G24" s="211"/>
      <c r="H24" s="211"/>
      <c r="I24" s="212"/>
      <c r="J24" s="17">
        <f t="shared" si="0"/>
        <v>279911.57000000007</v>
      </c>
      <c r="K24" s="105"/>
      <c r="L24" s="214"/>
      <c r="M24" s="105"/>
      <c r="N24" s="105"/>
      <c r="O24" s="66" t="s">
        <v>96</v>
      </c>
    </row>
    <row r="25" spans="1:23">
      <c r="A25" s="4"/>
      <c r="K25" s="105"/>
      <c r="L25" s="105"/>
      <c r="M25" s="105"/>
      <c r="N25" s="105"/>
    </row>
    <row r="26" spans="1:23">
      <c r="A26" s="11" t="s">
        <v>31</v>
      </c>
      <c r="K26" s="105"/>
      <c r="L26" s="105"/>
      <c r="M26" s="105"/>
      <c r="N26" s="105"/>
    </row>
    <row r="27" spans="1:23" ht="92.25" customHeight="1" outlineLevel="1">
      <c r="A27" s="197" t="s">
        <v>19</v>
      </c>
      <c r="B27" s="197"/>
      <c r="C27" s="197"/>
      <c r="D27" s="197"/>
      <c r="E27" s="197"/>
      <c r="F27" s="197" t="s">
        <v>20</v>
      </c>
      <c r="G27" s="197"/>
      <c r="H27" s="5" t="s">
        <v>56</v>
      </c>
      <c r="I27" s="197" t="s">
        <v>21</v>
      </c>
      <c r="J27" s="197"/>
      <c r="K27" s="105"/>
      <c r="L27" s="215"/>
      <c r="M27" s="105"/>
      <c r="N27" s="105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91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91"/>
      <c r="C28" s="191"/>
      <c r="D28" s="191"/>
      <c r="E28" s="191"/>
      <c r="F28" s="192">
        <f>VLOOKUP(A28,ПТО!$A$39:$D$53,2,FALSE)</f>
        <v>304692.15399999992</v>
      </c>
      <c r="G28" s="192"/>
      <c r="H28" s="6" t="str">
        <f>VLOOKUP(A28,ПТО!$A$39:$D$53,3,FALSE)</f>
        <v>Ежемесячно</v>
      </c>
      <c r="I28" s="193">
        <f>VLOOKUP(A28,ПТО!$A$39:$D$53,4,FALSE)</f>
        <v>12</v>
      </c>
      <c r="J28" s="193"/>
      <c r="K28" s="105"/>
      <c r="L28" s="215"/>
      <c r="M28" s="105"/>
      <c r="N28" s="105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91" t="str">
        <f>ПТО!A40</f>
        <v>Работы по содержанию лифта (лифтов)</v>
      </c>
      <c r="B29" s="191"/>
      <c r="C29" s="191"/>
      <c r="D29" s="191"/>
      <c r="E29" s="191"/>
      <c r="F29" s="192">
        <f>VLOOKUP(A29,ПТО!$A$39:$D$53,2,FALSE)</f>
        <v>76306.30799999999</v>
      </c>
      <c r="G29" s="192"/>
      <c r="H29" s="39" t="str">
        <f>VLOOKUP(A29,ПТО!$A$39:$D$53,3,FALSE)</f>
        <v>Ежемесячно</v>
      </c>
      <c r="I29" s="193">
        <f>VLOOKUP(A29,ПТО!$A$39:$D$53,4,FALSE)</f>
        <v>12</v>
      </c>
      <c r="J29" s="193"/>
      <c r="K29" s="105"/>
      <c r="L29" s="215"/>
      <c r="M29" s="105"/>
      <c r="N29" s="105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91" t="str">
        <f>ПТО!A41</f>
        <v>Работы по содержанию земельного участка</v>
      </c>
      <c r="B30" s="191"/>
      <c r="C30" s="191"/>
      <c r="D30" s="191"/>
      <c r="E30" s="191"/>
      <c r="F30" s="192">
        <f>VLOOKUP(A30,ПТО!$A$39:$D$53,2,FALSE)</f>
        <v>115297.156</v>
      </c>
      <c r="G30" s="192"/>
      <c r="H30" s="39" t="str">
        <f>VLOOKUP(A30,ПТО!$A$39:$D$53,3,FALSE)</f>
        <v>В соответствии с графиком</v>
      </c>
      <c r="I30" s="193">
        <f>VLOOKUP(A30,ПТО!$A$39:$D$53,4,FALSE)</f>
        <v>12</v>
      </c>
      <c r="J30" s="193"/>
      <c r="K30" s="105"/>
      <c r="L30" s="215"/>
      <c r="M30" s="105"/>
      <c r="N30" s="105"/>
      <c r="O30" s="23" t="str">
        <f t="shared" si="1"/>
        <v>Работы по содержанию земельного участка</v>
      </c>
      <c r="R30" s="1" t="s">
        <v>70</v>
      </c>
    </row>
    <row r="31" spans="1:23" ht="42" customHeight="1" outlineLevel="1">
      <c r="A31" s="191" t="str">
        <f>ПТО!A42</f>
        <v>Работы, выполняемые для надлежащего содержания электрооборудования дома</v>
      </c>
      <c r="B31" s="191"/>
      <c r="C31" s="191"/>
      <c r="D31" s="191"/>
      <c r="E31" s="191"/>
      <c r="F31" s="192">
        <f>VLOOKUP(A31,ПТО!$A$39:$D$53,2,FALSE)</f>
        <v>63969.359999999993</v>
      </c>
      <c r="G31" s="192"/>
      <c r="H31" s="39" t="str">
        <f>VLOOKUP(A31,ПТО!$A$39:$D$53,3,FALSE)</f>
        <v>Ежемесячно</v>
      </c>
      <c r="I31" s="193">
        <f>VLOOKUP(A31,ПТО!$A$39:$D$53,4,FALSE)</f>
        <v>12</v>
      </c>
      <c r="J31" s="193"/>
      <c r="K31" s="105"/>
      <c r="L31" s="215"/>
      <c r="M31" s="105"/>
      <c r="N31" s="105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91">
        <f>ПТО!A43</f>
        <v>0</v>
      </c>
      <c r="B32" s="191"/>
      <c r="C32" s="191"/>
      <c r="D32" s="191"/>
      <c r="E32" s="191"/>
      <c r="F32" s="192" t="e">
        <f>VLOOKUP(A32,ПТО!$A$39:$D$53,2,FALSE)</f>
        <v>#N/A</v>
      </c>
      <c r="G32" s="192"/>
      <c r="H32" s="39" t="e">
        <f>VLOOKUP(A32,ПТО!$A$39:$D$53,3,FALSE)</f>
        <v>#N/A</v>
      </c>
      <c r="I32" s="193" t="e">
        <f>VLOOKUP(A32,ПТО!$A$39:$D$53,4,FALSE)</f>
        <v>#N/A</v>
      </c>
      <c r="J32" s="193"/>
      <c r="K32" s="105"/>
      <c r="L32" s="215"/>
      <c r="M32" s="105"/>
      <c r="N32" s="105"/>
      <c r="O32" s="23">
        <f t="shared" si="1"/>
        <v>0</v>
      </c>
      <c r="R32" s="1" t="s">
        <v>70</v>
      </c>
    </row>
    <row r="33" spans="1:18" ht="42" customHeight="1" outlineLevel="1">
      <c r="A33" s="191" t="str">
        <f>ПТО!A44</f>
        <v>Обеспечение устранения аварий на внутридомовых инженерных системах в многоквартирном доме</v>
      </c>
      <c r="B33" s="191"/>
      <c r="C33" s="191"/>
      <c r="D33" s="191"/>
      <c r="E33" s="191"/>
      <c r="F33" s="192">
        <f>VLOOKUP(A33,ПТО!$A$39:$D$53,2,FALSE)</f>
        <v>26501.592000000001</v>
      </c>
      <c r="G33" s="192"/>
      <c r="H33" s="39" t="str">
        <f>VLOOKUP(A33,ПТО!$A$39:$D$53,3,FALSE)</f>
        <v>Круглосуточно</v>
      </c>
      <c r="I33" s="193">
        <f>VLOOKUP(A33,ПТО!$A$39:$D$53,4,FALSE)</f>
        <v>12</v>
      </c>
      <c r="J33" s="193"/>
      <c r="K33" s="105"/>
      <c r="L33" s="215"/>
      <c r="M33" s="105"/>
      <c r="N33" s="105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91" t="str">
        <f>ПТО!A45</f>
        <v>Работы по содержанию помещений, входящих в состав общего имущества в многоквартирном доме</v>
      </c>
      <c r="B34" s="191"/>
      <c r="C34" s="191"/>
      <c r="D34" s="191"/>
      <c r="E34" s="191"/>
      <c r="F34" s="192">
        <f>VLOOKUP(A34,ПТО!$A$39:$D$53,2,FALSE)</f>
        <v>162208.01999999996</v>
      </c>
      <c r="G34" s="192"/>
      <c r="H34" s="39" t="str">
        <f>VLOOKUP(A34,ПТО!$A$39:$D$53,3,FALSE)</f>
        <v>В соответствии с графиком</v>
      </c>
      <c r="I34" s="193">
        <f>VLOOKUP(A34,ПТО!$A$39:$D$53,4,FALSE)</f>
        <v>12</v>
      </c>
      <c r="J34" s="193"/>
      <c r="K34" s="105"/>
      <c r="L34" s="215"/>
      <c r="M34" s="105"/>
      <c r="N34" s="105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191">
        <f>ПТО!A46</f>
        <v>0</v>
      </c>
      <c r="B35" s="191"/>
      <c r="C35" s="191"/>
      <c r="D35" s="191"/>
      <c r="E35" s="191"/>
      <c r="F35" s="192" t="e">
        <f>VLOOKUP(A35,ПТО!$A$39:$D$53,2,FALSE)</f>
        <v>#N/A</v>
      </c>
      <c r="G35" s="192"/>
      <c r="H35" s="39" t="e">
        <f>VLOOKUP(A35,ПТО!$A$39:$D$53,3,FALSE)</f>
        <v>#N/A</v>
      </c>
      <c r="I35" s="193" t="e">
        <f>VLOOKUP(A35,ПТО!$A$39:$D$53,4,FALSE)</f>
        <v>#N/A</v>
      </c>
      <c r="J35" s="193"/>
      <c r="K35" s="105"/>
      <c r="L35" s="215"/>
      <c r="M35" s="111"/>
      <c r="N35" s="105"/>
      <c r="O35" s="23">
        <f t="shared" si="1"/>
        <v>0</v>
      </c>
      <c r="R35" s="1" t="s">
        <v>70</v>
      </c>
    </row>
    <row r="36" spans="1:18" ht="51" hidden="1" customHeight="1" outlineLevel="1">
      <c r="A36" s="191">
        <f>ПТО!A47</f>
        <v>0</v>
      </c>
      <c r="B36" s="191"/>
      <c r="C36" s="191"/>
      <c r="D36" s="191"/>
      <c r="E36" s="191"/>
      <c r="F36" s="192" t="e">
        <f>VLOOKUP(A36,ПТО!$A$39:$D$53,2,FALSE)</f>
        <v>#N/A</v>
      </c>
      <c r="G36" s="192"/>
      <c r="H36" s="39" t="e">
        <f>VLOOKUP(A36,ПТО!$A$39:$D$53,3,FALSE)</f>
        <v>#N/A</v>
      </c>
      <c r="I36" s="193" t="e">
        <f>VLOOKUP(A36,ПТО!$A$39:$D$53,4,FALSE)</f>
        <v>#N/A</v>
      </c>
      <c r="J36" s="193"/>
      <c r="K36" s="105"/>
      <c r="L36" s="215"/>
      <c r="M36" s="111"/>
      <c r="N36" s="105"/>
      <c r="O36" s="23">
        <f t="shared" si="1"/>
        <v>0</v>
      </c>
      <c r="R36" s="1" t="s">
        <v>70</v>
      </c>
    </row>
    <row r="37" spans="1:18" ht="51" customHeight="1" outlineLevel="1">
      <c r="A37" s="191" t="str">
        <f>ПТО!A48</f>
        <v>Техническое обслуживание охранной сигнализации (сод)</v>
      </c>
      <c r="B37" s="191"/>
      <c r="C37" s="191"/>
      <c r="D37" s="191"/>
      <c r="E37" s="191"/>
      <c r="F37" s="192">
        <f>VLOOKUP(A37,ПТО!$A$39:$D$53,2,FALSE)</f>
        <v>4112.3159999999998</v>
      </c>
      <c r="G37" s="192"/>
      <c r="H37" s="39" t="str">
        <f>VLOOKUP(A37,ПТО!$A$39:$D$53,3,FALSE)</f>
        <v>Ежемесячно</v>
      </c>
      <c r="I37" s="193">
        <f>VLOOKUP(A37,ПТО!$A$39:$D$53,4,FALSE)</f>
        <v>2</v>
      </c>
      <c r="J37" s="193"/>
      <c r="K37" s="105"/>
      <c r="L37" s="215"/>
      <c r="M37" s="111"/>
      <c r="N37" s="105"/>
      <c r="O37" s="23" t="str">
        <f t="shared" si="1"/>
        <v>Техническое обслуживание охранной сигнализации (сод)</v>
      </c>
      <c r="R37" s="1" t="s">
        <v>70</v>
      </c>
    </row>
    <row r="38" spans="1:18" ht="51" hidden="1" customHeight="1" outlineLevel="1">
      <c r="A38" s="191">
        <f>ПТО!A49</f>
        <v>0</v>
      </c>
      <c r="B38" s="191"/>
      <c r="C38" s="191"/>
      <c r="D38" s="191"/>
      <c r="E38" s="191"/>
      <c r="F38" s="192" t="e">
        <f>VLOOKUP(A38,ПТО!$A$39:$D$53,2,FALSE)</f>
        <v>#N/A</v>
      </c>
      <c r="G38" s="192"/>
      <c r="H38" s="39" t="e">
        <f>VLOOKUP(A38,ПТО!$A$39:$D$53,3,FALSE)</f>
        <v>#N/A</v>
      </c>
      <c r="I38" s="193" t="e">
        <f>VLOOKUP(A38,ПТО!$A$39:$D$53,4,FALSE)</f>
        <v>#N/A</v>
      </c>
      <c r="J38" s="193"/>
      <c r="K38" s="105"/>
      <c r="L38" s="215"/>
      <c r="M38" s="111"/>
      <c r="N38" s="105"/>
      <c r="O38" s="23">
        <f t="shared" si="1"/>
        <v>0</v>
      </c>
      <c r="R38" s="1" t="s">
        <v>70</v>
      </c>
    </row>
    <row r="39" spans="1:18" ht="51" hidden="1" customHeight="1" outlineLevel="1">
      <c r="A39" s="191">
        <f>ПТО!A50</f>
        <v>0</v>
      </c>
      <c r="B39" s="191"/>
      <c r="C39" s="191"/>
      <c r="D39" s="191"/>
      <c r="E39" s="191"/>
      <c r="F39" s="192" t="e">
        <f>VLOOKUP(A39,ПТО!$A$39:$D$53,2,FALSE)</f>
        <v>#N/A</v>
      </c>
      <c r="G39" s="192"/>
      <c r="H39" s="39" t="e">
        <f>VLOOKUP(A39,ПТО!$A$39:$D$53,3,FALSE)</f>
        <v>#N/A</v>
      </c>
      <c r="I39" s="193" t="e">
        <f>VLOOKUP(A39,ПТО!$A$39:$D$53,4,FALSE)</f>
        <v>#N/A</v>
      </c>
      <c r="J39" s="193"/>
      <c r="K39" s="105"/>
      <c r="L39" s="215"/>
      <c r="M39" s="111"/>
      <c r="N39" s="105"/>
      <c r="O39" s="23">
        <f t="shared" si="1"/>
        <v>0</v>
      </c>
      <c r="R39" s="1" t="s">
        <v>70</v>
      </c>
    </row>
    <row r="40" spans="1:18" ht="51" hidden="1" customHeight="1" outlineLevel="1">
      <c r="A40" s="191">
        <f>ПТО!A51</f>
        <v>0</v>
      </c>
      <c r="B40" s="191"/>
      <c r="C40" s="191"/>
      <c r="D40" s="191"/>
      <c r="E40" s="191"/>
      <c r="F40" s="192" t="e">
        <f>VLOOKUP(A40,ПТО!$A$39:$D$53,2,FALSE)</f>
        <v>#N/A</v>
      </c>
      <c r="G40" s="192"/>
      <c r="H40" s="39" t="e">
        <f>VLOOKUP(A40,ПТО!$A$39:$D$53,3,FALSE)</f>
        <v>#N/A</v>
      </c>
      <c r="I40" s="193" t="e">
        <f>VLOOKUP(A40,ПТО!$A$39:$D$53,4,FALSE)</f>
        <v>#N/A</v>
      </c>
      <c r="J40" s="193"/>
      <c r="K40" s="105"/>
      <c r="L40" s="215"/>
      <c r="M40" s="111"/>
      <c r="N40" s="105"/>
      <c r="O40" s="23">
        <f t="shared" si="1"/>
        <v>0</v>
      </c>
      <c r="R40" s="1" t="s">
        <v>70</v>
      </c>
    </row>
    <row r="41" spans="1:18" ht="51" hidden="1" customHeight="1" outlineLevel="1">
      <c r="A41" s="191">
        <f>ПТО!A52</f>
        <v>0</v>
      </c>
      <c r="B41" s="191"/>
      <c r="C41" s="191"/>
      <c r="D41" s="191"/>
      <c r="E41" s="191"/>
      <c r="F41" s="192" t="e">
        <f>VLOOKUP(A41,ПТО!$A$39:$D$53,2,FALSE)</f>
        <v>#N/A</v>
      </c>
      <c r="G41" s="192"/>
      <c r="H41" s="39" t="e">
        <f>VLOOKUP(A41,ПТО!$A$39:$D$53,3,FALSE)</f>
        <v>#N/A</v>
      </c>
      <c r="I41" s="193" t="e">
        <f>VLOOKUP(A41,ПТО!$A$39:$D$53,4,FALSE)</f>
        <v>#N/A</v>
      </c>
      <c r="J41" s="193"/>
      <c r="K41" s="105"/>
      <c r="L41" s="215"/>
      <c r="M41" s="111"/>
      <c r="N41" s="105"/>
      <c r="O41" s="23">
        <f t="shared" si="1"/>
        <v>0</v>
      </c>
      <c r="R41" s="1" t="s">
        <v>70</v>
      </c>
    </row>
    <row r="42" spans="1:18" ht="51" hidden="1" customHeight="1" outlineLevel="1">
      <c r="A42" s="191">
        <f>ПТО!A53</f>
        <v>0</v>
      </c>
      <c r="B42" s="191"/>
      <c r="C42" s="191"/>
      <c r="D42" s="191"/>
      <c r="E42" s="191"/>
      <c r="F42" s="192" t="e">
        <f>VLOOKUP(A42,ПТО!$A$39:$D$53,2,FALSE)</f>
        <v>#N/A</v>
      </c>
      <c r="G42" s="192"/>
      <c r="H42" s="39" t="e">
        <f>VLOOKUP(A42,ПТО!$A$39:$D$53,3,FALSE)</f>
        <v>#N/A</v>
      </c>
      <c r="I42" s="193" t="e">
        <f>VLOOKUP(A42,ПТО!$A$39:$D$53,4,FALSE)</f>
        <v>#N/A</v>
      </c>
      <c r="J42" s="193"/>
      <c r="K42" s="105"/>
      <c r="L42" s="215"/>
      <c r="M42" s="111"/>
      <c r="N42" s="105"/>
      <c r="O42" s="23">
        <f t="shared" si="1"/>
        <v>0</v>
      </c>
      <c r="R42" s="1" t="s">
        <v>70</v>
      </c>
    </row>
    <row r="43" spans="1:18" ht="51" customHeight="1" outlineLevel="1">
      <c r="A43" s="191" t="str">
        <f>ПТО!A2</f>
        <v>Сброс снега с кровли.</v>
      </c>
      <c r="B43" s="191"/>
      <c r="C43" s="191"/>
      <c r="D43" s="191"/>
      <c r="E43" s="191"/>
      <c r="F43" s="192">
        <f>VLOOKUP(A43,ПТО!$A$2:$D$31,4,FALSE)</f>
        <v>14850</v>
      </c>
      <c r="G43" s="192"/>
      <c r="H43" s="19" t="str">
        <f>VLOOKUP(A43,ПТО!$A$2:$D$31,2,FALSE)</f>
        <v>разово</v>
      </c>
      <c r="I43" s="193">
        <f>VLOOKUP(A43,ПТО!$A$2:$D$31,3,FALSE)</f>
        <v>1</v>
      </c>
      <c r="J43" s="193"/>
      <c r="K43" s="105"/>
      <c r="L43" s="215"/>
      <c r="M43" s="111"/>
      <c r="N43" s="105"/>
      <c r="O43" s="23" t="str">
        <f t="shared" si="1"/>
        <v>Сброс снега с кровли.</v>
      </c>
      <c r="R43" s="22" t="s">
        <v>71</v>
      </c>
    </row>
    <row r="44" spans="1:18" ht="51" customHeight="1" outlineLevel="1">
      <c r="A44" s="191" t="str">
        <f>ПТО!A3</f>
        <v>Механизированная уборка и вывоз снега с придомовой территории.</v>
      </c>
      <c r="B44" s="191"/>
      <c r="C44" s="191"/>
      <c r="D44" s="191"/>
      <c r="E44" s="191"/>
      <c r="F44" s="192">
        <f>VLOOKUP(A44,ПТО!$A$2:$D$31,4,FALSE)</f>
        <v>35280</v>
      </c>
      <c r="G44" s="192"/>
      <c r="H44" s="25" t="str">
        <f>VLOOKUP(A44,ПТО!$A$2:$D$31,2,FALSE)</f>
        <v>разово</v>
      </c>
      <c r="I44" s="193">
        <f>VLOOKUP(A44,ПТО!$A$2:$D$31,3,FALSE)</f>
        <v>1</v>
      </c>
      <c r="J44" s="193"/>
      <c r="K44" s="105"/>
      <c r="L44" s="215"/>
      <c r="M44" s="111"/>
      <c r="N44" s="105"/>
      <c r="O44" s="23" t="str">
        <f t="shared" si="1"/>
        <v>Механизированная уборка и вывоз снега с придомовой территории.</v>
      </c>
      <c r="R44" s="22" t="s">
        <v>71</v>
      </c>
    </row>
    <row r="45" spans="1:18" ht="51" customHeight="1" outlineLevel="1">
      <c r="A45" s="191" t="str">
        <f>ПТО!A4</f>
        <v>Ремонт и обслуживание системы видеонаблюдения.</v>
      </c>
      <c r="B45" s="191"/>
      <c r="C45" s="191"/>
      <c r="D45" s="191"/>
      <c r="E45" s="191"/>
      <c r="F45" s="192">
        <f>VLOOKUP(A45,ПТО!$A$2:$D$31,4,FALSE)</f>
        <v>14416</v>
      </c>
      <c r="G45" s="192"/>
      <c r="H45" s="25" t="str">
        <f>VLOOKUP(A45,ПТО!$A$2:$D$31,2,FALSE)</f>
        <v>разово</v>
      </c>
      <c r="I45" s="193">
        <f>VLOOKUP(A45,ПТО!$A$2:$D$31,3,FALSE)</f>
        <v>1</v>
      </c>
      <c r="J45" s="193"/>
      <c r="K45" s="105"/>
      <c r="L45" s="215"/>
      <c r="M45" s="111"/>
      <c r="N45" s="105"/>
      <c r="O45" s="23" t="str">
        <f t="shared" si="1"/>
        <v>Ремонт и обслуживание системы видеонаблюдения.</v>
      </c>
      <c r="R45" s="22" t="s">
        <v>71</v>
      </c>
    </row>
    <row r="46" spans="1:18" ht="51" customHeight="1" outlineLevel="1">
      <c r="A46" s="191" t="str">
        <f>ПТО!A5</f>
        <v>Благоустройство придомовой территории (приобретение рассады).</v>
      </c>
      <c r="B46" s="191"/>
      <c r="C46" s="191"/>
      <c r="D46" s="191"/>
      <c r="E46" s="191"/>
      <c r="F46" s="192">
        <f>VLOOKUP(A46,ПТО!$A$2:$D$31,4,FALSE)</f>
        <v>2090</v>
      </c>
      <c r="G46" s="192"/>
      <c r="H46" s="25" t="str">
        <f>VLOOKUP(A46,ПТО!$A$2:$D$31,2,FALSE)</f>
        <v>разово</v>
      </c>
      <c r="I46" s="193">
        <f>VLOOKUP(A46,ПТО!$A$2:$D$31,3,FALSE)</f>
        <v>1</v>
      </c>
      <c r="J46" s="193"/>
      <c r="K46" s="105"/>
      <c r="L46" s="215"/>
      <c r="M46" s="111"/>
      <c r="N46" s="105"/>
      <c r="O46" s="23" t="str">
        <f t="shared" si="1"/>
        <v>Благоустройство придомовой территории (приобретение рассады).</v>
      </c>
      <c r="R46" s="22" t="s">
        <v>71</v>
      </c>
    </row>
    <row r="47" spans="1:18" ht="51" customHeight="1" outlineLevel="1">
      <c r="A47" s="191" t="str">
        <f>ПТО!A6</f>
        <v>Благоустройство придомовой территории (приобретение перегноя).</v>
      </c>
      <c r="B47" s="191"/>
      <c r="C47" s="191"/>
      <c r="D47" s="191"/>
      <c r="E47" s="191"/>
      <c r="F47" s="192">
        <f>VLOOKUP(A47,ПТО!$A$2:$D$31,4,FALSE)</f>
        <v>2500</v>
      </c>
      <c r="G47" s="192"/>
      <c r="H47" s="25" t="str">
        <f>VLOOKUP(A47,ПТО!$A$2:$D$31,2,FALSE)</f>
        <v>разово</v>
      </c>
      <c r="I47" s="193">
        <f>VLOOKUP(A47,ПТО!$A$2:$D$31,3,FALSE)</f>
        <v>1</v>
      </c>
      <c r="J47" s="193"/>
      <c r="K47" s="105"/>
      <c r="L47" s="215"/>
      <c r="M47" s="111"/>
      <c r="N47" s="105"/>
      <c r="O47" s="23" t="str">
        <f t="shared" si="1"/>
        <v>Благоустройство придомовой территории (приобретение перегноя).</v>
      </c>
      <c r="R47" s="22" t="s">
        <v>71</v>
      </c>
    </row>
    <row r="48" spans="1:18" ht="51" customHeight="1" outlineLevel="1">
      <c r="A48" s="191" t="str">
        <f>ПТО!A7</f>
        <v>Приобретение краски (для покраски пандусов).</v>
      </c>
      <c r="B48" s="191"/>
      <c r="C48" s="191"/>
      <c r="D48" s="191"/>
      <c r="E48" s="191"/>
      <c r="F48" s="192">
        <f>VLOOKUP(A48,ПТО!$A$2:$D$31,4,FALSE)</f>
        <v>1905</v>
      </c>
      <c r="G48" s="192"/>
      <c r="H48" s="25" t="str">
        <f>VLOOKUP(A48,ПТО!$A$2:$D$31,2,FALSE)</f>
        <v>разово</v>
      </c>
      <c r="I48" s="193">
        <f>VLOOKUP(A48,ПТО!$A$2:$D$31,3,FALSE)</f>
        <v>1</v>
      </c>
      <c r="J48" s="193"/>
      <c r="K48" s="105"/>
      <c r="L48" s="215"/>
      <c r="M48" s="111"/>
      <c r="N48" s="105"/>
      <c r="O48" s="23" t="str">
        <f t="shared" si="1"/>
        <v>Приобретение краски (для покраски пандусов).</v>
      </c>
      <c r="R48" s="22" t="s">
        <v>71</v>
      </c>
    </row>
    <row r="49" spans="1:18" ht="51" hidden="1" customHeight="1" outlineLevel="1">
      <c r="A49" s="191">
        <f>ПТО!A8</f>
        <v>0</v>
      </c>
      <c r="B49" s="191"/>
      <c r="C49" s="191"/>
      <c r="D49" s="191"/>
      <c r="E49" s="191"/>
      <c r="F49" s="192" t="e">
        <f>VLOOKUP(A49,ПТО!$A$2:$D$31,4,FALSE)</f>
        <v>#N/A</v>
      </c>
      <c r="G49" s="192"/>
      <c r="H49" s="25" t="e">
        <f>VLOOKUP(A49,ПТО!$A$2:$D$31,2,FALSE)</f>
        <v>#N/A</v>
      </c>
      <c r="I49" s="193" t="e">
        <f>VLOOKUP(A49,ПТО!$A$2:$D$31,3,FALSE)</f>
        <v>#N/A</v>
      </c>
      <c r="J49" s="193"/>
      <c r="K49" s="105"/>
      <c r="L49" s="215"/>
      <c r="M49" s="111"/>
      <c r="N49" s="105"/>
      <c r="O49" s="23">
        <f t="shared" si="1"/>
        <v>0</v>
      </c>
      <c r="R49" s="22" t="s">
        <v>71</v>
      </c>
    </row>
    <row r="50" spans="1:18" ht="51" hidden="1" customHeight="1" outlineLevel="1">
      <c r="A50" s="191">
        <f>ПТО!A9</f>
        <v>0</v>
      </c>
      <c r="B50" s="191"/>
      <c r="C50" s="191"/>
      <c r="D50" s="191"/>
      <c r="E50" s="191"/>
      <c r="F50" s="192" t="e">
        <f>VLOOKUP(A50,ПТО!$A$2:$D$31,4,FALSE)</f>
        <v>#N/A</v>
      </c>
      <c r="G50" s="192"/>
      <c r="H50" s="25" t="e">
        <f>VLOOKUP(A50,ПТО!$A$2:$D$31,2,FALSE)</f>
        <v>#N/A</v>
      </c>
      <c r="I50" s="193" t="e">
        <f>VLOOKUP(A50,ПТО!$A$2:$D$31,3,FALSE)</f>
        <v>#N/A</v>
      </c>
      <c r="J50" s="193"/>
      <c r="K50" s="105"/>
      <c r="L50" s="215"/>
      <c r="M50" s="111"/>
      <c r="N50" s="105"/>
      <c r="O50" s="23">
        <f t="shared" si="1"/>
        <v>0</v>
      </c>
      <c r="R50" s="22" t="s">
        <v>71</v>
      </c>
    </row>
    <row r="51" spans="1:18" ht="51" hidden="1" customHeight="1" outlineLevel="1">
      <c r="A51" s="191">
        <f>ПТО!A10</f>
        <v>0</v>
      </c>
      <c r="B51" s="191"/>
      <c r="C51" s="191"/>
      <c r="D51" s="191"/>
      <c r="E51" s="191"/>
      <c r="F51" s="192" t="e">
        <f>VLOOKUP(A51,ПТО!$A$2:$D$31,4,FALSE)</f>
        <v>#N/A</v>
      </c>
      <c r="G51" s="192"/>
      <c r="H51" s="25" t="e">
        <f>VLOOKUP(A51,ПТО!$A$2:$D$31,2,FALSE)</f>
        <v>#N/A</v>
      </c>
      <c r="I51" s="193" t="e">
        <f>VLOOKUP(A51,ПТО!$A$2:$D$31,3,FALSE)</f>
        <v>#N/A</v>
      </c>
      <c r="J51" s="193"/>
      <c r="K51" s="105"/>
      <c r="L51" s="215"/>
      <c r="M51" s="111"/>
      <c r="N51" s="105"/>
      <c r="O51" s="23">
        <f t="shared" si="1"/>
        <v>0</v>
      </c>
      <c r="R51" s="22" t="s">
        <v>71</v>
      </c>
    </row>
    <row r="52" spans="1:18" ht="51" hidden="1" customHeight="1" outlineLevel="1">
      <c r="A52" s="191">
        <f>ПТО!A11</f>
        <v>0</v>
      </c>
      <c r="B52" s="191"/>
      <c r="C52" s="191"/>
      <c r="D52" s="191"/>
      <c r="E52" s="191"/>
      <c r="F52" s="192" t="e">
        <f>VLOOKUP(A52,ПТО!$A$2:$D$31,4,FALSE)</f>
        <v>#N/A</v>
      </c>
      <c r="G52" s="192"/>
      <c r="H52" s="25" t="e">
        <f>VLOOKUP(A52,ПТО!$A$2:$D$31,2,FALSE)</f>
        <v>#N/A</v>
      </c>
      <c r="I52" s="193" t="e">
        <f>VLOOKUP(A52,ПТО!$A$2:$D$31,3,FALSE)</f>
        <v>#N/A</v>
      </c>
      <c r="J52" s="193"/>
      <c r="K52" s="105"/>
      <c r="L52" s="215"/>
      <c r="M52" s="111"/>
      <c r="N52" s="105"/>
      <c r="O52" s="23">
        <f t="shared" si="1"/>
        <v>0</v>
      </c>
      <c r="R52" s="22" t="s">
        <v>71</v>
      </c>
    </row>
    <row r="53" spans="1:18" ht="51" hidden="1" customHeight="1" outlineLevel="1">
      <c r="A53" s="191">
        <f>ПТО!A12</f>
        <v>0</v>
      </c>
      <c r="B53" s="191"/>
      <c r="C53" s="191"/>
      <c r="D53" s="191"/>
      <c r="E53" s="191"/>
      <c r="F53" s="192" t="e">
        <f>VLOOKUP(A53,ПТО!$A$2:$D$31,4,FALSE)</f>
        <v>#N/A</v>
      </c>
      <c r="G53" s="192"/>
      <c r="H53" s="25" t="e">
        <f>VLOOKUP(A53,ПТО!$A$2:$D$31,2,FALSE)</f>
        <v>#N/A</v>
      </c>
      <c r="I53" s="193" t="e">
        <f>VLOOKUP(A53,ПТО!$A$2:$D$31,3,FALSE)</f>
        <v>#N/A</v>
      </c>
      <c r="J53" s="193"/>
      <c r="K53" s="105"/>
      <c r="L53" s="215"/>
      <c r="M53" s="111"/>
      <c r="N53" s="105"/>
      <c r="O53" s="23">
        <f t="shared" si="1"/>
        <v>0</v>
      </c>
      <c r="R53" s="22" t="s">
        <v>71</v>
      </c>
    </row>
    <row r="54" spans="1:18" ht="51" hidden="1" customHeight="1" outlineLevel="1">
      <c r="A54" s="191">
        <f>ПТО!A13</f>
        <v>0</v>
      </c>
      <c r="B54" s="191"/>
      <c r="C54" s="191"/>
      <c r="D54" s="191"/>
      <c r="E54" s="191"/>
      <c r="F54" s="192" t="e">
        <f>VLOOKUP(A54,ПТО!$A$2:$D$31,4,FALSE)</f>
        <v>#N/A</v>
      </c>
      <c r="G54" s="192"/>
      <c r="H54" s="25" t="e">
        <f>VLOOKUP(A54,ПТО!$A$2:$D$31,2,FALSE)</f>
        <v>#N/A</v>
      </c>
      <c r="I54" s="193" t="e">
        <f>VLOOKUP(A54,ПТО!$A$2:$D$31,3,FALSE)</f>
        <v>#N/A</v>
      </c>
      <c r="J54" s="193"/>
      <c r="K54" s="105"/>
      <c r="L54" s="215"/>
      <c r="M54" s="111"/>
      <c r="N54" s="105"/>
      <c r="O54" s="23">
        <f t="shared" si="1"/>
        <v>0</v>
      </c>
      <c r="R54" s="22" t="s">
        <v>71</v>
      </c>
    </row>
    <row r="55" spans="1:18" ht="51" hidden="1" customHeight="1" outlineLevel="1">
      <c r="A55" s="191">
        <f>ПТО!A14</f>
        <v>0</v>
      </c>
      <c r="B55" s="191"/>
      <c r="C55" s="191"/>
      <c r="D55" s="191"/>
      <c r="E55" s="191"/>
      <c r="F55" s="192" t="e">
        <f>VLOOKUP(A55,ПТО!$A$2:$D$31,4,FALSE)</f>
        <v>#N/A</v>
      </c>
      <c r="G55" s="192"/>
      <c r="H55" s="25" t="e">
        <f>VLOOKUP(A55,ПТО!$A$2:$D$31,2,FALSE)</f>
        <v>#N/A</v>
      </c>
      <c r="I55" s="193" t="e">
        <f>VLOOKUP(A55,ПТО!$A$2:$D$31,3,FALSE)</f>
        <v>#N/A</v>
      </c>
      <c r="J55" s="193"/>
      <c r="K55" s="105"/>
      <c r="L55" s="215"/>
      <c r="M55" s="111"/>
      <c r="N55" s="105"/>
      <c r="O55" s="23">
        <f t="shared" si="1"/>
        <v>0</v>
      </c>
      <c r="R55" s="22" t="s">
        <v>71</v>
      </c>
    </row>
    <row r="56" spans="1:18" ht="51" hidden="1" customHeight="1" outlineLevel="1">
      <c r="A56" s="191">
        <f>ПТО!A15</f>
        <v>0</v>
      </c>
      <c r="B56" s="191"/>
      <c r="C56" s="191"/>
      <c r="D56" s="191"/>
      <c r="E56" s="191"/>
      <c r="F56" s="192" t="e">
        <f>VLOOKUP(A56,ПТО!$A$2:$D$31,4,FALSE)</f>
        <v>#N/A</v>
      </c>
      <c r="G56" s="192"/>
      <c r="H56" s="25" t="e">
        <f>VLOOKUP(A56,ПТО!$A$2:$D$31,2,FALSE)</f>
        <v>#N/A</v>
      </c>
      <c r="I56" s="193" t="e">
        <f>VLOOKUP(A56,ПТО!$A$2:$D$31,3,FALSE)</f>
        <v>#N/A</v>
      </c>
      <c r="J56" s="193"/>
      <c r="K56" s="105"/>
      <c r="L56" s="215"/>
      <c r="M56" s="111"/>
      <c r="N56" s="105"/>
      <c r="O56" s="23">
        <f t="shared" si="1"/>
        <v>0</v>
      </c>
      <c r="R56" s="22" t="s">
        <v>71</v>
      </c>
    </row>
    <row r="57" spans="1:18" ht="51" hidden="1" customHeight="1" outlineLevel="1">
      <c r="A57" s="191">
        <f>ПТО!A16</f>
        <v>0</v>
      </c>
      <c r="B57" s="191"/>
      <c r="C57" s="191"/>
      <c r="D57" s="191"/>
      <c r="E57" s="191"/>
      <c r="F57" s="192" t="e">
        <f>VLOOKUP(A57,ПТО!$A$2:$D$31,4,FALSE)</f>
        <v>#N/A</v>
      </c>
      <c r="G57" s="192"/>
      <c r="H57" s="25" t="e">
        <f>VLOOKUP(A57,ПТО!$A$2:$D$31,2,FALSE)</f>
        <v>#N/A</v>
      </c>
      <c r="I57" s="193" t="e">
        <f>VLOOKUP(A57,ПТО!$A$2:$D$31,3,FALSE)</f>
        <v>#N/A</v>
      </c>
      <c r="J57" s="193"/>
      <c r="K57" s="105"/>
      <c r="L57" s="215"/>
      <c r="M57" s="111"/>
      <c r="N57" s="105"/>
      <c r="O57" s="23">
        <f t="shared" si="1"/>
        <v>0</v>
      </c>
      <c r="R57" s="22" t="s">
        <v>71</v>
      </c>
    </row>
    <row r="58" spans="1:18" ht="51" hidden="1" customHeight="1" outlineLevel="1">
      <c r="A58" s="191">
        <f>ПТО!A17</f>
        <v>0</v>
      </c>
      <c r="B58" s="191"/>
      <c r="C58" s="191"/>
      <c r="D58" s="191"/>
      <c r="E58" s="191"/>
      <c r="F58" s="192" t="e">
        <f>VLOOKUP(A58,ПТО!$A$2:$D$31,4,FALSE)</f>
        <v>#N/A</v>
      </c>
      <c r="G58" s="192"/>
      <c r="H58" s="25" t="e">
        <f>VLOOKUP(A58,ПТО!$A$2:$D$31,2,FALSE)</f>
        <v>#N/A</v>
      </c>
      <c r="I58" s="193" t="e">
        <f>VLOOKUP(A58,ПТО!$A$2:$D$31,3,FALSE)</f>
        <v>#N/A</v>
      </c>
      <c r="J58" s="193"/>
      <c r="K58" s="105"/>
      <c r="L58" s="215"/>
      <c r="M58" s="111"/>
      <c r="N58" s="105"/>
      <c r="O58" s="23">
        <f t="shared" si="1"/>
        <v>0</v>
      </c>
      <c r="R58" s="22" t="s">
        <v>71</v>
      </c>
    </row>
    <row r="59" spans="1:18" ht="51" hidden="1" customHeight="1" outlineLevel="1">
      <c r="A59" s="191">
        <f>ПТО!A18</f>
        <v>0</v>
      </c>
      <c r="B59" s="191"/>
      <c r="C59" s="191"/>
      <c r="D59" s="191"/>
      <c r="E59" s="191"/>
      <c r="F59" s="192" t="e">
        <f>VLOOKUP(A59,ПТО!$A$2:$D$31,4,FALSE)</f>
        <v>#N/A</v>
      </c>
      <c r="G59" s="192"/>
      <c r="H59" s="25" t="e">
        <f>VLOOKUP(A59,ПТО!$A$2:$D$31,2,FALSE)</f>
        <v>#N/A</v>
      </c>
      <c r="I59" s="193" t="e">
        <f>VLOOKUP(A59,ПТО!$A$2:$D$31,3,FALSE)</f>
        <v>#N/A</v>
      </c>
      <c r="J59" s="193"/>
      <c r="K59" s="105"/>
      <c r="L59" s="215"/>
      <c r="M59" s="111"/>
      <c r="N59" s="105"/>
      <c r="O59" s="23">
        <f t="shared" si="1"/>
        <v>0</v>
      </c>
      <c r="R59" s="22" t="s">
        <v>71</v>
      </c>
    </row>
    <row r="60" spans="1:18" ht="51" hidden="1" customHeight="1" outlineLevel="1">
      <c r="A60" s="191">
        <f>ПТО!A19</f>
        <v>0</v>
      </c>
      <c r="B60" s="191"/>
      <c r="C60" s="191"/>
      <c r="D60" s="191"/>
      <c r="E60" s="191"/>
      <c r="F60" s="192" t="e">
        <f>VLOOKUP(A60,ПТО!$A$2:$D$31,4,FALSE)</f>
        <v>#N/A</v>
      </c>
      <c r="G60" s="192"/>
      <c r="H60" s="25" t="e">
        <f>VLOOKUP(A60,ПТО!$A$2:$D$31,2,FALSE)</f>
        <v>#N/A</v>
      </c>
      <c r="I60" s="193" t="e">
        <f>VLOOKUP(A60,ПТО!$A$2:$D$31,3,FALSE)</f>
        <v>#N/A</v>
      </c>
      <c r="J60" s="193"/>
      <c r="K60" s="105"/>
      <c r="L60" s="215"/>
      <c r="M60" s="111"/>
      <c r="N60" s="105"/>
      <c r="O60" s="23">
        <f t="shared" si="1"/>
        <v>0</v>
      </c>
      <c r="R60" s="22" t="s">
        <v>71</v>
      </c>
    </row>
    <row r="61" spans="1:18" ht="51" hidden="1" customHeight="1" outlineLevel="1">
      <c r="A61" s="191">
        <f>ПТО!A20</f>
        <v>0</v>
      </c>
      <c r="B61" s="191"/>
      <c r="C61" s="191"/>
      <c r="D61" s="191"/>
      <c r="E61" s="191"/>
      <c r="F61" s="192" t="e">
        <f>VLOOKUP(A61,ПТО!$A$2:$D$31,4,FALSE)</f>
        <v>#N/A</v>
      </c>
      <c r="G61" s="192"/>
      <c r="H61" s="25" t="e">
        <f>VLOOKUP(A61,ПТО!$A$2:$D$31,2,FALSE)</f>
        <v>#N/A</v>
      </c>
      <c r="I61" s="193" t="e">
        <f>VLOOKUP(A61,ПТО!$A$2:$D$31,3,FALSE)</f>
        <v>#N/A</v>
      </c>
      <c r="J61" s="193"/>
      <c r="K61" s="105"/>
      <c r="L61" s="215"/>
      <c r="M61" s="111"/>
      <c r="N61" s="105"/>
      <c r="O61" s="23">
        <f t="shared" si="1"/>
        <v>0</v>
      </c>
      <c r="R61" s="22" t="s">
        <v>71</v>
      </c>
    </row>
    <row r="62" spans="1:18" ht="51" hidden="1" customHeight="1" outlineLevel="1">
      <c r="A62" s="191">
        <f>ПТО!A21</f>
        <v>0</v>
      </c>
      <c r="B62" s="191"/>
      <c r="C62" s="191"/>
      <c r="D62" s="191"/>
      <c r="E62" s="191"/>
      <c r="F62" s="192" t="e">
        <f>VLOOKUP(A62,ПТО!$A$2:$D$31,4,FALSE)</f>
        <v>#N/A</v>
      </c>
      <c r="G62" s="192"/>
      <c r="H62" s="25" t="e">
        <f>VLOOKUP(A62,ПТО!$A$2:$D$31,2,FALSE)</f>
        <v>#N/A</v>
      </c>
      <c r="I62" s="193" t="e">
        <f>VLOOKUP(A62,ПТО!$A$2:$D$31,3,FALSE)</f>
        <v>#N/A</v>
      </c>
      <c r="J62" s="193"/>
      <c r="K62" s="105"/>
      <c r="L62" s="215"/>
      <c r="M62" s="111"/>
      <c r="N62" s="105"/>
      <c r="O62" s="23">
        <f t="shared" si="1"/>
        <v>0</v>
      </c>
      <c r="R62" s="22" t="s">
        <v>71</v>
      </c>
    </row>
    <row r="63" spans="1:18" ht="51" hidden="1" customHeight="1" outlineLevel="1">
      <c r="A63" s="191">
        <f>ПТО!A22</f>
        <v>0</v>
      </c>
      <c r="B63" s="191"/>
      <c r="C63" s="191"/>
      <c r="D63" s="191"/>
      <c r="E63" s="191"/>
      <c r="F63" s="192" t="e">
        <f>VLOOKUP(A63,ПТО!$A$2:$D$31,4,FALSE)</f>
        <v>#N/A</v>
      </c>
      <c r="G63" s="192"/>
      <c r="H63" s="25" t="e">
        <f>VLOOKUP(A63,ПТО!$A$2:$D$31,2,FALSE)</f>
        <v>#N/A</v>
      </c>
      <c r="I63" s="193" t="e">
        <f>VLOOKUP(A63,ПТО!$A$2:$D$31,3,FALSE)</f>
        <v>#N/A</v>
      </c>
      <c r="J63" s="193"/>
      <c r="K63" s="105"/>
      <c r="L63" s="215"/>
      <c r="M63" s="111"/>
      <c r="N63" s="105"/>
      <c r="O63" s="23">
        <f t="shared" si="1"/>
        <v>0</v>
      </c>
      <c r="R63" s="22" t="s">
        <v>71</v>
      </c>
    </row>
    <row r="64" spans="1:18" ht="51" hidden="1" customHeight="1" outlineLevel="1">
      <c r="A64" s="191">
        <f>ПТО!A23</f>
        <v>0</v>
      </c>
      <c r="B64" s="191"/>
      <c r="C64" s="191"/>
      <c r="D64" s="191"/>
      <c r="E64" s="191"/>
      <c r="F64" s="192" t="e">
        <f>VLOOKUP(A64,ПТО!$A$2:$D$31,4,FALSE)</f>
        <v>#N/A</v>
      </c>
      <c r="G64" s="192"/>
      <c r="H64" s="25" t="e">
        <f>VLOOKUP(A64,ПТО!$A$2:$D$31,2,FALSE)</f>
        <v>#N/A</v>
      </c>
      <c r="I64" s="193" t="e">
        <f>VLOOKUP(A64,ПТО!$A$2:$D$31,3,FALSE)</f>
        <v>#N/A</v>
      </c>
      <c r="J64" s="193"/>
      <c r="K64" s="105"/>
      <c r="L64" s="215"/>
      <c r="M64" s="111"/>
      <c r="N64" s="105"/>
      <c r="O64" s="23">
        <f t="shared" si="1"/>
        <v>0</v>
      </c>
      <c r="R64" s="22" t="s">
        <v>71</v>
      </c>
    </row>
    <row r="65" spans="1:16384" ht="51" hidden="1" customHeight="1" outlineLevel="1">
      <c r="A65" s="191">
        <f>ПТО!A24</f>
        <v>0</v>
      </c>
      <c r="B65" s="191"/>
      <c r="C65" s="191"/>
      <c r="D65" s="191"/>
      <c r="E65" s="191"/>
      <c r="F65" s="192" t="e">
        <f>VLOOKUP(A65,ПТО!$A$2:$D$31,4,FALSE)</f>
        <v>#N/A</v>
      </c>
      <c r="G65" s="192"/>
      <c r="H65" s="25" t="e">
        <f>VLOOKUP(A65,ПТО!$A$2:$D$31,2,FALSE)</f>
        <v>#N/A</v>
      </c>
      <c r="I65" s="193" t="e">
        <f>VLOOKUP(A65,ПТО!$A$2:$D$31,3,FALSE)</f>
        <v>#N/A</v>
      </c>
      <c r="J65" s="193"/>
      <c r="K65" s="105"/>
      <c r="L65" s="215"/>
      <c r="M65" s="111"/>
      <c r="N65" s="105"/>
      <c r="O65" s="23">
        <f t="shared" si="1"/>
        <v>0</v>
      </c>
      <c r="R65" s="22" t="s">
        <v>71</v>
      </c>
    </row>
    <row r="66" spans="1:16384" ht="51" hidden="1" customHeight="1" outlineLevel="1">
      <c r="A66" s="191">
        <f>ПТО!A25</f>
        <v>0</v>
      </c>
      <c r="B66" s="191"/>
      <c r="C66" s="191"/>
      <c r="D66" s="191"/>
      <c r="E66" s="191"/>
      <c r="F66" s="192" t="e">
        <f>VLOOKUP(A66,ПТО!$A$2:$D$31,4,FALSE)</f>
        <v>#N/A</v>
      </c>
      <c r="G66" s="192"/>
      <c r="H66" s="25" t="e">
        <f>VLOOKUP(A66,ПТО!$A$2:$D$31,2,FALSE)</f>
        <v>#N/A</v>
      </c>
      <c r="I66" s="193" t="e">
        <f>VLOOKUP(A66,ПТО!$A$2:$D$31,3,FALSE)</f>
        <v>#N/A</v>
      </c>
      <c r="J66" s="193"/>
      <c r="K66" s="105"/>
      <c r="L66" s="215"/>
      <c r="M66" s="111"/>
      <c r="N66" s="105"/>
      <c r="O66" s="23">
        <f t="shared" si="1"/>
        <v>0</v>
      </c>
      <c r="R66" s="22" t="s">
        <v>71</v>
      </c>
    </row>
    <row r="67" spans="1:16384" ht="51" hidden="1" customHeight="1" outlineLevel="1">
      <c r="A67" s="191">
        <f>ПТО!A26</f>
        <v>0</v>
      </c>
      <c r="B67" s="191"/>
      <c r="C67" s="191"/>
      <c r="D67" s="191"/>
      <c r="E67" s="191"/>
      <c r="F67" s="192" t="e">
        <f>VLOOKUP(A67,ПТО!$A$2:$D$31,4,FALSE)</f>
        <v>#N/A</v>
      </c>
      <c r="G67" s="192"/>
      <c r="H67" s="25" t="e">
        <f>VLOOKUP(A67,ПТО!$A$2:$D$31,2,FALSE)</f>
        <v>#N/A</v>
      </c>
      <c r="I67" s="193" t="e">
        <f>VLOOKUP(A67,ПТО!$A$2:$D$31,3,FALSE)</f>
        <v>#N/A</v>
      </c>
      <c r="J67" s="193"/>
      <c r="K67" s="105"/>
      <c r="L67" s="215"/>
      <c r="M67" s="111"/>
      <c r="N67" s="105"/>
      <c r="O67" s="23">
        <f t="shared" si="1"/>
        <v>0</v>
      </c>
      <c r="R67" s="22" t="s">
        <v>71</v>
      </c>
    </row>
    <row r="68" spans="1:16384" ht="51" hidden="1" customHeight="1" outlineLevel="1">
      <c r="A68" s="191">
        <f>ПТО!A27</f>
        <v>0</v>
      </c>
      <c r="B68" s="191"/>
      <c r="C68" s="191"/>
      <c r="D68" s="191"/>
      <c r="E68" s="191"/>
      <c r="F68" s="192" t="e">
        <f>VLOOKUP(A68,ПТО!$A$2:$D$31,4,FALSE)</f>
        <v>#N/A</v>
      </c>
      <c r="G68" s="192"/>
      <c r="H68" s="25" t="e">
        <f>VLOOKUP(A68,ПТО!$A$2:$D$31,2,FALSE)</f>
        <v>#N/A</v>
      </c>
      <c r="I68" s="193" t="e">
        <f>VLOOKUP(A68,ПТО!$A$2:$D$31,3,FALSE)</f>
        <v>#N/A</v>
      </c>
      <c r="J68" s="193"/>
      <c r="K68" s="105"/>
      <c r="L68" s="215"/>
      <c r="M68" s="111"/>
      <c r="N68" s="105"/>
      <c r="O68" s="23">
        <f t="shared" si="1"/>
        <v>0</v>
      </c>
      <c r="R68" s="22" t="s">
        <v>71</v>
      </c>
    </row>
    <row r="69" spans="1:16384" ht="51" hidden="1" customHeight="1" outlineLevel="1">
      <c r="A69" s="191">
        <f>ПТО!A28</f>
        <v>0</v>
      </c>
      <c r="B69" s="191"/>
      <c r="C69" s="191"/>
      <c r="D69" s="191"/>
      <c r="E69" s="191"/>
      <c r="F69" s="192" t="e">
        <f>VLOOKUP(A69,ПТО!$A$2:$D$31,4,FALSE)</f>
        <v>#N/A</v>
      </c>
      <c r="G69" s="192"/>
      <c r="H69" s="25" t="e">
        <f>VLOOKUP(A69,ПТО!$A$2:$D$31,2,FALSE)</f>
        <v>#N/A</v>
      </c>
      <c r="I69" s="193" t="e">
        <f>VLOOKUP(A69,ПТО!$A$2:$D$31,3,FALSE)</f>
        <v>#N/A</v>
      </c>
      <c r="J69" s="193"/>
      <c r="K69" s="105"/>
      <c r="L69" s="215"/>
      <c r="M69" s="111"/>
      <c r="N69" s="105"/>
      <c r="O69" s="23">
        <f t="shared" si="1"/>
        <v>0</v>
      </c>
      <c r="R69" s="22" t="s">
        <v>71</v>
      </c>
    </row>
    <row r="70" spans="1:16384" ht="51" hidden="1" customHeight="1" outlineLevel="1">
      <c r="A70" s="191">
        <f>ПТО!A29</f>
        <v>0</v>
      </c>
      <c r="B70" s="191"/>
      <c r="C70" s="191"/>
      <c r="D70" s="191"/>
      <c r="E70" s="191"/>
      <c r="F70" s="192" t="e">
        <f>VLOOKUP(A70,ПТО!$A$2:$D$31,4,FALSE)</f>
        <v>#N/A</v>
      </c>
      <c r="G70" s="192"/>
      <c r="H70" s="25" t="e">
        <f>VLOOKUP(A70,ПТО!$A$2:$D$31,2,FALSE)</f>
        <v>#N/A</v>
      </c>
      <c r="I70" s="193" t="e">
        <f>VLOOKUP(A70,ПТО!$A$2:$D$31,3,FALSE)</f>
        <v>#N/A</v>
      </c>
      <c r="J70" s="193"/>
      <c r="K70" s="105"/>
      <c r="L70" s="215"/>
      <c r="M70" s="111"/>
      <c r="N70" s="105"/>
      <c r="O70" s="23">
        <f t="shared" si="1"/>
        <v>0</v>
      </c>
      <c r="R70" s="22" t="s">
        <v>71</v>
      </c>
    </row>
    <row r="71" spans="1:16384" ht="51" hidden="1" customHeight="1" outlineLevel="1">
      <c r="A71" s="191">
        <f>ПТО!A30</f>
        <v>0</v>
      </c>
      <c r="B71" s="191"/>
      <c r="C71" s="191"/>
      <c r="D71" s="191"/>
      <c r="E71" s="191"/>
      <c r="F71" s="192" t="e">
        <f>VLOOKUP(A71,ПТО!$A$2:$D$31,4,FALSE)</f>
        <v>#N/A</v>
      </c>
      <c r="G71" s="192"/>
      <c r="H71" s="25" t="e">
        <f>VLOOKUP(A71,ПТО!$A$2:$D$31,2,FALSE)</f>
        <v>#N/A</v>
      </c>
      <c r="I71" s="193" t="e">
        <f>VLOOKUP(A71,ПТО!$A$2:$D$31,3,FALSE)</f>
        <v>#N/A</v>
      </c>
      <c r="J71" s="193"/>
      <c r="K71" s="111"/>
      <c r="L71" s="215"/>
      <c r="M71" s="111"/>
      <c r="N71" s="111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91">
        <f>ПТО!A31</f>
        <v>0</v>
      </c>
      <c r="B72" s="191"/>
      <c r="C72" s="191"/>
      <c r="D72" s="191"/>
      <c r="E72" s="191"/>
      <c r="F72" s="192" t="e">
        <f>VLOOKUP(A72,ПТО!$A$2:$D$31,4,FALSE)</f>
        <v>#N/A</v>
      </c>
      <c r="G72" s="192"/>
      <c r="H72" s="25" t="e">
        <f>VLOOKUP(A72,ПТО!$A$2:$D$31,2,FALSE)</f>
        <v>#N/A</v>
      </c>
      <c r="I72" s="193" t="e">
        <f>VLOOKUP(A72,ПТО!$A$2:$D$31,3,FALSE)</f>
        <v>#N/A</v>
      </c>
      <c r="J72" s="193"/>
      <c r="K72" s="105"/>
      <c r="L72" s="215"/>
      <c r="M72" s="111"/>
      <c r="N72" s="105"/>
      <c r="O72" s="23">
        <f t="shared" si="1"/>
        <v>0</v>
      </c>
      <c r="R72" s="22" t="s">
        <v>71</v>
      </c>
    </row>
    <row r="73" spans="1:16384">
      <c r="A73" s="100" t="s">
        <v>172</v>
      </c>
      <c r="K73" s="105"/>
      <c r="L73" s="105"/>
      <c r="M73" s="105"/>
      <c r="N73" s="105"/>
    </row>
    <row r="74" spans="1:16384">
      <c r="A74" s="12" t="s">
        <v>30</v>
      </c>
      <c r="K74" s="105"/>
      <c r="L74" s="105"/>
      <c r="M74" s="105"/>
      <c r="N74" s="105"/>
    </row>
    <row r="75" spans="1:16384" ht="18.75" customHeight="1" outlineLevel="1">
      <c r="A75" s="209" t="s">
        <v>26</v>
      </c>
      <c r="B75" s="209"/>
      <c r="C75" s="209"/>
      <c r="D75" s="209"/>
      <c r="E75" s="209"/>
      <c r="F75" s="209"/>
      <c r="G75" s="209"/>
      <c r="H75" s="209"/>
      <c r="I75" s="209"/>
      <c r="J75" s="8">
        <f>VLOOKUP(O75,АО,3,FALSE)</f>
        <v>0</v>
      </c>
      <c r="K75" s="105"/>
      <c r="L75" s="198"/>
      <c r="M75" s="105"/>
      <c r="N75" s="105"/>
      <c r="O75" s="66" t="s">
        <v>97</v>
      </c>
    </row>
    <row r="76" spans="1:16384" ht="18.75" customHeight="1" outlineLevel="1">
      <c r="A76" s="209" t="s">
        <v>27</v>
      </c>
      <c r="B76" s="209"/>
      <c r="C76" s="209"/>
      <c r="D76" s="209"/>
      <c r="E76" s="209"/>
      <c r="F76" s="209"/>
      <c r="G76" s="209"/>
      <c r="H76" s="209"/>
      <c r="I76" s="209"/>
      <c r="J76" s="8">
        <f>VLOOKUP(O76,АО,3,FALSE)</f>
        <v>0</v>
      </c>
      <c r="K76" s="105"/>
      <c r="L76" s="198"/>
      <c r="M76" s="105"/>
      <c r="N76" s="105"/>
      <c r="O76" s="66" t="s">
        <v>98</v>
      </c>
    </row>
    <row r="77" spans="1:16384" ht="21.75" customHeight="1" outlineLevel="1">
      <c r="A77" s="209" t="s">
        <v>28</v>
      </c>
      <c r="B77" s="209"/>
      <c r="C77" s="209"/>
      <c r="D77" s="209"/>
      <c r="E77" s="209"/>
      <c r="F77" s="209"/>
      <c r="G77" s="209"/>
      <c r="H77" s="209"/>
      <c r="I77" s="209"/>
      <c r="J77" s="8">
        <f>VLOOKUP(O77,АО,3,FALSE)</f>
        <v>0</v>
      </c>
      <c r="K77" s="105"/>
      <c r="L77" s="198"/>
      <c r="M77" s="105"/>
      <c r="N77" s="105"/>
      <c r="O77" s="66" t="s">
        <v>99</v>
      </c>
    </row>
    <row r="78" spans="1:16384" ht="18.75" customHeight="1" outlineLevel="1">
      <c r="A78" s="209" t="s">
        <v>29</v>
      </c>
      <c r="B78" s="209"/>
      <c r="C78" s="209"/>
      <c r="D78" s="209"/>
      <c r="E78" s="209"/>
      <c r="F78" s="209"/>
      <c r="G78" s="209"/>
      <c r="H78" s="209"/>
      <c r="I78" s="209"/>
      <c r="J78" s="93">
        <f>VLOOKUP(O78,АО,3,FALSE)</f>
        <v>0</v>
      </c>
      <c r="K78" s="105"/>
      <c r="L78" s="198"/>
      <c r="M78" s="105"/>
      <c r="N78" s="105"/>
      <c r="O78" s="66" t="s">
        <v>100</v>
      </c>
    </row>
    <row r="79" spans="1:16384">
      <c r="A79" s="110" t="s">
        <v>172</v>
      </c>
      <c r="B79" s="7"/>
      <c r="C79" s="7"/>
      <c r="D79" s="7"/>
      <c r="E79" s="7"/>
      <c r="F79" s="7"/>
      <c r="G79" s="7"/>
      <c r="H79" s="7"/>
      <c r="I79" s="7"/>
      <c r="J79" s="7"/>
      <c r="K79" s="105"/>
      <c r="L79" s="105"/>
      <c r="M79" s="105"/>
      <c r="N79" s="105"/>
    </row>
    <row r="80" spans="1:16384">
      <c r="A80" s="11" t="s">
        <v>33</v>
      </c>
      <c r="K80" s="105"/>
      <c r="L80" s="105"/>
      <c r="M80" s="105"/>
      <c r="N80" s="105"/>
    </row>
    <row r="81" spans="1:15" outlineLevel="1">
      <c r="A81" s="199" t="s">
        <v>2</v>
      </c>
      <c r="B81" s="199"/>
      <c r="C81" s="199"/>
      <c r="D81" s="199"/>
      <c r="E81" s="199"/>
      <c r="F81" s="199"/>
      <c r="G81" s="199"/>
      <c r="H81" s="199"/>
      <c r="I81" s="199"/>
      <c r="J81" s="93">
        <f t="shared" ref="J81:J90" si="2">VLOOKUP(O81,АО,3,FALSE)</f>
        <v>0</v>
      </c>
      <c r="K81" s="105"/>
      <c r="L81" s="216"/>
      <c r="M81" s="105"/>
      <c r="N81" s="105"/>
      <c r="O81" s="66" t="s">
        <v>101</v>
      </c>
    </row>
    <row r="82" spans="1:15" outlineLevel="1">
      <c r="A82" s="199" t="s">
        <v>3</v>
      </c>
      <c r="B82" s="199"/>
      <c r="C82" s="199"/>
      <c r="D82" s="199"/>
      <c r="E82" s="199"/>
      <c r="F82" s="199"/>
      <c r="G82" s="199"/>
      <c r="H82" s="199"/>
      <c r="I82" s="199"/>
      <c r="J82" s="93">
        <f t="shared" si="2"/>
        <v>0</v>
      </c>
      <c r="K82" s="105"/>
      <c r="L82" s="216"/>
      <c r="M82" s="105"/>
      <c r="N82" s="105"/>
      <c r="O82" s="66" t="s">
        <v>102</v>
      </c>
    </row>
    <row r="83" spans="1:15" outlineLevel="1">
      <c r="A83" s="206" t="s">
        <v>4</v>
      </c>
      <c r="B83" s="207"/>
      <c r="C83" s="207"/>
      <c r="D83" s="207"/>
      <c r="E83" s="207"/>
      <c r="F83" s="207"/>
      <c r="G83" s="207"/>
      <c r="H83" s="207"/>
      <c r="I83" s="208"/>
      <c r="J83" s="93">
        <f t="shared" si="2"/>
        <v>223248.15</v>
      </c>
      <c r="K83" s="105"/>
      <c r="L83" s="216"/>
      <c r="M83" s="105"/>
      <c r="N83" s="105"/>
      <c r="O83" s="66" t="s">
        <v>103</v>
      </c>
    </row>
    <row r="84" spans="1:15" outlineLevel="1">
      <c r="A84" s="206" t="s">
        <v>16</v>
      </c>
      <c r="B84" s="207"/>
      <c r="C84" s="207"/>
      <c r="D84" s="207"/>
      <c r="E84" s="207"/>
      <c r="F84" s="207"/>
      <c r="G84" s="207"/>
      <c r="H84" s="207"/>
      <c r="I84" s="208"/>
      <c r="J84" s="93">
        <f t="shared" si="2"/>
        <v>0</v>
      </c>
      <c r="K84" s="105"/>
      <c r="L84" s="216"/>
      <c r="M84" s="105"/>
      <c r="N84" s="105"/>
      <c r="O84" s="66" t="s">
        <v>104</v>
      </c>
    </row>
    <row r="85" spans="1:15" outlineLevel="1">
      <c r="A85" s="206" t="s">
        <v>17</v>
      </c>
      <c r="B85" s="207"/>
      <c r="C85" s="207"/>
      <c r="D85" s="207"/>
      <c r="E85" s="207"/>
      <c r="F85" s="207"/>
      <c r="G85" s="207"/>
      <c r="H85" s="207"/>
      <c r="I85" s="208"/>
      <c r="J85" s="93">
        <f t="shared" si="2"/>
        <v>0</v>
      </c>
      <c r="K85" s="105"/>
      <c r="L85" s="216"/>
      <c r="M85" s="105"/>
      <c r="N85" s="105"/>
      <c r="O85" s="66" t="s">
        <v>105</v>
      </c>
    </row>
    <row r="86" spans="1:15" outlineLevel="1">
      <c r="A86" s="206" t="s">
        <v>18</v>
      </c>
      <c r="B86" s="207"/>
      <c r="C86" s="207"/>
      <c r="D86" s="207"/>
      <c r="E86" s="207"/>
      <c r="F86" s="207"/>
      <c r="G86" s="207"/>
      <c r="H86" s="207"/>
      <c r="I86" s="208"/>
      <c r="J86" s="93">
        <f t="shared" si="2"/>
        <v>217649.17</v>
      </c>
      <c r="K86" s="105"/>
      <c r="L86" s="216"/>
      <c r="M86" s="105"/>
      <c r="N86" s="105"/>
      <c r="O86" s="66" t="s">
        <v>106</v>
      </c>
    </row>
    <row r="87" spans="1:15" ht="18.75" customHeight="1" outlineLevel="1">
      <c r="A87" s="206" t="s">
        <v>26</v>
      </c>
      <c r="B87" s="207"/>
      <c r="C87" s="207"/>
      <c r="D87" s="207"/>
      <c r="E87" s="207"/>
      <c r="F87" s="207"/>
      <c r="G87" s="207"/>
      <c r="H87" s="207"/>
      <c r="I87" s="208"/>
      <c r="J87" s="8">
        <f t="shared" si="2"/>
        <v>0</v>
      </c>
      <c r="K87" s="105"/>
      <c r="L87" s="216"/>
      <c r="M87" s="105"/>
      <c r="N87" s="105"/>
      <c r="O87" s="66" t="s">
        <v>107</v>
      </c>
    </row>
    <row r="88" spans="1:15" ht="18.75" customHeight="1" outlineLevel="1">
      <c r="A88" s="206" t="s">
        <v>27</v>
      </c>
      <c r="B88" s="207"/>
      <c r="C88" s="207"/>
      <c r="D88" s="207"/>
      <c r="E88" s="207"/>
      <c r="F88" s="207"/>
      <c r="G88" s="207"/>
      <c r="H88" s="207"/>
      <c r="I88" s="208"/>
      <c r="J88" s="8">
        <f t="shared" si="2"/>
        <v>0</v>
      </c>
      <c r="K88" s="105"/>
      <c r="L88" s="216"/>
      <c r="M88" s="105"/>
      <c r="N88" s="105"/>
      <c r="O88" s="66" t="s">
        <v>108</v>
      </c>
    </row>
    <row r="89" spans="1:15" ht="18.75" customHeight="1" outlineLevel="1">
      <c r="A89" s="206" t="s">
        <v>28</v>
      </c>
      <c r="B89" s="207"/>
      <c r="C89" s="207"/>
      <c r="D89" s="207"/>
      <c r="E89" s="207"/>
      <c r="F89" s="207"/>
      <c r="G89" s="207"/>
      <c r="H89" s="207"/>
      <c r="I89" s="208"/>
      <c r="J89" s="8">
        <f t="shared" si="2"/>
        <v>0</v>
      </c>
      <c r="K89" s="105"/>
      <c r="L89" s="216"/>
      <c r="M89" s="105"/>
      <c r="N89" s="105"/>
      <c r="O89" s="66" t="s">
        <v>109</v>
      </c>
    </row>
    <row r="90" spans="1:15" ht="18.75" customHeight="1" outlineLevel="1">
      <c r="A90" s="206" t="s">
        <v>29</v>
      </c>
      <c r="B90" s="207"/>
      <c r="C90" s="207"/>
      <c r="D90" s="207"/>
      <c r="E90" s="207"/>
      <c r="F90" s="207"/>
      <c r="G90" s="207"/>
      <c r="H90" s="207"/>
      <c r="I90" s="208"/>
      <c r="J90" s="93">
        <f t="shared" si="2"/>
        <v>0</v>
      </c>
      <c r="K90" s="105"/>
      <c r="L90" s="216"/>
      <c r="M90" s="105"/>
      <c r="N90" s="105"/>
      <c r="O90" s="66" t="s">
        <v>110</v>
      </c>
    </row>
    <row r="91" spans="1:15">
      <c r="A91" s="100" t="s">
        <v>172</v>
      </c>
      <c r="K91" s="105"/>
      <c r="L91" s="105"/>
      <c r="M91" s="105"/>
      <c r="N91" s="105"/>
    </row>
    <row r="92" spans="1:15">
      <c r="A92" s="11" t="s">
        <v>34</v>
      </c>
      <c r="K92" s="105"/>
      <c r="L92" s="105"/>
      <c r="M92" s="105"/>
      <c r="N92" s="105"/>
    </row>
    <row r="93" spans="1:15" ht="30.75" customHeight="1" outlineLevel="1">
      <c r="A93" s="200" t="s">
        <v>47</v>
      </c>
      <c r="B93" s="200"/>
      <c r="C93" s="200"/>
      <c r="D93" s="203" t="s">
        <v>48</v>
      </c>
      <c r="E93" s="203"/>
      <c r="F93" s="10" t="s">
        <v>49</v>
      </c>
      <c r="G93" s="200" t="s">
        <v>50</v>
      </c>
      <c r="H93" s="200"/>
      <c r="I93" s="200"/>
      <c r="J93" s="200"/>
      <c r="K93" s="105"/>
      <c r="L93" s="105"/>
      <c r="M93" s="105"/>
      <c r="N93" s="105"/>
    </row>
    <row r="94" spans="1:15" hidden="1" outlineLevel="1">
      <c r="A94" s="204">
        <f>IF(VLOOKUP("эл",АО,3,FALSE)&gt;0,"Электроснабжение",0)</f>
        <v>0</v>
      </c>
      <c r="B94" s="204"/>
      <c r="C94" s="204"/>
      <c r="D94" s="202">
        <f>IF(VLOOKUP("эл",АО,3,FALSE)&gt;0,VLOOKUP("эл",АО,3,FALSE),0)</f>
        <v>0</v>
      </c>
      <c r="E94" s="202"/>
      <c r="F94" s="13">
        <f>IF(VLOOKUP("эл",АО,3,FALSE)&gt;0,VLOOKUP("эл",АО,4,FALSE),0)</f>
        <v>0</v>
      </c>
      <c r="G94" s="201">
        <f>VLOOKUP("эл",АО,5,FALSE)</f>
        <v>0</v>
      </c>
      <c r="H94" s="202"/>
      <c r="I94" s="202"/>
      <c r="J94" s="202"/>
      <c r="K94" s="1" t="str">
        <f>VLOOKUP("эл",АО,2,FALSE)</f>
        <v>Электроснабжение</v>
      </c>
      <c r="L94" s="217"/>
    </row>
    <row r="95" spans="1:15" hidden="1" outlineLevel="2">
      <c r="A95" s="205">
        <f>IF(VLOOKUP("эл",АО,3,FALSE)&gt;0,VLOOKUP("эл1",АО,2,FALSE),0)</f>
        <v>0</v>
      </c>
      <c r="B95" s="205"/>
      <c r="C95" s="205"/>
      <c r="D95" s="205"/>
      <c r="E95" s="205"/>
      <c r="F95" s="205"/>
      <c r="G95" s="205"/>
      <c r="H95" s="205"/>
      <c r="I95" s="205"/>
      <c r="J95" s="18">
        <f t="shared" ref="J95:J101" si="3">VLOOKUP(O95,АО,3,FALSE)</f>
        <v>0</v>
      </c>
      <c r="L95" s="217"/>
      <c r="O95" s="1" t="s">
        <v>111</v>
      </c>
    </row>
    <row r="96" spans="1:15" hidden="1" outlineLevel="2">
      <c r="A96" s="205">
        <f>IF(VLOOKUP("эл",АО,3,FALSE)&gt;0,VLOOKUP("эл2",АО,2,FALSE),0)</f>
        <v>0</v>
      </c>
      <c r="B96" s="205"/>
      <c r="C96" s="205"/>
      <c r="D96" s="205"/>
      <c r="E96" s="205"/>
      <c r="F96" s="205"/>
      <c r="G96" s="205"/>
      <c r="H96" s="205"/>
      <c r="I96" s="205"/>
      <c r="J96" s="18">
        <f t="shared" si="3"/>
        <v>0</v>
      </c>
      <c r="L96" s="217"/>
      <c r="O96" s="1" t="s">
        <v>112</v>
      </c>
    </row>
    <row r="97" spans="1:15" hidden="1" outlineLevel="2">
      <c r="A97" s="205">
        <f>IF(VLOOKUP("эл",АО,3,FALSE)&gt;0,VLOOKUP("эл3",АО,2,FALSE),0)</f>
        <v>0</v>
      </c>
      <c r="B97" s="205"/>
      <c r="C97" s="205"/>
      <c r="D97" s="205"/>
      <c r="E97" s="205"/>
      <c r="F97" s="205"/>
      <c r="G97" s="205"/>
      <c r="H97" s="205"/>
      <c r="I97" s="205"/>
      <c r="J97" s="18">
        <f t="shared" si="3"/>
        <v>0</v>
      </c>
      <c r="L97" s="217"/>
      <c r="O97" s="1" t="s">
        <v>113</v>
      </c>
    </row>
    <row r="98" spans="1:15" ht="37.5" hidden="1" customHeight="1" outlineLevel="2">
      <c r="A98" s="205">
        <f>IF(VLOOKUP("эл",АО,3,FALSE)&gt;0,VLOOKUP("эл4",АО,2,FALSE),0)</f>
        <v>0</v>
      </c>
      <c r="B98" s="205"/>
      <c r="C98" s="205"/>
      <c r="D98" s="205"/>
      <c r="E98" s="205"/>
      <c r="F98" s="205"/>
      <c r="G98" s="205"/>
      <c r="H98" s="205"/>
      <c r="I98" s="205"/>
      <c r="J98" s="18">
        <f t="shared" si="3"/>
        <v>0</v>
      </c>
      <c r="L98" s="217"/>
      <c r="O98" s="1" t="s">
        <v>114</v>
      </c>
    </row>
    <row r="99" spans="1:15" hidden="1" outlineLevel="2">
      <c r="A99" s="205">
        <f>IF(VLOOKUP("эл",АО,3,FALSE)&gt;0,VLOOKUP("эл5",АО,2,FALSE),0)</f>
        <v>0</v>
      </c>
      <c r="B99" s="205"/>
      <c r="C99" s="205"/>
      <c r="D99" s="205"/>
      <c r="E99" s="205"/>
      <c r="F99" s="205"/>
      <c r="G99" s="205"/>
      <c r="H99" s="205"/>
      <c r="I99" s="205"/>
      <c r="J99" s="18">
        <f t="shared" si="3"/>
        <v>0</v>
      </c>
      <c r="L99" s="217"/>
      <c r="O99" s="1" t="s">
        <v>115</v>
      </c>
    </row>
    <row r="100" spans="1:15" ht="39" hidden="1" customHeight="1" outlineLevel="2">
      <c r="A100" s="205">
        <f>IF(VLOOKUP("эл",АО,3,FALSE)&gt;0,VLOOKUP("эл6",АО,2,FALSE),0)</f>
        <v>0</v>
      </c>
      <c r="B100" s="205"/>
      <c r="C100" s="205"/>
      <c r="D100" s="205"/>
      <c r="E100" s="205"/>
      <c r="F100" s="205"/>
      <c r="G100" s="205"/>
      <c r="H100" s="205"/>
      <c r="I100" s="205"/>
      <c r="J100" s="18">
        <f t="shared" si="3"/>
        <v>0</v>
      </c>
      <c r="L100" s="217"/>
      <c r="O100" s="1" t="s">
        <v>116</v>
      </c>
    </row>
    <row r="101" spans="1:15" ht="34.5" hidden="1" customHeight="1" outlineLevel="2">
      <c r="A101" s="205">
        <f>IF(VLOOKUP("эл",АО,3,FALSE)&gt;0,VLOOKUP("эл7",АО,2,FALSE),0)</f>
        <v>0</v>
      </c>
      <c r="B101" s="205"/>
      <c r="C101" s="205"/>
      <c r="D101" s="205"/>
      <c r="E101" s="205"/>
      <c r="F101" s="205"/>
      <c r="G101" s="205"/>
      <c r="H101" s="205"/>
      <c r="I101" s="205"/>
      <c r="J101" s="18">
        <f t="shared" si="3"/>
        <v>0</v>
      </c>
      <c r="L101" s="217"/>
      <c r="O101" s="1" t="s">
        <v>117</v>
      </c>
    </row>
    <row r="102" spans="1:15" ht="28.5" hidden="1" customHeight="1" outlineLevel="1">
      <c r="A102" s="204">
        <f>IF(VLOOKUP("хвс",АО,3,FALSE)&gt;0,"Холодное водоснабжение",0)</f>
        <v>0</v>
      </c>
      <c r="B102" s="204"/>
      <c r="C102" s="204"/>
      <c r="D102" s="202">
        <f>IF(VLOOKUP("хвс",АО,3,FALSE)&gt;0,VLOOKUP("хвс",АО,3,FALSE),0)</f>
        <v>0</v>
      </c>
      <c r="E102" s="202"/>
      <c r="F102" s="13">
        <f>IF(VLOOKUP("хвс",АО,3,FALSE)&gt;0,VLOOKUP("хвс",АО,4,FALSE),0)</f>
        <v>0</v>
      </c>
      <c r="G102" s="201">
        <f>VLOOKUP("хвс",АО,5,FALSE)</f>
        <v>0</v>
      </c>
      <c r="H102" s="202"/>
      <c r="I102" s="202"/>
      <c r="J102" s="202"/>
      <c r="L102" s="217"/>
    </row>
    <row r="103" spans="1:15" hidden="1" outlineLevel="2">
      <c r="A103" s="205">
        <f t="shared" ref="A103:A109" si="4">IF(VLOOKUP("хвс",АО,3,FALSE)&gt;0,VLOOKUP(O103,АО,2,FALSE),0)</f>
        <v>0</v>
      </c>
      <c r="B103" s="205"/>
      <c r="C103" s="205"/>
      <c r="D103" s="205"/>
      <c r="E103" s="205"/>
      <c r="F103" s="205"/>
      <c r="G103" s="205"/>
      <c r="H103" s="205"/>
      <c r="I103" s="205"/>
      <c r="J103" s="18">
        <f t="shared" ref="J103:J109" si="5">VLOOKUP(O103,АО,3,FALSE)</f>
        <v>0</v>
      </c>
      <c r="L103" s="217"/>
      <c r="O103" s="1" t="s">
        <v>120</v>
      </c>
    </row>
    <row r="104" spans="1:15" ht="18.75" hidden="1" customHeight="1" outlineLevel="2">
      <c r="A104" s="205">
        <f t="shared" si="4"/>
        <v>0</v>
      </c>
      <c r="B104" s="205"/>
      <c r="C104" s="205"/>
      <c r="D104" s="205"/>
      <c r="E104" s="205"/>
      <c r="F104" s="205"/>
      <c r="G104" s="205"/>
      <c r="H104" s="205"/>
      <c r="I104" s="205"/>
      <c r="J104" s="18">
        <f t="shared" si="5"/>
        <v>0</v>
      </c>
      <c r="L104" s="217"/>
      <c r="O104" s="1" t="s">
        <v>121</v>
      </c>
    </row>
    <row r="105" spans="1:15" ht="18.75" hidden="1" customHeight="1" outlineLevel="2">
      <c r="A105" s="205">
        <f t="shared" si="4"/>
        <v>0</v>
      </c>
      <c r="B105" s="205"/>
      <c r="C105" s="205"/>
      <c r="D105" s="205"/>
      <c r="E105" s="205"/>
      <c r="F105" s="205"/>
      <c r="G105" s="205"/>
      <c r="H105" s="205"/>
      <c r="I105" s="205"/>
      <c r="J105" s="18">
        <f t="shared" si="5"/>
        <v>0</v>
      </c>
      <c r="L105" s="217"/>
      <c r="O105" s="1" t="s">
        <v>122</v>
      </c>
    </row>
    <row r="106" spans="1:15" ht="36.75" hidden="1" customHeight="1" outlineLevel="2">
      <c r="A106" s="205">
        <f t="shared" si="4"/>
        <v>0</v>
      </c>
      <c r="B106" s="205"/>
      <c r="C106" s="205"/>
      <c r="D106" s="205"/>
      <c r="E106" s="205"/>
      <c r="F106" s="205"/>
      <c r="G106" s="205"/>
      <c r="H106" s="205"/>
      <c r="I106" s="205"/>
      <c r="J106" s="18">
        <f t="shared" si="5"/>
        <v>0</v>
      </c>
      <c r="L106" s="217"/>
      <c r="O106" s="1" t="s">
        <v>123</v>
      </c>
    </row>
    <row r="107" spans="1:15" ht="18.75" hidden="1" customHeight="1" outlineLevel="2">
      <c r="A107" s="205">
        <f t="shared" si="4"/>
        <v>0</v>
      </c>
      <c r="B107" s="205"/>
      <c r="C107" s="205"/>
      <c r="D107" s="205"/>
      <c r="E107" s="205"/>
      <c r="F107" s="205"/>
      <c r="G107" s="205"/>
      <c r="H107" s="205"/>
      <c r="I107" s="205"/>
      <c r="J107" s="18">
        <f t="shared" si="5"/>
        <v>0</v>
      </c>
      <c r="L107" s="217"/>
      <c r="O107" s="1" t="s">
        <v>124</v>
      </c>
    </row>
    <row r="108" spans="1:15" ht="37.5" hidden="1" customHeight="1" outlineLevel="2">
      <c r="A108" s="205">
        <f t="shared" si="4"/>
        <v>0</v>
      </c>
      <c r="B108" s="205"/>
      <c r="C108" s="205"/>
      <c r="D108" s="205"/>
      <c r="E108" s="205"/>
      <c r="F108" s="205"/>
      <c r="G108" s="205"/>
      <c r="H108" s="205"/>
      <c r="I108" s="205"/>
      <c r="J108" s="18">
        <f t="shared" si="5"/>
        <v>0</v>
      </c>
      <c r="L108" s="217"/>
      <c r="O108" s="1" t="s">
        <v>125</v>
      </c>
    </row>
    <row r="109" spans="1:15" ht="39.75" hidden="1" customHeight="1" outlineLevel="2">
      <c r="A109" s="205">
        <f t="shared" si="4"/>
        <v>0</v>
      </c>
      <c r="B109" s="205"/>
      <c r="C109" s="205"/>
      <c r="D109" s="205"/>
      <c r="E109" s="205"/>
      <c r="F109" s="205"/>
      <c r="G109" s="205"/>
      <c r="H109" s="205"/>
      <c r="I109" s="205"/>
      <c r="J109" s="18">
        <f t="shared" si="5"/>
        <v>0</v>
      </c>
      <c r="L109" s="217"/>
      <c r="O109" s="1" t="s">
        <v>126</v>
      </c>
    </row>
    <row r="110" spans="1:15" ht="27" hidden="1" customHeight="1" outlineLevel="1">
      <c r="A110" s="204">
        <f>IF(VLOOKUP("воо",АО,3,FALSE)&gt;0,"Водоотведение",0)</f>
        <v>0</v>
      </c>
      <c r="B110" s="204"/>
      <c r="C110" s="204"/>
      <c r="D110" s="202">
        <f>IF(VLOOKUP("воо",АО,3,FALSE)&gt;0,VLOOKUP("воо",АО,3,FALSE),0)</f>
        <v>0</v>
      </c>
      <c r="E110" s="202"/>
      <c r="F110" s="13">
        <f>IF(VLOOKUP("воо",АО,3,FALSE)&gt;0,VLOOKUP("воо",АО,4,FALSE),0)</f>
        <v>0</v>
      </c>
      <c r="G110" s="201">
        <f>VLOOKUP("воо",АО,5,FALSE)</f>
        <v>0</v>
      </c>
      <c r="H110" s="202"/>
      <c r="I110" s="202"/>
      <c r="J110" s="202"/>
      <c r="L110" s="217"/>
    </row>
    <row r="111" spans="1:15" hidden="1" outlineLevel="2">
      <c r="A111" s="199">
        <f t="shared" ref="A111:A117" si="6">IF(VLOOKUP("воо",АО,3,FALSE)&gt;0,VLOOKUP(O111,АО,2,FALSE),0)</f>
        <v>0</v>
      </c>
      <c r="B111" s="199"/>
      <c r="C111" s="199"/>
      <c r="D111" s="199"/>
      <c r="E111" s="199"/>
      <c r="F111" s="199"/>
      <c r="G111" s="199"/>
      <c r="H111" s="199"/>
      <c r="I111" s="199"/>
      <c r="J111" s="18">
        <f t="shared" ref="J111:J117" si="7">VLOOKUP(O111,АО,3,FALSE)</f>
        <v>0</v>
      </c>
      <c r="L111" s="217"/>
      <c r="O111" s="1" t="s">
        <v>128</v>
      </c>
    </row>
    <row r="112" spans="1:15" ht="18.75" hidden="1" customHeight="1" outlineLevel="2">
      <c r="A112" s="199">
        <f t="shared" si="6"/>
        <v>0</v>
      </c>
      <c r="B112" s="199"/>
      <c r="C112" s="199"/>
      <c r="D112" s="199"/>
      <c r="E112" s="199"/>
      <c r="F112" s="199"/>
      <c r="G112" s="199"/>
      <c r="H112" s="199"/>
      <c r="I112" s="199"/>
      <c r="J112" s="18">
        <f t="shared" si="7"/>
        <v>0</v>
      </c>
      <c r="L112" s="217"/>
      <c r="O112" s="1" t="s">
        <v>129</v>
      </c>
    </row>
    <row r="113" spans="1:15" ht="19.5" hidden="1" customHeight="1" outlineLevel="2">
      <c r="A113" s="199">
        <f t="shared" si="6"/>
        <v>0</v>
      </c>
      <c r="B113" s="199"/>
      <c r="C113" s="199"/>
      <c r="D113" s="199"/>
      <c r="E113" s="199"/>
      <c r="F113" s="199"/>
      <c r="G113" s="199"/>
      <c r="H113" s="199"/>
      <c r="I113" s="199"/>
      <c r="J113" s="18">
        <f t="shared" si="7"/>
        <v>0</v>
      </c>
      <c r="L113" s="217"/>
      <c r="O113" s="1" t="s">
        <v>130</v>
      </c>
    </row>
    <row r="114" spans="1:15" ht="33" hidden="1" customHeight="1" outlineLevel="2">
      <c r="A114" s="199">
        <f t="shared" si="6"/>
        <v>0</v>
      </c>
      <c r="B114" s="199"/>
      <c r="C114" s="199"/>
      <c r="D114" s="199"/>
      <c r="E114" s="199"/>
      <c r="F114" s="199"/>
      <c r="G114" s="199"/>
      <c r="H114" s="199"/>
      <c r="I114" s="199"/>
      <c r="J114" s="18">
        <f t="shared" si="7"/>
        <v>0</v>
      </c>
      <c r="L114" s="217"/>
      <c r="O114" s="1" t="s">
        <v>131</v>
      </c>
    </row>
    <row r="115" spans="1:15" ht="18.75" hidden="1" customHeight="1" outlineLevel="2">
      <c r="A115" s="199">
        <f t="shared" si="6"/>
        <v>0</v>
      </c>
      <c r="B115" s="199"/>
      <c r="C115" s="199"/>
      <c r="D115" s="199"/>
      <c r="E115" s="199"/>
      <c r="F115" s="199"/>
      <c r="G115" s="199"/>
      <c r="H115" s="199"/>
      <c r="I115" s="199"/>
      <c r="J115" s="18">
        <f t="shared" si="7"/>
        <v>0</v>
      </c>
      <c r="L115" s="217"/>
      <c r="O115" s="1" t="s">
        <v>132</v>
      </c>
    </row>
    <row r="116" spans="1:15" ht="33.75" hidden="1" customHeight="1" outlineLevel="2">
      <c r="A116" s="199">
        <f t="shared" si="6"/>
        <v>0</v>
      </c>
      <c r="B116" s="199"/>
      <c r="C116" s="199"/>
      <c r="D116" s="199"/>
      <c r="E116" s="199"/>
      <c r="F116" s="199"/>
      <c r="G116" s="199"/>
      <c r="H116" s="199"/>
      <c r="I116" s="199"/>
      <c r="J116" s="18">
        <f t="shared" si="7"/>
        <v>0</v>
      </c>
      <c r="L116" s="217"/>
      <c r="O116" s="1" t="s">
        <v>133</v>
      </c>
    </row>
    <row r="117" spans="1:15" ht="32.25" hidden="1" customHeight="1" outlineLevel="2">
      <c r="A117" s="199">
        <f t="shared" si="6"/>
        <v>0</v>
      </c>
      <c r="B117" s="199"/>
      <c r="C117" s="199"/>
      <c r="D117" s="199"/>
      <c r="E117" s="199"/>
      <c r="F117" s="199"/>
      <c r="G117" s="199"/>
      <c r="H117" s="199"/>
      <c r="I117" s="199"/>
      <c r="J117" s="18">
        <f t="shared" si="7"/>
        <v>0</v>
      </c>
      <c r="L117" s="217"/>
      <c r="O117" s="1" t="s">
        <v>134</v>
      </c>
    </row>
    <row r="118" spans="1:15" ht="32.25" hidden="1" customHeight="1" outlineLevel="1">
      <c r="A118" s="204">
        <f>IF(VLOOKUP("тко",АО,3,FALSE)&gt;0,"Обращение с ТКО",0)</f>
        <v>0</v>
      </c>
      <c r="B118" s="204"/>
      <c r="C118" s="204"/>
      <c r="D118" s="202">
        <f>IF(VLOOKUP("тко",АО,3,FALSE)&gt;0,VLOOKUP("тко",АО,3,FALSE),0)</f>
        <v>0</v>
      </c>
      <c r="E118" s="202"/>
      <c r="F118" s="13">
        <f>IF(VLOOKUP("тко",АО,3,FALSE)&gt;0,VLOOKUP("тко",АО,4,FALSE),0)</f>
        <v>0</v>
      </c>
      <c r="G118" s="201">
        <f>VLOOKUP("тко",АО,5,FALSE)</f>
        <v>0</v>
      </c>
      <c r="H118" s="202"/>
      <c r="I118" s="202"/>
      <c r="J118" s="202"/>
      <c r="L118" s="44"/>
    </row>
    <row r="119" spans="1:15" ht="32.25" hidden="1" customHeight="1" outlineLevel="2">
      <c r="A119" s="199">
        <f t="shared" ref="A119:A125" si="8">IF(VLOOKUP("тко",АО,3,FALSE)&gt;0,VLOOKUP(O119,АО,2,FALSE),0)</f>
        <v>0</v>
      </c>
      <c r="B119" s="199"/>
      <c r="C119" s="199"/>
      <c r="D119" s="199"/>
      <c r="E119" s="199"/>
      <c r="F119" s="199"/>
      <c r="G119" s="199"/>
      <c r="H119" s="199"/>
      <c r="I119" s="199"/>
      <c r="J119" s="18">
        <f t="shared" ref="J119:J125" si="9">VLOOKUP(O119,АО,3,FALSE)</f>
        <v>0</v>
      </c>
      <c r="L119" s="44"/>
      <c r="O119" s="1" t="s">
        <v>136</v>
      </c>
    </row>
    <row r="120" spans="1:15" ht="32.25" hidden="1" customHeight="1" outlineLevel="2">
      <c r="A120" s="199">
        <f t="shared" si="8"/>
        <v>0</v>
      </c>
      <c r="B120" s="199"/>
      <c r="C120" s="199"/>
      <c r="D120" s="199"/>
      <c r="E120" s="199"/>
      <c r="F120" s="199"/>
      <c r="G120" s="199"/>
      <c r="H120" s="199"/>
      <c r="I120" s="199"/>
      <c r="J120" s="18">
        <f t="shared" si="9"/>
        <v>0</v>
      </c>
      <c r="L120" s="44"/>
      <c r="O120" s="1" t="s">
        <v>137</v>
      </c>
    </row>
    <row r="121" spans="1:15" ht="32.25" hidden="1" customHeight="1" outlineLevel="2">
      <c r="A121" s="199">
        <f t="shared" si="8"/>
        <v>0</v>
      </c>
      <c r="B121" s="199"/>
      <c r="C121" s="199"/>
      <c r="D121" s="199"/>
      <c r="E121" s="199"/>
      <c r="F121" s="199"/>
      <c r="G121" s="199"/>
      <c r="H121" s="199"/>
      <c r="I121" s="199"/>
      <c r="J121" s="18">
        <f t="shared" si="9"/>
        <v>0</v>
      </c>
      <c r="L121" s="44"/>
      <c r="O121" s="1" t="s">
        <v>138</v>
      </c>
    </row>
    <row r="122" spans="1:15" ht="32.25" hidden="1" customHeight="1" outlineLevel="2">
      <c r="A122" s="199">
        <f t="shared" si="8"/>
        <v>0</v>
      </c>
      <c r="B122" s="199"/>
      <c r="C122" s="199"/>
      <c r="D122" s="199"/>
      <c r="E122" s="199"/>
      <c r="F122" s="199"/>
      <c r="G122" s="199"/>
      <c r="H122" s="199"/>
      <c r="I122" s="199"/>
      <c r="J122" s="18">
        <f t="shared" si="9"/>
        <v>0</v>
      </c>
      <c r="L122" s="44"/>
      <c r="O122" s="1" t="s">
        <v>139</v>
      </c>
    </row>
    <row r="123" spans="1:15" ht="32.25" hidden="1" customHeight="1" outlineLevel="2">
      <c r="A123" s="199">
        <f t="shared" si="8"/>
        <v>0</v>
      </c>
      <c r="B123" s="199"/>
      <c r="C123" s="199"/>
      <c r="D123" s="199"/>
      <c r="E123" s="199"/>
      <c r="F123" s="199"/>
      <c r="G123" s="199"/>
      <c r="H123" s="199"/>
      <c r="I123" s="199"/>
      <c r="J123" s="18">
        <f t="shared" si="9"/>
        <v>0</v>
      </c>
      <c r="L123" s="44"/>
      <c r="O123" s="1" t="s">
        <v>140</v>
      </c>
    </row>
    <row r="124" spans="1:15" ht="32.25" hidden="1" customHeight="1" outlineLevel="2">
      <c r="A124" s="199">
        <f t="shared" si="8"/>
        <v>0</v>
      </c>
      <c r="B124" s="199"/>
      <c r="C124" s="199"/>
      <c r="D124" s="199"/>
      <c r="E124" s="199"/>
      <c r="F124" s="199"/>
      <c r="G124" s="199"/>
      <c r="H124" s="199"/>
      <c r="I124" s="199"/>
      <c r="J124" s="18">
        <f t="shared" si="9"/>
        <v>0</v>
      </c>
      <c r="L124" s="44"/>
      <c r="O124" s="1" t="s">
        <v>141</v>
      </c>
    </row>
    <row r="125" spans="1:15" ht="32.25" hidden="1" customHeight="1" outlineLevel="2">
      <c r="A125" s="199">
        <f t="shared" si="8"/>
        <v>0</v>
      </c>
      <c r="B125" s="199"/>
      <c r="C125" s="199"/>
      <c r="D125" s="199"/>
      <c r="E125" s="199"/>
      <c r="F125" s="199"/>
      <c r="G125" s="199"/>
      <c r="H125" s="199"/>
      <c r="I125" s="199"/>
      <c r="J125" s="18">
        <f t="shared" si="9"/>
        <v>0</v>
      </c>
      <c r="L125" s="44"/>
      <c r="O125" s="1" t="s">
        <v>142</v>
      </c>
    </row>
    <row r="126" spans="1:15" ht="32.25" hidden="1" customHeight="1" outlineLevel="1">
      <c r="A126" s="204">
        <f>IF(VLOOKUP("гвс",АО,3,FALSE)&gt;0,"Горячее водоснабжение",0)</f>
        <v>0</v>
      </c>
      <c r="B126" s="204"/>
      <c r="C126" s="204"/>
      <c r="D126" s="202">
        <f>IF(VLOOKUP("гвс",АО,3,FALSE)&gt;0,VLOOKUP("гвс",АО,3,FALSE),0)</f>
        <v>0</v>
      </c>
      <c r="E126" s="202"/>
      <c r="F126" s="13">
        <f>IF(VLOOKUP("гвс",АО,3,FALSE)&gt;0,VLOOKUP("гвс",АО,4,FALSE),0)</f>
        <v>0</v>
      </c>
      <c r="G126" s="201">
        <f>VLOOKUP("гвс",АО,5,FALSE)</f>
        <v>0</v>
      </c>
      <c r="H126" s="202"/>
      <c r="I126" s="202"/>
      <c r="J126" s="202"/>
      <c r="L126" s="44"/>
    </row>
    <row r="127" spans="1:15" ht="32.25" hidden="1" customHeight="1" outlineLevel="2">
      <c r="A127" s="199">
        <f t="shared" ref="A127:A133" si="10">IF(VLOOKUP("гвс",АО,3,FALSE)&gt;0,VLOOKUP(O127,АО,2,FALSE),0)</f>
        <v>0</v>
      </c>
      <c r="B127" s="199"/>
      <c r="C127" s="199"/>
      <c r="D127" s="199"/>
      <c r="E127" s="199"/>
      <c r="F127" s="199"/>
      <c r="G127" s="199"/>
      <c r="H127" s="199"/>
      <c r="I127" s="199"/>
      <c r="J127" s="18">
        <f t="shared" ref="J127:J133" si="11">VLOOKUP(O127,АО,3,FALSE)</f>
        <v>0</v>
      </c>
      <c r="L127" s="44"/>
      <c r="O127" s="1" t="s">
        <v>144</v>
      </c>
    </row>
    <row r="128" spans="1:15" ht="32.25" hidden="1" customHeight="1" outlineLevel="2">
      <c r="A128" s="199">
        <f t="shared" si="10"/>
        <v>0</v>
      </c>
      <c r="B128" s="199"/>
      <c r="C128" s="199"/>
      <c r="D128" s="199"/>
      <c r="E128" s="199"/>
      <c r="F128" s="199"/>
      <c r="G128" s="199"/>
      <c r="H128" s="199"/>
      <c r="I128" s="199"/>
      <c r="J128" s="18">
        <f t="shared" si="11"/>
        <v>0</v>
      </c>
      <c r="L128" s="44"/>
      <c r="O128" s="1" t="s">
        <v>145</v>
      </c>
    </row>
    <row r="129" spans="1:15" ht="32.25" hidden="1" customHeight="1" outlineLevel="2">
      <c r="A129" s="199">
        <f t="shared" si="10"/>
        <v>0</v>
      </c>
      <c r="B129" s="199"/>
      <c r="C129" s="199"/>
      <c r="D129" s="199"/>
      <c r="E129" s="199"/>
      <c r="F129" s="199"/>
      <c r="G129" s="199"/>
      <c r="H129" s="199"/>
      <c r="I129" s="199"/>
      <c r="J129" s="18">
        <f t="shared" si="11"/>
        <v>0</v>
      </c>
      <c r="L129" s="44"/>
      <c r="O129" s="1" t="s">
        <v>146</v>
      </c>
    </row>
    <row r="130" spans="1:15" ht="32.25" hidden="1" customHeight="1" outlineLevel="2">
      <c r="A130" s="199">
        <f t="shared" si="10"/>
        <v>0</v>
      </c>
      <c r="B130" s="199"/>
      <c r="C130" s="199"/>
      <c r="D130" s="199"/>
      <c r="E130" s="199"/>
      <c r="F130" s="199"/>
      <c r="G130" s="199"/>
      <c r="H130" s="199"/>
      <c r="I130" s="199"/>
      <c r="J130" s="18">
        <f t="shared" si="11"/>
        <v>0</v>
      </c>
      <c r="L130" s="44"/>
      <c r="O130" s="1" t="s">
        <v>147</v>
      </c>
    </row>
    <row r="131" spans="1:15" ht="32.25" hidden="1" customHeight="1" outlineLevel="2">
      <c r="A131" s="199">
        <f t="shared" si="10"/>
        <v>0</v>
      </c>
      <c r="B131" s="199"/>
      <c r="C131" s="199"/>
      <c r="D131" s="199"/>
      <c r="E131" s="199"/>
      <c r="F131" s="199"/>
      <c r="G131" s="199"/>
      <c r="H131" s="199"/>
      <c r="I131" s="199"/>
      <c r="J131" s="18">
        <f t="shared" si="11"/>
        <v>0</v>
      </c>
      <c r="L131" s="44"/>
      <c r="O131" s="1" t="s">
        <v>148</v>
      </c>
    </row>
    <row r="132" spans="1:15" ht="32.25" hidden="1" customHeight="1" outlineLevel="2">
      <c r="A132" s="199">
        <f t="shared" si="10"/>
        <v>0</v>
      </c>
      <c r="B132" s="199"/>
      <c r="C132" s="199"/>
      <c r="D132" s="199"/>
      <c r="E132" s="199"/>
      <c r="F132" s="199"/>
      <c r="G132" s="199"/>
      <c r="H132" s="199"/>
      <c r="I132" s="199"/>
      <c r="J132" s="18">
        <f t="shared" si="11"/>
        <v>0</v>
      </c>
      <c r="L132" s="44"/>
      <c r="O132" s="1" t="s">
        <v>149</v>
      </c>
    </row>
    <row r="133" spans="1:15" ht="32.25" hidden="1" customHeight="1" outlineLevel="2">
      <c r="A133" s="199">
        <f t="shared" si="10"/>
        <v>0</v>
      </c>
      <c r="B133" s="199"/>
      <c r="C133" s="199"/>
      <c r="D133" s="199"/>
      <c r="E133" s="199"/>
      <c r="F133" s="199"/>
      <c r="G133" s="199"/>
      <c r="H133" s="199"/>
      <c r="I133" s="199"/>
      <c r="J133" s="18">
        <f t="shared" si="11"/>
        <v>0</v>
      </c>
      <c r="L133" s="44"/>
      <c r="O133" s="1" t="s">
        <v>150</v>
      </c>
    </row>
    <row r="134" spans="1:15" ht="32.25" hidden="1" customHeight="1" outlineLevel="1">
      <c r="A134" s="204">
        <f>IF(VLOOKUP("отопление",АО,3,FALSE)&gt;0,"Отопление",0)</f>
        <v>0</v>
      </c>
      <c r="B134" s="204"/>
      <c r="C134" s="204"/>
      <c r="D134" s="202">
        <f>IF(VLOOKUP("отопление",АО,3,FALSE)&gt;0,VLOOKUP("отопление",АО,3,FALSE),0)</f>
        <v>0</v>
      </c>
      <c r="E134" s="202"/>
      <c r="F134" s="13">
        <f>IF(VLOOKUP("отопление",АО,3,FALSE)&gt;0,VLOOKUP("отопление",АО,4,FALSE),0)</f>
        <v>0</v>
      </c>
      <c r="G134" s="201">
        <f>VLOOKUP("отопление",АО,5,FALSE)</f>
        <v>0</v>
      </c>
      <c r="H134" s="202"/>
      <c r="I134" s="202"/>
      <c r="J134" s="202"/>
      <c r="L134" s="44"/>
    </row>
    <row r="135" spans="1:15" ht="32.25" hidden="1" customHeight="1" outlineLevel="2">
      <c r="A135" s="199">
        <f t="shared" ref="A135:A141" si="12">IF(VLOOKUP("отопление",АО,3,FALSE)&gt;0,VLOOKUP(O135,АО,2,FALSE),0)</f>
        <v>0</v>
      </c>
      <c r="B135" s="199"/>
      <c r="C135" s="199"/>
      <c r="D135" s="199"/>
      <c r="E135" s="199"/>
      <c r="F135" s="199"/>
      <c r="G135" s="199"/>
      <c r="H135" s="199"/>
      <c r="I135" s="199"/>
      <c r="J135" s="18">
        <f t="shared" ref="J135:J141" si="13">VLOOKUP(O135,АО,3,FALSE)</f>
        <v>0</v>
      </c>
      <c r="L135" s="44"/>
      <c r="O135" s="1" t="s">
        <v>152</v>
      </c>
    </row>
    <row r="136" spans="1:15" ht="32.25" hidden="1" customHeight="1" outlineLevel="2">
      <c r="A136" s="199">
        <f t="shared" si="12"/>
        <v>0</v>
      </c>
      <c r="B136" s="199"/>
      <c r="C136" s="199"/>
      <c r="D136" s="199"/>
      <c r="E136" s="199"/>
      <c r="F136" s="199"/>
      <c r="G136" s="199"/>
      <c r="H136" s="199"/>
      <c r="I136" s="199"/>
      <c r="J136" s="18">
        <f t="shared" si="13"/>
        <v>0</v>
      </c>
      <c r="L136" s="44"/>
      <c r="O136" s="1" t="s">
        <v>153</v>
      </c>
    </row>
    <row r="137" spans="1:15" ht="32.25" hidden="1" customHeight="1" outlineLevel="2">
      <c r="A137" s="199">
        <f t="shared" si="12"/>
        <v>0</v>
      </c>
      <c r="B137" s="199"/>
      <c r="C137" s="199"/>
      <c r="D137" s="199"/>
      <c r="E137" s="199"/>
      <c r="F137" s="199"/>
      <c r="G137" s="199"/>
      <c r="H137" s="199"/>
      <c r="I137" s="199"/>
      <c r="J137" s="18">
        <f t="shared" si="13"/>
        <v>0</v>
      </c>
      <c r="L137" s="44"/>
      <c r="O137" s="1" t="s">
        <v>154</v>
      </c>
    </row>
    <row r="138" spans="1:15" ht="32.25" hidden="1" customHeight="1" outlineLevel="2">
      <c r="A138" s="199">
        <f t="shared" si="12"/>
        <v>0</v>
      </c>
      <c r="B138" s="199"/>
      <c r="C138" s="199"/>
      <c r="D138" s="199"/>
      <c r="E138" s="199"/>
      <c r="F138" s="199"/>
      <c r="G138" s="199"/>
      <c r="H138" s="199"/>
      <c r="I138" s="199"/>
      <c r="J138" s="18">
        <f t="shared" si="13"/>
        <v>0</v>
      </c>
      <c r="L138" s="44"/>
      <c r="O138" s="1" t="s">
        <v>155</v>
      </c>
    </row>
    <row r="139" spans="1:15" ht="32.25" hidden="1" customHeight="1" outlineLevel="2">
      <c r="A139" s="199">
        <f t="shared" si="12"/>
        <v>0</v>
      </c>
      <c r="B139" s="199"/>
      <c r="C139" s="199"/>
      <c r="D139" s="199"/>
      <c r="E139" s="199"/>
      <c r="F139" s="199"/>
      <c r="G139" s="199"/>
      <c r="H139" s="199"/>
      <c r="I139" s="199"/>
      <c r="J139" s="18">
        <f t="shared" si="13"/>
        <v>0</v>
      </c>
      <c r="L139" s="44"/>
      <c r="O139" s="1" t="s">
        <v>156</v>
      </c>
    </row>
    <row r="140" spans="1:15" ht="32.25" hidden="1" customHeight="1" outlineLevel="2">
      <c r="A140" s="199">
        <f t="shared" si="12"/>
        <v>0</v>
      </c>
      <c r="B140" s="199"/>
      <c r="C140" s="199"/>
      <c r="D140" s="199"/>
      <c r="E140" s="199"/>
      <c r="F140" s="199"/>
      <c r="G140" s="199"/>
      <c r="H140" s="199"/>
      <c r="I140" s="199"/>
      <c r="J140" s="18">
        <f t="shared" si="13"/>
        <v>0</v>
      </c>
      <c r="L140" s="44"/>
      <c r="O140" s="1" t="s">
        <v>157</v>
      </c>
    </row>
    <row r="141" spans="1:15" ht="32.25" hidden="1" customHeight="1" outlineLevel="2">
      <c r="A141" s="199">
        <f t="shared" si="12"/>
        <v>0</v>
      </c>
      <c r="B141" s="199"/>
      <c r="C141" s="199"/>
      <c r="D141" s="199"/>
      <c r="E141" s="199"/>
      <c r="F141" s="199"/>
      <c r="G141" s="199"/>
      <c r="H141" s="199"/>
      <c r="I141" s="199"/>
      <c r="J141" s="18">
        <f t="shared" si="13"/>
        <v>0</v>
      </c>
      <c r="L141" s="44"/>
      <c r="O141" s="1" t="s">
        <v>158</v>
      </c>
    </row>
    <row r="143" spans="1:15">
      <c r="A143" s="11" t="s">
        <v>43</v>
      </c>
    </row>
    <row r="144" spans="1:15" ht="18.75" customHeight="1" outlineLevel="1">
      <c r="A144" s="199" t="s">
        <v>44</v>
      </c>
      <c r="B144" s="199"/>
      <c r="C144" s="199"/>
      <c r="D144" s="199"/>
      <c r="E144" s="199"/>
      <c r="F144" s="199"/>
      <c r="G144" s="199"/>
      <c r="H144" s="199"/>
      <c r="I144" s="199"/>
      <c r="J144" s="14">
        <f>VLOOKUP(O144,юр,3,FALSE)</f>
        <v>22</v>
      </c>
      <c r="O144" t="s">
        <v>168</v>
      </c>
    </row>
    <row r="145" spans="1:15" ht="18.75" customHeight="1" outlineLevel="1">
      <c r="A145" s="199" t="s">
        <v>45</v>
      </c>
      <c r="B145" s="199"/>
      <c r="C145" s="199"/>
      <c r="D145" s="199"/>
      <c r="E145" s="199"/>
      <c r="F145" s="199"/>
      <c r="G145" s="199"/>
      <c r="H145" s="199"/>
      <c r="I145" s="199"/>
      <c r="J145" s="14">
        <f>VLOOKUP(O145,юр,3,FALSE)</f>
        <v>20</v>
      </c>
      <c r="L145" s="15"/>
      <c r="O145" t="s">
        <v>169</v>
      </c>
    </row>
    <row r="146" spans="1:15" ht="30" customHeight="1" outlineLevel="1">
      <c r="A146" s="199" t="s">
        <v>171</v>
      </c>
      <c r="B146" s="199"/>
      <c r="C146" s="199"/>
      <c r="D146" s="199"/>
      <c r="E146" s="199"/>
      <c r="F146" s="199"/>
      <c r="G146" s="199"/>
      <c r="H146" s="199"/>
      <c r="I146" s="199"/>
      <c r="J146" s="9">
        <f>VLOOKUP(O146,юр,3,FALSE)</f>
        <v>223000</v>
      </c>
      <c r="O146" t="s">
        <v>170</v>
      </c>
    </row>
    <row r="149" spans="1:15" ht="52.5" customHeight="1">
      <c r="A149" s="195" t="s">
        <v>176</v>
      </c>
      <c r="B149" s="195"/>
      <c r="C149" s="195"/>
      <c r="D149" s="195"/>
      <c r="E149" s="195"/>
      <c r="F149" s="195"/>
      <c r="G149" s="195"/>
      <c r="H149" s="195"/>
      <c r="I149" s="195"/>
      <c r="J149" s="195"/>
    </row>
    <row r="150" spans="1:15" ht="10.5" customHeight="1"/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3" spans="1:15" ht="14.25" customHeight="1"/>
    <row r="154" spans="1:15" ht="39.75" customHeight="1">
      <c r="A154" s="194" t="s">
        <v>182</v>
      </c>
      <c r="B154" s="194"/>
      <c r="C154" s="194"/>
      <c r="D154" s="194"/>
      <c r="E154" s="27">
        <f>ПТО!G1</f>
        <v>-261047.94</v>
      </c>
    </row>
    <row r="155" spans="1:15" ht="34.5" customHeight="1">
      <c r="A155" s="196" t="s">
        <v>186</v>
      </c>
      <c r="B155" s="196"/>
      <c r="C155" s="196"/>
      <c r="D155" s="196"/>
      <c r="E155" s="28">
        <f>J13</f>
        <v>228462</v>
      </c>
      <c r="F155" s="21"/>
      <c r="G155" s="21"/>
      <c r="H155" s="26"/>
      <c r="I155" s="21"/>
    </row>
    <row r="156" spans="1:15" ht="13.5" customHeight="1">
      <c r="N156" s="1" t="e">
        <f>INDEX($O$28:$O$42,SMALL(IF(#REF!=R28:R42,ROW(O28:O52)-27,""),ROW()-133))</f>
        <v>#REF!</v>
      </c>
    </row>
    <row r="157" spans="1:15" ht="63">
      <c r="A157" s="197" t="s">
        <v>19</v>
      </c>
      <c r="B157" s="197"/>
      <c r="C157" s="197"/>
      <c r="D157" s="197"/>
      <c r="E157" s="197"/>
      <c r="F157" s="197" t="s">
        <v>20</v>
      </c>
      <c r="G157" s="197"/>
      <c r="H157" s="20" t="s">
        <v>56</v>
      </c>
      <c r="I157" s="197" t="s">
        <v>21</v>
      </c>
      <c r="J157" s="197"/>
    </row>
    <row r="158" spans="1:15" ht="29.25" customHeight="1">
      <c r="A158" s="191" t="str">
        <f t="shared" ref="A158:A163" si="14">IF(N158&gt;0,N158,0)</f>
        <v>Сброс снега с кровли.</v>
      </c>
      <c r="B158" s="191"/>
      <c r="C158" s="191"/>
      <c r="D158" s="191"/>
      <c r="E158" s="191"/>
      <c r="F158" s="192">
        <f t="shared" ref="F158:F163" si="15">IF(ISERROR(VLOOKUP(A158,$A$28:$J$72,6,FALSE)),0,VLOOKUP(A158,$A$28:$J$72,6,FALSE))</f>
        <v>14850</v>
      </c>
      <c r="G158" s="192"/>
      <c r="H158" s="24" t="str">
        <f t="shared" ref="H158:H187" si="16">VLOOKUP(A158,$A$28:$J$72,8,FALSE)</f>
        <v>разово</v>
      </c>
      <c r="I158" s="193">
        <f t="shared" ref="I158:I161" si="17">VLOOKUP(A158,$A$28:$J$72,9,FALSE)</f>
        <v>1</v>
      </c>
      <c r="J158" s="193"/>
      <c r="M158" s="22" t="s">
        <v>71</v>
      </c>
      <c r="N158" s="1" t="str">
        <f t="array" ref="N158:N187">INDEX($O$43:$O$72,SMALL(IF($M$158=R43:R72,ROW(O43:O72)-42,""),ROW()-157))</f>
        <v>Сброс снега с кровли.</v>
      </c>
    </row>
    <row r="159" spans="1:15" ht="28.5" customHeight="1">
      <c r="A159" s="191" t="str">
        <f t="shared" si="14"/>
        <v>Механизированная уборка и вывоз снега с придомовой территории.</v>
      </c>
      <c r="B159" s="191"/>
      <c r="C159" s="191"/>
      <c r="D159" s="191"/>
      <c r="E159" s="191"/>
      <c r="F159" s="192">
        <f t="shared" si="15"/>
        <v>35280</v>
      </c>
      <c r="G159" s="192"/>
      <c r="H159" s="24" t="str">
        <f t="shared" si="16"/>
        <v>разово</v>
      </c>
      <c r="I159" s="193">
        <f t="shared" si="17"/>
        <v>1</v>
      </c>
      <c r="J159" s="193"/>
      <c r="M159" s="22" t="s">
        <v>71</v>
      </c>
      <c r="N159" s="1" t="str">
        <v>Механизированная уборка и вывоз снега с придомовой территории.</v>
      </c>
    </row>
    <row r="160" spans="1:15" ht="28.5" customHeight="1">
      <c r="A160" s="191" t="str">
        <f t="shared" si="14"/>
        <v>Ремонт и обслуживание системы видеонаблюдения.</v>
      </c>
      <c r="B160" s="191"/>
      <c r="C160" s="191"/>
      <c r="D160" s="191"/>
      <c r="E160" s="191"/>
      <c r="F160" s="192">
        <f t="shared" si="15"/>
        <v>14416</v>
      </c>
      <c r="G160" s="192"/>
      <c r="H160" s="24" t="str">
        <f t="shared" si="16"/>
        <v>разово</v>
      </c>
      <c r="I160" s="193">
        <f t="shared" si="17"/>
        <v>1</v>
      </c>
      <c r="J160" s="193"/>
      <c r="M160" s="22" t="s">
        <v>71</v>
      </c>
      <c r="N160" s="1" t="str">
        <v>Ремонт и обслуживание системы видеонаблюдения.</v>
      </c>
    </row>
    <row r="161" spans="1:14" ht="28.5" customHeight="1">
      <c r="A161" s="191" t="str">
        <f>IF(N161&gt;0,N161,0)</f>
        <v>Благоустройство придомовой территории (приобретение рассады).</v>
      </c>
      <c r="B161" s="191"/>
      <c r="C161" s="191"/>
      <c r="D161" s="191"/>
      <c r="E161" s="191"/>
      <c r="F161" s="192">
        <f t="shared" si="15"/>
        <v>2090</v>
      </c>
      <c r="G161" s="192"/>
      <c r="H161" s="24" t="str">
        <f t="shared" si="16"/>
        <v>разово</v>
      </c>
      <c r="I161" s="193">
        <f t="shared" si="17"/>
        <v>1</v>
      </c>
      <c r="J161" s="193"/>
      <c r="M161" s="22" t="s">
        <v>71</v>
      </c>
      <c r="N161" s="1" t="str">
        <v>Благоустройство придомовой территории (приобретение рассады).</v>
      </c>
    </row>
    <row r="162" spans="1:14" ht="28.5" customHeight="1">
      <c r="A162" s="191" t="str">
        <f t="shared" si="14"/>
        <v>Благоустройство придомовой территории (приобретение перегноя).</v>
      </c>
      <c r="B162" s="191"/>
      <c r="C162" s="191"/>
      <c r="D162" s="191"/>
      <c r="E162" s="191"/>
      <c r="F162" s="192">
        <f t="shared" si="15"/>
        <v>2500</v>
      </c>
      <c r="G162" s="192"/>
      <c r="H162" s="24" t="str">
        <f t="shared" si="16"/>
        <v>разово</v>
      </c>
      <c r="I162" s="193">
        <f>VLOOKUP(A162,$A$28:$J$72,9,FALSE)</f>
        <v>1</v>
      </c>
      <c r="J162" s="193"/>
      <c r="M162" s="22" t="s">
        <v>71</v>
      </c>
      <c r="N162" s="1" t="str">
        <v>Благоустройство придомовой территории (приобретение перегноя).</v>
      </c>
    </row>
    <row r="163" spans="1:14" ht="28.5" customHeight="1">
      <c r="A163" s="191" t="str">
        <f t="shared" si="14"/>
        <v>Приобретение краски (для покраски пандусов).</v>
      </c>
      <c r="B163" s="191"/>
      <c r="C163" s="191"/>
      <c r="D163" s="191"/>
      <c r="E163" s="191"/>
      <c r="F163" s="192">
        <f t="shared" si="15"/>
        <v>1905</v>
      </c>
      <c r="G163" s="192"/>
      <c r="H163" s="24" t="str">
        <f t="shared" si="16"/>
        <v>разово</v>
      </c>
      <c r="I163" s="193">
        <f>VLOOKUP(A163,$A$28:$J$72,9,FALSE)</f>
        <v>1</v>
      </c>
      <c r="J163" s="193"/>
      <c r="M163" s="22" t="s">
        <v>71</v>
      </c>
      <c r="N163" s="1" t="str">
        <v>Приобретение краски (для покраски пандусов).</v>
      </c>
    </row>
    <row r="164" spans="1:14" ht="28.5" hidden="1" customHeight="1">
      <c r="A164" s="191">
        <f t="shared" ref="A164:A187" si="18">IF(N164&gt;0,N164,0)</f>
        <v>0</v>
      </c>
      <c r="B164" s="191"/>
      <c r="C164" s="191"/>
      <c r="D164" s="191"/>
      <c r="E164" s="191"/>
      <c r="F164" s="192">
        <f t="shared" ref="F164:F187" si="19">IF(ISERROR(VLOOKUP(A164,$A$28:$J$72,6,FALSE)),0,VLOOKUP(A164,$A$28:$J$72,6,FALSE))</f>
        <v>0</v>
      </c>
      <c r="G164" s="192"/>
      <c r="H164" s="29" t="e">
        <f t="shared" si="16"/>
        <v>#N/A</v>
      </c>
      <c r="I164" s="193" t="e">
        <f t="shared" ref="I164:I187" si="20">VLOOKUP(A164,$A$28:$J$72,9,FALSE)</f>
        <v>#N/A</v>
      </c>
      <c r="J164" s="193"/>
      <c r="M164" s="22" t="s">
        <v>71</v>
      </c>
      <c r="N164" s="1">
        <v>0</v>
      </c>
    </row>
    <row r="165" spans="1:14" ht="28.5" hidden="1" customHeight="1">
      <c r="A165" s="191">
        <f t="shared" si="18"/>
        <v>0</v>
      </c>
      <c r="B165" s="191"/>
      <c r="C165" s="191"/>
      <c r="D165" s="191"/>
      <c r="E165" s="191"/>
      <c r="F165" s="192">
        <f t="shared" si="19"/>
        <v>0</v>
      </c>
      <c r="G165" s="192"/>
      <c r="H165" s="29" t="e">
        <f t="shared" si="16"/>
        <v>#N/A</v>
      </c>
      <c r="I165" s="193" t="e">
        <f t="shared" si="20"/>
        <v>#N/A</v>
      </c>
      <c r="J165" s="193"/>
      <c r="M165" s="22" t="s">
        <v>71</v>
      </c>
      <c r="N165" s="1">
        <v>0</v>
      </c>
    </row>
    <row r="166" spans="1:14" ht="28.5" hidden="1" customHeight="1">
      <c r="A166" s="191">
        <f t="shared" si="18"/>
        <v>0</v>
      </c>
      <c r="B166" s="191"/>
      <c r="C166" s="191"/>
      <c r="D166" s="191"/>
      <c r="E166" s="191"/>
      <c r="F166" s="192">
        <f t="shared" si="19"/>
        <v>0</v>
      </c>
      <c r="G166" s="192"/>
      <c r="H166" s="29" t="e">
        <f t="shared" si="16"/>
        <v>#N/A</v>
      </c>
      <c r="I166" s="193" t="e">
        <f t="shared" si="20"/>
        <v>#N/A</v>
      </c>
      <c r="J166" s="193"/>
      <c r="M166" s="22" t="s">
        <v>71</v>
      </c>
      <c r="N166" s="1">
        <v>0</v>
      </c>
    </row>
    <row r="167" spans="1:14" ht="28.5" hidden="1" customHeight="1">
      <c r="A167" s="191">
        <f t="shared" si="18"/>
        <v>0</v>
      </c>
      <c r="B167" s="191"/>
      <c r="C167" s="191"/>
      <c r="D167" s="191"/>
      <c r="E167" s="191"/>
      <c r="F167" s="192">
        <f t="shared" si="19"/>
        <v>0</v>
      </c>
      <c r="G167" s="192"/>
      <c r="H167" s="29" t="e">
        <f t="shared" si="16"/>
        <v>#N/A</v>
      </c>
      <c r="I167" s="193" t="e">
        <f t="shared" si="20"/>
        <v>#N/A</v>
      </c>
      <c r="J167" s="193"/>
      <c r="M167" s="22" t="s">
        <v>71</v>
      </c>
      <c r="N167" s="1">
        <v>0</v>
      </c>
    </row>
    <row r="168" spans="1:14" ht="28.5" hidden="1" customHeight="1">
      <c r="A168" s="191">
        <f t="shared" si="18"/>
        <v>0</v>
      </c>
      <c r="B168" s="191"/>
      <c r="C168" s="191"/>
      <c r="D168" s="191"/>
      <c r="E168" s="191"/>
      <c r="F168" s="192">
        <f t="shared" si="19"/>
        <v>0</v>
      </c>
      <c r="G168" s="192"/>
      <c r="H168" s="29" t="e">
        <f t="shared" si="16"/>
        <v>#N/A</v>
      </c>
      <c r="I168" s="193" t="e">
        <f t="shared" si="20"/>
        <v>#N/A</v>
      </c>
      <c r="J168" s="193"/>
      <c r="M168" s="22" t="s">
        <v>71</v>
      </c>
      <c r="N168" s="1">
        <v>0</v>
      </c>
    </row>
    <row r="169" spans="1:14" ht="28.5" hidden="1" customHeight="1">
      <c r="A169" s="191">
        <f t="shared" si="18"/>
        <v>0</v>
      </c>
      <c r="B169" s="191"/>
      <c r="C169" s="191"/>
      <c r="D169" s="191"/>
      <c r="E169" s="191"/>
      <c r="F169" s="192">
        <f t="shared" si="19"/>
        <v>0</v>
      </c>
      <c r="G169" s="192"/>
      <c r="H169" s="29" t="e">
        <f t="shared" si="16"/>
        <v>#N/A</v>
      </c>
      <c r="I169" s="193" t="e">
        <f t="shared" si="20"/>
        <v>#N/A</v>
      </c>
      <c r="J169" s="193"/>
      <c r="M169" s="22" t="s">
        <v>71</v>
      </c>
      <c r="N169" s="1">
        <v>0</v>
      </c>
    </row>
    <row r="170" spans="1:14" ht="28.5" hidden="1" customHeight="1">
      <c r="A170" s="191">
        <f t="shared" si="18"/>
        <v>0</v>
      </c>
      <c r="B170" s="191"/>
      <c r="C170" s="191"/>
      <c r="D170" s="191"/>
      <c r="E170" s="191"/>
      <c r="F170" s="192">
        <f t="shared" si="19"/>
        <v>0</v>
      </c>
      <c r="G170" s="192"/>
      <c r="H170" s="29" t="e">
        <f t="shared" si="16"/>
        <v>#N/A</v>
      </c>
      <c r="I170" s="193" t="e">
        <f t="shared" si="20"/>
        <v>#N/A</v>
      </c>
      <c r="J170" s="193"/>
      <c r="M170" s="22" t="s">
        <v>71</v>
      </c>
      <c r="N170" s="1">
        <v>0</v>
      </c>
    </row>
    <row r="171" spans="1:14" ht="28.5" hidden="1" customHeight="1">
      <c r="A171" s="191">
        <f t="shared" si="18"/>
        <v>0</v>
      </c>
      <c r="B171" s="191"/>
      <c r="C171" s="191"/>
      <c r="D171" s="191"/>
      <c r="E171" s="191"/>
      <c r="F171" s="192">
        <f t="shared" si="19"/>
        <v>0</v>
      </c>
      <c r="G171" s="192"/>
      <c r="H171" s="29" t="e">
        <f t="shared" si="16"/>
        <v>#N/A</v>
      </c>
      <c r="I171" s="193" t="e">
        <f t="shared" si="20"/>
        <v>#N/A</v>
      </c>
      <c r="J171" s="193"/>
      <c r="M171" s="22" t="s">
        <v>71</v>
      </c>
      <c r="N171" s="1">
        <v>0</v>
      </c>
    </row>
    <row r="172" spans="1:14" ht="28.5" hidden="1" customHeight="1">
      <c r="A172" s="191">
        <f t="shared" si="18"/>
        <v>0</v>
      </c>
      <c r="B172" s="191"/>
      <c r="C172" s="191"/>
      <c r="D172" s="191"/>
      <c r="E172" s="191"/>
      <c r="F172" s="192">
        <f t="shared" si="19"/>
        <v>0</v>
      </c>
      <c r="G172" s="192"/>
      <c r="H172" s="29" t="e">
        <f t="shared" si="16"/>
        <v>#N/A</v>
      </c>
      <c r="I172" s="193" t="e">
        <f t="shared" si="20"/>
        <v>#N/A</v>
      </c>
      <c r="J172" s="193"/>
      <c r="M172" s="22" t="s">
        <v>71</v>
      </c>
      <c r="N172" s="1">
        <v>0</v>
      </c>
    </row>
    <row r="173" spans="1:14" ht="28.5" hidden="1" customHeight="1">
      <c r="A173" s="191">
        <f t="shared" si="18"/>
        <v>0</v>
      </c>
      <c r="B173" s="191"/>
      <c r="C173" s="191"/>
      <c r="D173" s="191"/>
      <c r="E173" s="191"/>
      <c r="F173" s="192">
        <f t="shared" si="19"/>
        <v>0</v>
      </c>
      <c r="G173" s="192"/>
      <c r="H173" s="29" t="e">
        <f t="shared" si="16"/>
        <v>#N/A</v>
      </c>
      <c r="I173" s="193" t="e">
        <f t="shared" si="20"/>
        <v>#N/A</v>
      </c>
      <c r="J173" s="193"/>
      <c r="M173" s="22" t="s">
        <v>71</v>
      </c>
      <c r="N173" s="1">
        <v>0</v>
      </c>
    </row>
    <row r="174" spans="1:14" ht="28.5" hidden="1" customHeight="1">
      <c r="A174" s="191">
        <f t="shared" si="18"/>
        <v>0</v>
      </c>
      <c r="B174" s="191"/>
      <c r="C174" s="191"/>
      <c r="D174" s="191"/>
      <c r="E174" s="191"/>
      <c r="F174" s="192">
        <f t="shared" si="19"/>
        <v>0</v>
      </c>
      <c r="G174" s="192"/>
      <c r="H174" s="29" t="e">
        <f t="shared" si="16"/>
        <v>#N/A</v>
      </c>
      <c r="I174" s="193" t="e">
        <f t="shared" si="20"/>
        <v>#N/A</v>
      </c>
      <c r="J174" s="193"/>
      <c r="M174" s="22" t="s">
        <v>71</v>
      </c>
      <c r="N174" s="1">
        <v>0</v>
      </c>
    </row>
    <row r="175" spans="1:14" ht="28.5" hidden="1" customHeight="1">
      <c r="A175" s="191">
        <f t="shared" si="18"/>
        <v>0</v>
      </c>
      <c r="B175" s="191"/>
      <c r="C175" s="191"/>
      <c r="D175" s="191"/>
      <c r="E175" s="191"/>
      <c r="F175" s="192">
        <f t="shared" si="19"/>
        <v>0</v>
      </c>
      <c r="G175" s="192"/>
      <c r="H175" s="29" t="e">
        <f t="shared" si="16"/>
        <v>#N/A</v>
      </c>
      <c r="I175" s="193" t="e">
        <f t="shared" si="20"/>
        <v>#N/A</v>
      </c>
      <c r="J175" s="193"/>
      <c r="M175" s="22" t="s">
        <v>71</v>
      </c>
      <c r="N175" s="1">
        <v>0</v>
      </c>
    </row>
    <row r="176" spans="1:14" ht="28.5" hidden="1" customHeight="1">
      <c r="A176" s="191">
        <f t="shared" si="18"/>
        <v>0</v>
      </c>
      <c r="B176" s="191"/>
      <c r="C176" s="191"/>
      <c r="D176" s="191"/>
      <c r="E176" s="191"/>
      <c r="F176" s="192">
        <f t="shared" si="19"/>
        <v>0</v>
      </c>
      <c r="G176" s="192"/>
      <c r="H176" s="29" t="e">
        <f t="shared" si="16"/>
        <v>#N/A</v>
      </c>
      <c r="I176" s="193" t="e">
        <f t="shared" si="20"/>
        <v>#N/A</v>
      </c>
      <c r="J176" s="193"/>
      <c r="M176" s="22" t="s">
        <v>71</v>
      </c>
      <c r="N176" s="1">
        <v>0</v>
      </c>
    </row>
    <row r="177" spans="1:14" ht="28.5" hidden="1" customHeight="1">
      <c r="A177" s="191">
        <f t="shared" si="18"/>
        <v>0</v>
      </c>
      <c r="B177" s="191"/>
      <c r="C177" s="191"/>
      <c r="D177" s="191"/>
      <c r="E177" s="191"/>
      <c r="F177" s="192">
        <f t="shared" si="19"/>
        <v>0</v>
      </c>
      <c r="G177" s="192"/>
      <c r="H177" s="29" t="e">
        <f t="shared" si="16"/>
        <v>#N/A</v>
      </c>
      <c r="I177" s="193" t="e">
        <f t="shared" si="20"/>
        <v>#N/A</v>
      </c>
      <c r="J177" s="193"/>
      <c r="M177" s="22" t="s">
        <v>71</v>
      </c>
      <c r="N177" s="1">
        <v>0</v>
      </c>
    </row>
    <row r="178" spans="1:14" ht="28.5" hidden="1" customHeight="1">
      <c r="A178" s="191">
        <f t="shared" si="18"/>
        <v>0</v>
      </c>
      <c r="B178" s="191"/>
      <c r="C178" s="191"/>
      <c r="D178" s="191"/>
      <c r="E178" s="191"/>
      <c r="F178" s="192">
        <f t="shared" si="19"/>
        <v>0</v>
      </c>
      <c r="G178" s="192"/>
      <c r="H178" s="29" t="e">
        <f t="shared" si="16"/>
        <v>#N/A</v>
      </c>
      <c r="I178" s="193" t="e">
        <f t="shared" si="20"/>
        <v>#N/A</v>
      </c>
      <c r="J178" s="193"/>
      <c r="M178" s="22" t="s">
        <v>71</v>
      </c>
      <c r="N178" s="1">
        <v>0</v>
      </c>
    </row>
    <row r="179" spans="1:14" ht="28.5" hidden="1" customHeight="1">
      <c r="A179" s="191">
        <f t="shared" si="18"/>
        <v>0</v>
      </c>
      <c r="B179" s="191"/>
      <c r="C179" s="191"/>
      <c r="D179" s="191"/>
      <c r="E179" s="191"/>
      <c r="F179" s="192">
        <f t="shared" si="19"/>
        <v>0</v>
      </c>
      <c r="G179" s="192"/>
      <c r="H179" s="29" t="e">
        <f t="shared" si="16"/>
        <v>#N/A</v>
      </c>
      <c r="I179" s="193" t="e">
        <f t="shared" si="20"/>
        <v>#N/A</v>
      </c>
      <c r="J179" s="193"/>
      <c r="M179" s="22" t="s">
        <v>71</v>
      </c>
      <c r="N179" s="1">
        <v>0</v>
      </c>
    </row>
    <row r="180" spans="1:14" ht="28.5" hidden="1" customHeight="1">
      <c r="A180" s="191">
        <f t="shared" si="18"/>
        <v>0</v>
      </c>
      <c r="B180" s="191"/>
      <c r="C180" s="191"/>
      <c r="D180" s="191"/>
      <c r="E180" s="191"/>
      <c r="F180" s="192">
        <f t="shared" si="19"/>
        <v>0</v>
      </c>
      <c r="G180" s="192"/>
      <c r="H180" s="29" t="e">
        <f t="shared" si="16"/>
        <v>#N/A</v>
      </c>
      <c r="I180" s="193" t="e">
        <f t="shared" si="20"/>
        <v>#N/A</v>
      </c>
      <c r="J180" s="193"/>
      <c r="M180" s="22" t="s">
        <v>71</v>
      </c>
      <c r="N180" s="1">
        <v>0</v>
      </c>
    </row>
    <row r="181" spans="1:14" ht="28.5" hidden="1" customHeight="1">
      <c r="A181" s="191">
        <f t="shared" si="18"/>
        <v>0</v>
      </c>
      <c r="B181" s="191"/>
      <c r="C181" s="191"/>
      <c r="D181" s="191"/>
      <c r="E181" s="191"/>
      <c r="F181" s="192">
        <f t="shared" si="19"/>
        <v>0</v>
      </c>
      <c r="G181" s="192"/>
      <c r="H181" s="29" t="e">
        <f t="shared" si="16"/>
        <v>#N/A</v>
      </c>
      <c r="I181" s="193" t="e">
        <f t="shared" si="20"/>
        <v>#N/A</v>
      </c>
      <c r="J181" s="193"/>
      <c r="M181" s="22" t="s">
        <v>71</v>
      </c>
      <c r="N181" s="1">
        <v>0</v>
      </c>
    </row>
    <row r="182" spans="1:14" ht="28.5" hidden="1" customHeight="1">
      <c r="A182" s="191">
        <f t="shared" si="18"/>
        <v>0</v>
      </c>
      <c r="B182" s="191"/>
      <c r="C182" s="191"/>
      <c r="D182" s="191"/>
      <c r="E182" s="191"/>
      <c r="F182" s="192">
        <f t="shared" si="19"/>
        <v>0</v>
      </c>
      <c r="G182" s="192"/>
      <c r="H182" s="29" t="e">
        <f t="shared" si="16"/>
        <v>#N/A</v>
      </c>
      <c r="I182" s="193" t="e">
        <f t="shared" si="20"/>
        <v>#N/A</v>
      </c>
      <c r="J182" s="193"/>
      <c r="M182" s="22" t="s">
        <v>71</v>
      </c>
      <c r="N182" s="1">
        <v>0</v>
      </c>
    </row>
    <row r="183" spans="1:14" ht="28.5" hidden="1" customHeight="1">
      <c r="A183" s="191">
        <f t="shared" si="18"/>
        <v>0</v>
      </c>
      <c r="B183" s="191"/>
      <c r="C183" s="191"/>
      <c r="D183" s="191"/>
      <c r="E183" s="191"/>
      <c r="F183" s="192">
        <f t="shared" si="19"/>
        <v>0</v>
      </c>
      <c r="G183" s="192"/>
      <c r="H183" s="29" t="e">
        <f t="shared" si="16"/>
        <v>#N/A</v>
      </c>
      <c r="I183" s="193" t="e">
        <f t="shared" si="20"/>
        <v>#N/A</v>
      </c>
      <c r="J183" s="193"/>
      <c r="M183" s="22" t="s">
        <v>71</v>
      </c>
      <c r="N183" s="1">
        <v>0</v>
      </c>
    </row>
    <row r="184" spans="1:14" ht="28.5" hidden="1" customHeight="1">
      <c r="A184" s="191">
        <f t="shared" si="18"/>
        <v>0</v>
      </c>
      <c r="B184" s="191"/>
      <c r="C184" s="191"/>
      <c r="D184" s="191"/>
      <c r="E184" s="191"/>
      <c r="F184" s="192">
        <f t="shared" si="19"/>
        <v>0</v>
      </c>
      <c r="G184" s="192"/>
      <c r="H184" s="29" t="e">
        <f t="shared" si="16"/>
        <v>#N/A</v>
      </c>
      <c r="I184" s="193" t="e">
        <f t="shared" si="20"/>
        <v>#N/A</v>
      </c>
      <c r="J184" s="193"/>
      <c r="M184" s="22" t="s">
        <v>71</v>
      </c>
      <c r="N184" s="1">
        <v>0</v>
      </c>
    </row>
    <row r="185" spans="1:14" ht="28.5" hidden="1" customHeight="1">
      <c r="A185" s="191">
        <f t="shared" si="18"/>
        <v>0</v>
      </c>
      <c r="B185" s="191"/>
      <c r="C185" s="191"/>
      <c r="D185" s="191"/>
      <c r="E185" s="191"/>
      <c r="F185" s="192">
        <f t="shared" si="19"/>
        <v>0</v>
      </c>
      <c r="G185" s="192"/>
      <c r="H185" s="29" t="e">
        <f t="shared" si="16"/>
        <v>#N/A</v>
      </c>
      <c r="I185" s="193" t="e">
        <f t="shared" si="20"/>
        <v>#N/A</v>
      </c>
      <c r="J185" s="193"/>
      <c r="M185" s="22" t="s">
        <v>71</v>
      </c>
      <c r="N185" s="1">
        <v>0</v>
      </c>
    </row>
    <row r="186" spans="1:14" ht="28.5" hidden="1" customHeight="1">
      <c r="A186" s="191">
        <f>IF(N186&gt;0,N186,0)</f>
        <v>0</v>
      </c>
      <c r="B186" s="191"/>
      <c r="C186" s="191"/>
      <c r="D186" s="191"/>
      <c r="E186" s="191"/>
      <c r="F186" s="192">
        <f t="shared" si="19"/>
        <v>0</v>
      </c>
      <c r="G186" s="192"/>
      <c r="H186" s="29" t="e">
        <f t="shared" si="16"/>
        <v>#N/A</v>
      </c>
      <c r="I186" s="193" t="e">
        <f t="shared" si="20"/>
        <v>#N/A</v>
      </c>
      <c r="J186" s="193"/>
      <c r="M186" s="22" t="s">
        <v>71</v>
      </c>
      <c r="N186" s="1">
        <v>0</v>
      </c>
    </row>
    <row r="187" spans="1:14" ht="28.5" hidden="1" customHeight="1">
      <c r="A187" s="191">
        <f t="shared" si="18"/>
        <v>0</v>
      </c>
      <c r="B187" s="191"/>
      <c r="C187" s="191"/>
      <c r="D187" s="191"/>
      <c r="E187" s="191"/>
      <c r="F187" s="192">
        <f t="shared" si="19"/>
        <v>0</v>
      </c>
      <c r="G187" s="192"/>
      <c r="H187" s="29" t="e">
        <f t="shared" si="16"/>
        <v>#N/A</v>
      </c>
      <c r="I187" s="193" t="e">
        <f t="shared" si="20"/>
        <v>#N/A</v>
      </c>
      <c r="J187" s="193"/>
      <c r="M187" s="22" t="s">
        <v>71</v>
      </c>
      <c r="N187" s="1">
        <v>0</v>
      </c>
    </row>
    <row r="188" spans="1:14" ht="11.25" customHeight="1">
      <c r="A188" s="100" t="s">
        <v>172</v>
      </c>
    </row>
    <row r="189" spans="1:14" ht="9" customHeight="1">
      <c r="A189" s="100" t="s">
        <v>172</v>
      </c>
    </row>
    <row r="190" spans="1:14" ht="36.75" customHeight="1">
      <c r="A190" s="194" t="s">
        <v>185</v>
      </c>
      <c r="B190" s="194"/>
      <c r="C190" s="194"/>
      <c r="D190" s="194"/>
      <c r="E190" s="27">
        <f>SUM(F158:G187)</f>
        <v>71041</v>
      </c>
    </row>
    <row r="191" spans="1:14" ht="51.75" customHeight="1">
      <c r="A191" s="194" t="s">
        <v>184</v>
      </c>
      <c r="B191" s="194"/>
      <c r="C191" s="194"/>
      <c r="D191" s="194"/>
      <c r="E191" s="27">
        <f>E190+E154-E155</f>
        <v>-418468.94</v>
      </c>
    </row>
    <row r="192" spans="1:14" ht="10.5" customHeight="1">
      <c r="A192" s="100" t="s">
        <v>172</v>
      </c>
    </row>
    <row r="193" spans="1:10" ht="62.25" customHeight="1">
      <c r="A193" s="219" t="s">
        <v>183</v>
      </c>
      <c r="B193" s="219"/>
      <c r="C193" s="219"/>
      <c r="D193" s="219"/>
      <c r="E193" s="219"/>
      <c r="F193" s="219"/>
      <c r="G193" s="219"/>
      <c r="H193" s="219"/>
      <c r="I193" s="219"/>
      <c r="J193" s="219"/>
    </row>
    <row r="194" spans="1:10">
      <c r="A194" s="218" t="str">
        <f>ПТО!F12</f>
        <v xml:space="preserve">  -  поверка (замена) манометров и термометров</v>
      </c>
      <c r="B194" s="218"/>
      <c r="C194" s="218"/>
      <c r="D194" s="218"/>
      <c r="E194" s="218"/>
      <c r="F194" s="218"/>
      <c r="G194" s="218"/>
      <c r="H194" s="45">
        <f>ПТО!G12</f>
        <v>1200</v>
      </c>
      <c r="I194" s="46" t="s">
        <v>73</v>
      </c>
    </row>
    <row r="195" spans="1:10" ht="18.75" customHeight="1">
      <c r="A195" s="218" t="str">
        <f>ПТО!F13</f>
        <v xml:space="preserve">  -  ремонт подъезда </v>
      </c>
      <c r="B195" s="218"/>
      <c r="C195" s="218"/>
      <c r="D195" s="218"/>
      <c r="E195" s="218"/>
      <c r="F195" s="218"/>
      <c r="G195" s="218"/>
      <c r="H195" s="45">
        <f>ПТО!G13</f>
        <v>500000</v>
      </c>
      <c r="I195" s="46" t="s">
        <v>73</v>
      </c>
    </row>
    <row r="196" spans="1:10" ht="18.75" customHeight="1">
      <c r="A196" s="218" t="str">
        <f>ПТО!F14</f>
        <v xml:space="preserve">  -  замена теплообменника отопления</v>
      </c>
      <c r="B196" s="218"/>
      <c r="C196" s="218"/>
      <c r="D196" s="218"/>
      <c r="E196" s="218"/>
      <c r="F196" s="218"/>
      <c r="G196" s="218"/>
      <c r="H196" s="45">
        <f>ПТО!G14</f>
        <v>120000</v>
      </c>
      <c r="I196" s="46" t="s">
        <v>73</v>
      </c>
    </row>
    <row r="197" spans="1:10" ht="18.75" hidden="1" customHeight="1">
      <c r="A197" s="218">
        <f>ПТО!F15</f>
        <v>0</v>
      </c>
      <c r="B197" s="218"/>
      <c r="C197" s="218"/>
      <c r="D197" s="218"/>
      <c r="E197" s="218"/>
      <c r="F197" s="218"/>
      <c r="G197" s="218"/>
      <c r="H197" s="45">
        <f>ПТО!G15</f>
        <v>0</v>
      </c>
      <c r="I197" s="46" t="s">
        <v>73</v>
      </c>
    </row>
    <row r="198" spans="1:10" ht="18.75" hidden="1" customHeight="1">
      <c r="A198" s="218">
        <f>ПТО!F16</f>
        <v>0</v>
      </c>
      <c r="B198" s="218"/>
      <c r="C198" s="218"/>
      <c r="D198" s="218"/>
      <c r="E198" s="218"/>
      <c r="F198" s="218"/>
      <c r="G198" s="218"/>
      <c r="H198" s="45">
        <f>ПТО!G16</f>
        <v>0</v>
      </c>
      <c r="I198" s="48" t="s">
        <v>73</v>
      </c>
    </row>
    <row r="199" spans="1:10" ht="18.75" hidden="1" customHeight="1">
      <c r="A199" s="218">
        <f>ПТО!F17</f>
        <v>0</v>
      </c>
      <c r="B199" s="218"/>
      <c r="C199" s="218"/>
      <c r="D199" s="218"/>
      <c r="E199" s="218"/>
      <c r="F199" s="218"/>
      <c r="G199" s="218"/>
      <c r="H199" s="45">
        <f>ПТО!G17</f>
        <v>0</v>
      </c>
      <c r="I199" s="46" t="s">
        <v>73</v>
      </c>
    </row>
    <row r="200" spans="1:10" hidden="1">
      <c r="A200" s="218">
        <f>ПТО!F18</f>
        <v>0</v>
      </c>
      <c r="B200" s="218"/>
      <c r="C200" s="218"/>
      <c r="D200" s="218"/>
      <c r="E200" s="218"/>
      <c r="F200" s="218"/>
      <c r="G200" s="218"/>
      <c r="H200" s="45">
        <f>ПТО!G18</f>
        <v>0</v>
      </c>
      <c r="I200" s="46" t="s">
        <v>73</v>
      </c>
    </row>
    <row r="201" spans="1:10" hidden="1">
      <c r="A201" s="218">
        <f>ПТО!F19</f>
        <v>0</v>
      </c>
      <c r="B201" s="218"/>
      <c r="C201" s="218"/>
      <c r="D201" s="218"/>
      <c r="E201" s="218"/>
      <c r="F201" s="218"/>
      <c r="G201" s="218"/>
      <c r="H201" s="45">
        <f>ПТО!G19</f>
        <v>0</v>
      </c>
      <c r="I201" s="46" t="s">
        <v>73</v>
      </c>
    </row>
    <row r="202" spans="1:10" hidden="1">
      <c r="A202" s="218">
        <f>ПТО!F20</f>
        <v>0</v>
      </c>
      <c r="B202" s="218"/>
      <c r="C202" s="218"/>
      <c r="D202" s="218"/>
      <c r="E202" s="218"/>
      <c r="F202" s="218"/>
      <c r="G202" s="218"/>
      <c r="H202" s="45">
        <f>ПТО!G20</f>
        <v>0</v>
      </c>
      <c r="I202" s="46" t="s">
        <v>73</v>
      </c>
    </row>
    <row r="203" spans="1:10" hidden="1">
      <c r="A203" s="218">
        <f>ПТО!F21</f>
        <v>0</v>
      </c>
      <c r="B203" s="218"/>
      <c r="C203" s="218"/>
      <c r="D203" s="218"/>
      <c r="E203" s="218"/>
      <c r="F203" s="218"/>
      <c r="G203" s="218"/>
      <c r="H203" s="45">
        <f>ПТО!G21</f>
        <v>0</v>
      </c>
      <c r="I203" s="46" t="s">
        <v>73</v>
      </c>
    </row>
    <row r="204" spans="1:10" hidden="1">
      <c r="A204" s="218">
        <f>ПТО!F22</f>
        <v>0</v>
      </c>
      <c r="B204" s="218"/>
      <c r="C204" s="218"/>
      <c r="D204" s="218"/>
      <c r="E204" s="218"/>
      <c r="F204" s="218"/>
      <c r="G204" s="218"/>
      <c r="H204" s="45">
        <f>ПТО!G22</f>
        <v>0</v>
      </c>
      <c r="I204" s="46" t="s">
        <v>73</v>
      </c>
    </row>
    <row r="205" spans="1:10" hidden="1">
      <c r="A205" s="218">
        <f>ПТО!F23</f>
        <v>0</v>
      </c>
      <c r="B205" s="218"/>
      <c r="C205" s="218"/>
      <c r="D205" s="218"/>
      <c r="E205" s="218"/>
      <c r="F205" s="218"/>
      <c r="G205" s="218"/>
      <c r="H205" s="45">
        <f>ПТО!G23</f>
        <v>0</v>
      </c>
      <c r="I205" s="46" t="s">
        <v>73</v>
      </c>
    </row>
    <row r="206" spans="1:10" hidden="1">
      <c r="A206" s="218">
        <f>ПТО!F24</f>
        <v>0</v>
      </c>
      <c r="B206" s="218"/>
      <c r="C206" s="218"/>
      <c r="D206" s="218"/>
      <c r="E206" s="218"/>
      <c r="F206" s="218"/>
      <c r="G206" s="218"/>
      <c r="H206" s="45">
        <f>ПТО!G24</f>
        <v>0</v>
      </c>
      <c r="I206" s="46" t="s">
        <v>73</v>
      </c>
    </row>
    <row r="207" spans="1:10" hidden="1">
      <c r="A207" s="218">
        <f>ПТО!F25</f>
        <v>0</v>
      </c>
      <c r="B207" s="218"/>
      <c r="C207" s="218"/>
      <c r="D207" s="218"/>
      <c r="E207" s="218"/>
      <c r="F207" s="218"/>
      <c r="G207" s="218"/>
      <c r="H207" s="45">
        <f>ПТО!G25</f>
        <v>0</v>
      </c>
      <c r="I207" s="46" t="s">
        <v>73</v>
      </c>
    </row>
    <row r="208" spans="1:10" hidden="1">
      <c r="A208" s="218">
        <f>ПТО!F26</f>
        <v>0</v>
      </c>
      <c r="B208" s="218"/>
      <c r="C208" s="218"/>
      <c r="D208" s="218"/>
      <c r="E208" s="218"/>
      <c r="F208" s="218"/>
      <c r="G208" s="218"/>
      <c r="H208" s="45">
        <f>ПТО!G26</f>
        <v>0</v>
      </c>
      <c r="I208" s="46" t="s">
        <v>73</v>
      </c>
    </row>
    <row r="209" spans="1:9" hidden="1">
      <c r="A209" s="218">
        <f>ПТО!F27</f>
        <v>0</v>
      </c>
      <c r="B209" s="218"/>
      <c r="C209" s="218"/>
      <c r="D209" s="218"/>
      <c r="E209" s="218"/>
      <c r="F209" s="218"/>
      <c r="G209" s="218"/>
      <c r="H209" s="45">
        <f>ПТО!G27</f>
        <v>0</v>
      </c>
      <c r="I209" s="46" t="s">
        <v>73</v>
      </c>
    </row>
    <row r="210" spans="1:9" hidden="1">
      <c r="A210" s="218">
        <f>ПТО!F28</f>
        <v>0</v>
      </c>
      <c r="B210" s="218"/>
      <c r="C210" s="218"/>
      <c r="D210" s="218"/>
      <c r="E210" s="218"/>
      <c r="F210" s="218"/>
      <c r="G210" s="218"/>
      <c r="H210" s="45">
        <f>ПТО!G28</f>
        <v>0</v>
      </c>
      <c r="I210" s="46" t="s">
        <v>73</v>
      </c>
    </row>
    <row r="211" spans="1:9" hidden="1">
      <c r="A211" s="218">
        <f>ПТО!F29</f>
        <v>0</v>
      </c>
      <c r="B211" s="218"/>
      <c r="C211" s="218"/>
      <c r="D211" s="218"/>
      <c r="E211" s="218"/>
      <c r="F211" s="218"/>
      <c r="G211" s="218"/>
      <c r="H211" s="45">
        <f>ПТО!G29</f>
        <v>0</v>
      </c>
      <c r="I211" s="46" t="s">
        <v>73</v>
      </c>
    </row>
    <row r="212" spans="1:9" hidden="1">
      <c r="A212" s="218">
        <f>ПТО!F30</f>
        <v>0</v>
      </c>
      <c r="B212" s="218"/>
      <c r="C212" s="218"/>
      <c r="D212" s="218"/>
      <c r="E212" s="218"/>
      <c r="F212" s="218"/>
      <c r="G212" s="218"/>
      <c r="H212" s="45">
        <f>ПТО!G30</f>
        <v>0</v>
      </c>
      <c r="I212" s="46" t="s">
        <v>73</v>
      </c>
    </row>
    <row r="213" spans="1:9" hidden="1">
      <c r="A213" s="218">
        <f>ПТО!F31</f>
        <v>0</v>
      </c>
      <c r="B213" s="218"/>
      <c r="C213" s="218"/>
      <c r="D213" s="218"/>
      <c r="E213" s="218"/>
      <c r="F213" s="218"/>
      <c r="G213" s="218"/>
      <c r="H213" s="45">
        <f>ПТО!G31</f>
        <v>0</v>
      </c>
      <c r="I213" s="46" t="s">
        <v>73</v>
      </c>
    </row>
    <row r="214" spans="1:9">
      <c r="A214" s="49" t="s">
        <v>74</v>
      </c>
      <c r="B214" s="50"/>
      <c r="C214" s="50"/>
      <c r="D214" s="50"/>
      <c r="E214" s="50"/>
      <c r="F214" s="50"/>
      <c r="G214" s="50"/>
      <c r="H214" s="51">
        <f>SUM(H194:H213)</f>
        <v>621200</v>
      </c>
      <c r="I214" s="52" t="s">
        <v>75</v>
      </c>
    </row>
  </sheetData>
  <sheetProtection algorithmName="SHA-512" hashValue="HdpVLXESHCWY6Xey3rnezgLPncZ23CboJGjQb66456SsLzdJBXAzu/tPhCXGANJA74gez9n4MGMbZUsYxhSgQA==" saltValue="JoVZ6IUhmNHXoZ1ga+HqaQ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" sqref="D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58.285156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56</v>
      </c>
      <c r="C1" s="35" t="s">
        <v>21</v>
      </c>
      <c r="D1" s="35" t="s">
        <v>20</v>
      </c>
      <c r="E1" s="34"/>
      <c r="F1" s="96" t="s">
        <v>182</v>
      </c>
      <c r="G1" s="97">
        <f>-261047.94</f>
        <v>-261047.94</v>
      </c>
    </row>
    <row r="2" spans="1:12" ht="18.75" customHeight="1">
      <c r="A2" s="158" t="s">
        <v>189</v>
      </c>
      <c r="B2" s="159" t="s">
        <v>193</v>
      </c>
      <c r="C2" s="160">
        <v>1</v>
      </c>
      <c r="D2" s="161">
        <v>14850</v>
      </c>
      <c r="E2" s="162" t="s">
        <v>190</v>
      </c>
      <c r="F2" s="155" t="s">
        <v>198</v>
      </c>
      <c r="G2" s="32"/>
      <c r="L2" s="33" t="str">
        <f t="shared" ref="L2:L22" si="0">IF(A2&gt;0,"ТР",0)</f>
        <v>ТР</v>
      </c>
    </row>
    <row r="3" spans="1:12" ht="18.75" customHeight="1">
      <c r="A3" s="162" t="s">
        <v>187</v>
      </c>
      <c r="B3" s="159" t="s">
        <v>193</v>
      </c>
      <c r="C3" s="160">
        <v>1</v>
      </c>
      <c r="D3" s="161">
        <v>35280</v>
      </c>
      <c r="E3" s="163" t="s">
        <v>188</v>
      </c>
      <c r="F3" s="32"/>
      <c r="G3" s="30"/>
      <c r="L3" s="33" t="str">
        <f t="shared" si="0"/>
        <v>ТР</v>
      </c>
    </row>
    <row r="4" spans="1:12" ht="18.75" customHeight="1">
      <c r="A4" s="164" t="s">
        <v>191</v>
      </c>
      <c r="B4" s="165" t="s">
        <v>193</v>
      </c>
      <c r="C4" s="166">
        <v>1</v>
      </c>
      <c r="D4" s="167">
        <v>14416</v>
      </c>
      <c r="E4" s="164" t="s">
        <v>192</v>
      </c>
      <c r="F4" s="30"/>
      <c r="G4" s="30"/>
      <c r="L4" s="33" t="str">
        <f t="shared" si="0"/>
        <v>ТР</v>
      </c>
    </row>
    <row r="5" spans="1:12" ht="18.75" customHeight="1">
      <c r="A5" s="190" t="s">
        <v>202</v>
      </c>
      <c r="B5" s="168" t="s">
        <v>193</v>
      </c>
      <c r="C5" s="169">
        <v>1</v>
      </c>
      <c r="D5" s="170">
        <v>2090</v>
      </c>
      <c r="E5" s="171" t="s">
        <v>196</v>
      </c>
      <c r="F5" s="41"/>
      <c r="G5" s="41"/>
      <c r="K5" s="43"/>
      <c r="L5" s="33" t="str">
        <f t="shared" si="0"/>
        <v>ТР</v>
      </c>
    </row>
    <row r="6" spans="1:12" ht="18.75" customHeight="1">
      <c r="A6" s="190" t="s">
        <v>203</v>
      </c>
      <c r="B6" s="172" t="s">
        <v>193</v>
      </c>
      <c r="C6" s="173">
        <v>1</v>
      </c>
      <c r="D6" s="174">
        <v>2500</v>
      </c>
      <c r="E6" s="175" t="s">
        <v>197</v>
      </c>
      <c r="F6" s="41"/>
      <c r="G6" s="41"/>
      <c r="K6" s="43"/>
      <c r="L6" s="33" t="str">
        <f t="shared" si="0"/>
        <v>ТР</v>
      </c>
    </row>
    <row r="7" spans="1:12" ht="18.75" customHeight="1">
      <c r="A7" s="176" t="s">
        <v>194</v>
      </c>
      <c r="B7" s="177" t="s">
        <v>193</v>
      </c>
      <c r="C7" s="178">
        <v>1</v>
      </c>
      <c r="D7" s="179">
        <v>1905</v>
      </c>
      <c r="E7" s="176" t="s">
        <v>195</v>
      </c>
      <c r="F7" s="42"/>
      <c r="G7" s="42"/>
      <c r="K7" s="43"/>
      <c r="L7" s="33" t="str">
        <f t="shared" si="0"/>
        <v>ТР</v>
      </c>
    </row>
    <row r="8" spans="1:12" ht="18.75" customHeight="1">
      <c r="A8" s="118"/>
      <c r="B8" s="135"/>
      <c r="C8" s="119"/>
      <c r="D8" s="120"/>
      <c r="E8" s="118"/>
      <c r="F8" s="42"/>
      <c r="G8" s="42"/>
      <c r="K8" s="40"/>
      <c r="L8" s="33">
        <f t="shared" si="0"/>
        <v>0</v>
      </c>
    </row>
    <row r="9" spans="1:12">
      <c r="A9" s="139"/>
      <c r="B9" s="140"/>
      <c r="C9" s="121"/>
      <c r="D9" s="40"/>
      <c r="E9" s="117"/>
      <c r="F9" s="41"/>
      <c r="G9" s="41"/>
      <c r="K9" s="40"/>
      <c r="L9" s="33">
        <f t="shared" si="0"/>
        <v>0</v>
      </c>
    </row>
    <row r="10" spans="1:12">
      <c r="A10" s="146"/>
      <c r="B10" s="145"/>
      <c r="C10" s="144"/>
      <c r="D10" s="143"/>
      <c r="E10" s="147"/>
      <c r="L10" s="33">
        <f t="shared" si="0"/>
        <v>0</v>
      </c>
    </row>
    <row r="11" spans="1:12" ht="94.5">
      <c r="A11" s="153"/>
      <c r="B11" s="138"/>
      <c r="C11" s="121"/>
      <c r="D11" s="40"/>
      <c r="E11" s="118"/>
      <c r="F11" s="107" t="s">
        <v>183</v>
      </c>
      <c r="G11" s="107"/>
      <c r="L11" s="33">
        <f t="shared" si="0"/>
        <v>0</v>
      </c>
    </row>
    <row r="12" spans="1:12" ht="31.5">
      <c r="A12" s="136"/>
      <c r="B12" s="137"/>
      <c r="C12" s="121"/>
      <c r="D12" s="40"/>
      <c r="E12" s="147"/>
      <c r="F12" s="108" t="s">
        <v>72</v>
      </c>
      <c r="G12" s="109">
        <v>1200</v>
      </c>
      <c r="L12" s="33">
        <f t="shared" si="0"/>
        <v>0</v>
      </c>
    </row>
    <row r="13" spans="1:12" ht="15.75">
      <c r="A13" s="142"/>
      <c r="B13" s="141"/>
      <c r="C13" s="121"/>
      <c r="D13" s="40"/>
      <c r="E13" s="118"/>
      <c r="F13" s="108" t="s">
        <v>181</v>
      </c>
      <c r="G13" s="130">
        <v>500000</v>
      </c>
      <c r="L13" s="33">
        <f t="shared" si="0"/>
        <v>0</v>
      </c>
    </row>
    <row r="14" spans="1:12" ht="15.75">
      <c r="A14" s="149"/>
      <c r="B14" s="148"/>
      <c r="C14" s="121"/>
      <c r="D14" s="40"/>
      <c r="E14" s="150"/>
      <c r="F14" s="131" t="s">
        <v>180</v>
      </c>
      <c r="G14" s="132">
        <v>120000</v>
      </c>
      <c r="L14" s="33">
        <f t="shared" si="0"/>
        <v>0</v>
      </c>
    </row>
    <row r="15" spans="1:12" ht="15.75">
      <c r="A15" s="154"/>
      <c r="B15" s="148"/>
      <c r="C15" s="121"/>
      <c r="D15" s="40"/>
      <c r="E15" s="118"/>
      <c r="F15" s="113"/>
      <c r="G15" s="114"/>
      <c r="L15" s="33">
        <f t="shared" si="0"/>
        <v>0</v>
      </c>
    </row>
    <row r="16" spans="1:12" ht="15.75">
      <c r="A16" s="152"/>
      <c r="B16" s="151"/>
      <c r="C16" s="121"/>
      <c r="D16" s="40"/>
      <c r="E16" s="150"/>
      <c r="F16" s="133"/>
      <c r="G16" s="134"/>
      <c r="L16" s="33">
        <f t="shared" si="0"/>
        <v>0</v>
      </c>
    </row>
    <row r="17" spans="1:12" ht="15.75">
      <c r="A17" s="122"/>
      <c r="B17" s="123"/>
      <c r="C17" s="116"/>
      <c r="D17" s="40"/>
      <c r="E17" s="117"/>
      <c r="F17" s="113"/>
      <c r="G17" s="114"/>
      <c r="L17" s="33">
        <f t="shared" si="0"/>
        <v>0</v>
      </c>
    </row>
    <row r="18" spans="1:12" ht="15.75">
      <c r="A18" s="129"/>
      <c r="B18" s="124"/>
      <c r="C18" s="116"/>
      <c r="D18" s="40"/>
      <c r="E18" s="117"/>
      <c r="F18" s="113"/>
      <c r="G18" s="114"/>
      <c r="L18" s="33">
        <f t="shared" si="0"/>
        <v>0</v>
      </c>
    </row>
    <row r="19" spans="1:12">
      <c r="A19" s="125"/>
      <c r="B19" s="126"/>
      <c r="C19" s="121"/>
      <c r="D19" s="40"/>
      <c r="E19" s="117"/>
      <c r="F19" s="99"/>
      <c r="L19" s="33">
        <f t="shared" si="0"/>
        <v>0</v>
      </c>
    </row>
    <row r="20" spans="1:12">
      <c r="A20" s="127"/>
      <c r="B20" s="128"/>
      <c r="C20" s="121"/>
      <c r="D20" s="40"/>
      <c r="E20" s="117"/>
      <c r="F20" s="99"/>
      <c r="L20" s="33">
        <f t="shared" si="0"/>
        <v>0</v>
      </c>
    </row>
    <row r="21" spans="1:12">
      <c r="F21" s="99"/>
      <c r="L21" s="33">
        <f t="shared" si="0"/>
        <v>0</v>
      </c>
    </row>
    <row r="22" spans="1:12">
      <c r="F22" s="99"/>
      <c r="L22" s="33">
        <f t="shared" si="0"/>
        <v>0</v>
      </c>
    </row>
    <row r="23" spans="1:12">
      <c r="F23" s="99"/>
      <c r="L23" s="33">
        <f t="shared" ref="L23:L31" si="1">IF(A23&gt;0,"ТР",0)</f>
        <v>0</v>
      </c>
    </row>
    <row r="24" spans="1:12">
      <c r="F24" s="99"/>
      <c r="L24" s="33">
        <f t="shared" si="1"/>
        <v>0</v>
      </c>
    </row>
    <row r="25" spans="1:12">
      <c r="F25" s="99"/>
      <c r="L25" s="33">
        <f t="shared" si="1"/>
        <v>0</v>
      </c>
    </row>
    <row r="26" spans="1:12">
      <c r="F26" s="99"/>
      <c r="L26" s="33">
        <f t="shared" si="1"/>
        <v>0</v>
      </c>
    </row>
    <row r="27" spans="1:12">
      <c r="F27" s="99"/>
      <c r="L27" s="33">
        <f t="shared" si="1"/>
        <v>0</v>
      </c>
    </row>
    <row r="28" spans="1:12">
      <c r="F28" s="99"/>
      <c r="L28" s="33">
        <f t="shared" si="1"/>
        <v>0</v>
      </c>
    </row>
    <row r="29" spans="1:12">
      <c r="F29" s="99"/>
      <c r="L29" s="33">
        <f t="shared" si="1"/>
        <v>0</v>
      </c>
    </row>
    <row r="30" spans="1:12">
      <c r="F30" s="99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5"/>
      <c r="I32" s="95"/>
    </row>
    <row r="39" spans="1:16" ht="31.5" customHeight="1">
      <c r="A39" s="180" t="s">
        <v>22</v>
      </c>
      <c r="B39" s="181">
        <f>F39*G39*'Абонентский отдел'!$F$1+H39*I39*'Абонентский отдел'!$F$1</f>
        <v>304692.15399999992</v>
      </c>
      <c r="C39" s="182" t="s">
        <v>67</v>
      </c>
      <c r="D39" s="183">
        <v>12</v>
      </c>
      <c r="E39" s="184"/>
      <c r="F39" s="189">
        <v>6.64</v>
      </c>
      <c r="G39" s="189">
        <v>11</v>
      </c>
      <c r="H39" s="189">
        <v>6.98</v>
      </c>
      <c r="I39" s="189">
        <v>1</v>
      </c>
      <c r="J39" s="36"/>
      <c r="L39" s="37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8">
        <f>B39</f>
        <v>304692.15399999992</v>
      </c>
      <c r="O39" s="38" t="str">
        <f>C39</f>
        <v>Ежемесячно</v>
      </c>
      <c r="P39">
        <f>D39</f>
        <v>12</v>
      </c>
    </row>
    <row r="40" spans="1:16" ht="31.5" customHeight="1">
      <c r="A40" s="180" t="s">
        <v>173</v>
      </c>
      <c r="B40" s="181">
        <f>F40*G40*'Абонентский отдел'!$F$1+H40*I40*'Абонентский отдел'!$F$1</f>
        <v>76306.30799999999</v>
      </c>
      <c r="C40" s="182" t="s">
        <v>67</v>
      </c>
      <c r="D40" s="183">
        <v>12</v>
      </c>
      <c r="E40" s="184"/>
      <c r="F40" s="189">
        <v>1.67</v>
      </c>
      <c r="G40" s="189">
        <v>11</v>
      </c>
      <c r="H40" s="189">
        <v>1.67</v>
      </c>
      <c r="I40" s="189">
        <v>1</v>
      </c>
      <c r="J40" s="36"/>
      <c r="L40" s="37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38">
        <f t="shared" ref="N40:N53" si="4">B40</f>
        <v>76306.30799999999</v>
      </c>
      <c r="O40" s="38" t="str">
        <f t="shared" ref="O40:O53" si="5">C40</f>
        <v>Ежемесячно</v>
      </c>
      <c r="P40">
        <f t="shared" ref="P40:P53" si="6">D40</f>
        <v>12</v>
      </c>
    </row>
    <row r="41" spans="1:16" ht="25.5">
      <c r="A41" s="180" t="s">
        <v>201</v>
      </c>
      <c r="B41" s="181">
        <f>F41*G41*'Абонентский отдел'!$F$1+H41*I41*'Абонентский отдел'!$F$1</f>
        <v>115297.156</v>
      </c>
      <c r="C41" s="182" t="s">
        <v>68</v>
      </c>
      <c r="D41" s="183">
        <v>12</v>
      </c>
      <c r="E41" s="184"/>
      <c r="F41" s="189">
        <v>2.4500000000000002</v>
      </c>
      <c r="G41" s="189">
        <v>11</v>
      </c>
      <c r="H41" s="189">
        <v>3.33</v>
      </c>
      <c r="I41" s="189">
        <v>1</v>
      </c>
      <c r="J41" s="36"/>
      <c r="L41" s="37" t="str">
        <f t="shared" si="2"/>
        <v>СОД</v>
      </c>
      <c r="M41" t="str">
        <f t="shared" si="3"/>
        <v>Работы по содержанию земельного участка</v>
      </c>
      <c r="N41" s="38">
        <f t="shared" si="4"/>
        <v>115297.156</v>
      </c>
      <c r="O41" s="38" t="str">
        <f t="shared" si="5"/>
        <v>В соответствии с графиком</v>
      </c>
      <c r="P41">
        <f t="shared" si="6"/>
        <v>12</v>
      </c>
    </row>
    <row r="42" spans="1:16" ht="25.5">
      <c r="A42" s="180" t="s">
        <v>23</v>
      </c>
      <c r="B42" s="181">
        <f>F42*G42*'Абонентский отдел'!$F$1+H42*I42*'Абонентский отдел'!$F$1</f>
        <v>63969.359999999993</v>
      </c>
      <c r="C42" s="182" t="s">
        <v>67</v>
      </c>
      <c r="D42" s="183">
        <v>12</v>
      </c>
      <c r="E42" s="184"/>
      <c r="F42" s="189">
        <v>1.4</v>
      </c>
      <c r="G42" s="189">
        <v>11</v>
      </c>
      <c r="H42" s="189">
        <v>1.4</v>
      </c>
      <c r="I42" s="189">
        <v>1</v>
      </c>
      <c r="J42" s="36"/>
      <c r="L42" s="37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8">
        <f t="shared" si="4"/>
        <v>63969.359999999993</v>
      </c>
      <c r="O42" s="38" t="str">
        <f t="shared" si="5"/>
        <v>Ежемесячно</v>
      </c>
      <c r="P42">
        <f t="shared" si="6"/>
        <v>12</v>
      </c>
    </row>
    <row r="43" spans="1:16" ht="15.75">
      <c r="A43" s="180"/>
      <c r="B43" s="182"/>
      <c r="C43" s="182"/>
      <c r="D43" s="183"/>
      <c r="E43" s="184"/>
      <c r="F43" s="189"/>
      <c r="G43" s="189">
        <v>11</v>
      </c>
      <c r="H43" s="189"/>
      <c r="I43" s="189">
        <v>1</v>
      </c>
      <c r="J43" s="36"/>
      <c r="L43" s="37">
        <f t="shared" si="2"/>
        <v>0</v>
      </c>
      <c r="M43">
        <f t="shared" si="3"/>
        <v>0</v>
      </c>
      <c r="N43" s="38">
        <f t="shared" si="4"/>
        <v>0</v>
      </c>
      <c r="O43" s="38">
        <f t="shared" si="5"/>
        <v>0</v>
      </c>
      <c r="P43">
        <f t="shared" si="6"/>
        <v>0</v>
      </c>
    </row>
    <row r="44" spans="1:16" ht="25.5">
      <c r="A44" s="180" t="s">
        <v>24</v>
      </c>
      <c r="B44" s="181">
        <f>F44*G44*'Абонентский отдел'!$F$1+H44*I44*'Абонентский отдел'!$F$1</f>
        <v>26501.592000000001</v>
      </c>
      <c r="C44" s="182" t="s">
        <v>69</v>
      </c>
      <c r="D44" s="183">
        <v>12</v>
      </c>
      <c r="E44" s="184"/>
      <c r="F44" s="189">
        <v>0.57999999999999996</v>
      </c>
      <c r="G44" s="189">
        <v>11</v>
      </c>
      <c r="H44" s="189">
        <v>0.57999999999999996</v>
      </c>
      <c r="I44" s="189">
        <v>1</v>
      </c>
      <c r="J44" s="36"/>
      <c r="L44" s="37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8">
        <f t="shared" si="4"/>
        <v>26501.592000000001</v>
      </c>
      <c r="O44" s="38" t="str">
        <f t="shared" si="5"/>
        <v>Круглосуточно</v>
      </c>
      <c r="P44">
        <f t="shared" si="6"/>
        <v>12</v>
      </c>
    </row>
    <row r="45" spans="1:16" ht="25.5">
      <c r="A45" s="180" t="s">
        <v>25</v>
      </c>
      <c r="B45" s="181">
        <f>F45*G45*'Абонентский отдел'!$F$1+H45*I45*'Абонентский отдел'!$F$1</f>
        <v>162208.01999999996</v>
      </c>
      <c r="C45" s="182" t="s">
        <v>68</v>
      </c>
      <c r="D45" s="183">
        <v>12</v>
      </c>
      <c r="E45" s="184"/>
      <c r="F45" s="189">
        <v>3.55</v>
      </c>
      <c r="G45" s="189">
        <v>11</v>
      </c>
      <c r="H45" s="189">
        <v>3.55</v>
      </c>
      <c r="I45" s="189">
        <v>1</v>
      </c>
      <c r="J45" s="36"/>
      <c r="L45" s="37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8">
        <f t="shared" si="4"/>
        <v>162208.01999999996</v>
      </c>
      <c r="O45" s="38" t="str">
        <f t="shared" si="5"/>
        <v>В соответствии с графиком</v>
      </c>
      <c r="P45">
        <f t="shared" si="6"/>
        <v>12</v>
      </c>
    </row>
    <row r="46" spans="1:16">
      <c r="A46" s="180"/>
      <c r="B46" s="182"/>
      <c r="C46" s="182"/>
      <c r="D46" s="186"/>
      <c r="E46" s="185"/>
      <c r="F46" s="189"/>
      <c r="G46" s="189">
        <v>11</v>
      </c>
      <c r="H46" s="189"/>
      <c r="I46" s="189">
        <v>1</v>
      </c>
      <c r="L46" s="37">
        <f t="shared" si="2"/>
        <v>0</v>
      </c>
      <c r="M46">
        <f t="shared" si="3"/>
        <v>0</v>
      </c>
      <c r="N46" s="38">
        <f t="shared" si="4"/>
        <v>0</v>
      </c>
      <c r="O46" s="38">
        <f t="shared" si="5"/>
        <v>0</v>
      </c>
      <c r="P46">
        <f t="shared" si="6"/>
        <v>0</v>
      </c>
    </row>
    <row r="47" spans="1:16">
      <c r="A47" s="180"/>
      <c r="B47" s="187"/>
      <c r="C47" s="188"/>
      <c r="D47" s="186"/>
      <c r="E47" s="187"/>
      <c r="F47" s="187"/>
      <c r="G47" s="189">
        <v>11</v>
      </c>
      <c r="H47" s="189"/>
      <c r="I47" s="189">
        <v>1</v>
      </c>
      <c r="L47" s="37">
        <f t="shared" si="2"/>
        <v>0</v>
      </c>
      <c r="M47">
        <f t="shared" si="3"/>
        <v>0</v>
      </c>
      <c r="N47" s="38">
        <f t="shared" si="4"/>
        <v>0</v>
      </c>
      <c r="O47" s="38">
        <f t="shared" si="5"/>
        <v>0</v>
      </c>
      <c r="P47">
        <f t="shared" si="6"/>
        <v>0</v>
      </c>
    </row>
    <row r="48" spans="1:16" ht="15.75">
      <c r="A48" s="180" t="s">
        <v>179</v>
      </c>
      <c r="B48" s="181">
        <f>F48*G48*'Абонентский отдел'!$F$1+H48*I48*'Абонентский отдел'!$F$1</f>
        <v>4112.3159999999998</v>
      </c>
      <c r="C48" s="188" t="s">
        <v>67</v>
      </c>
      <c r="D48" s="186">
        <v>2</v>
      </c>
      <c r="E48" s="185"/>
      <c r="F48" s="189">
        <v>0.09</v>
      </c>
      <c r="G48" s="189">
        <v>11</v>
      </c>
      <c r="H48" s="189">
        <v>0.09</v>
      </c>
      <c r="I48" s="189">
        <v>1</v>
      </c>
      <c r="L48" s="37" t="str">
        <f t="shared" si="2"/>
        <v>СОД</v>
      </c>
      <c r="M48" t="str">
        <f t="shared" si="3"/>
        <v>Техническое обслуживание охранной сигнализации (сод)</v>
      </c>
      <c r="N48" s="38">
        <f t="shared" si="4"/>
        <v>4112.3159999999998</v>
      </c>
      <c r="O48" s="38" t="str">
        <f t="shared" si="5"/>
        <v>Ежемесячно</v>
      </c>
      <c r="P48">
        <f t="shared" si="6"/>
        <v>2</v>
      </c>
    </row>
    <row r="49" spans="5:16">
      <c r="L49" s="37">
        <f t="shared" si="2"/>
        <v>0</v>
      </c>
      <c r="M49">
        <f t="shared" si="3"/>
        <v>0</v>
      </c>
      <c r="N49" s="38">
        <f t="shared" si="4"/>
        <v>0</v>
      </c>
      <c r="O49" s="38">
        <f t="shared" si="5"/>
        <v>0</v>
      </c>
      <c r="P49">
        <f t="shared" si="6"/>
        <v>0</v>
      </c>
    </row>
    <row r="50" spans="5:16">
      <c r="L50" s="37">
        <f t="shared" si="2"/>
        <v>0</v>
      </c>
      <c r="M50">
        <f t="shared" si="3"/>
        <v>0</v>
      </c>
      <c r="N50" s="38">
        <f t="shared" si="4"/>
        <v>0</v>
      </c>
      <c r="O50" s="38">
        <f t="shared" si="5"/>
        <v>0</v>
      </c>
      <c r="P50">
        <f t="shared" si="6"/>
        <v>0</v>
      </c>
    </row>
    <row r="51" spans="5:16">
      <c r="L51" s="37">
        <f t="shared" si="2"/>
        <v>0</v>
      </c>
      <c r="M51">
        <f t="shared" si="3"/>
        <v>0</v>
      </c>
      <c r="N51" s="38">
        <f t="shared" si="4"/>
        <v>0</v>
      </c>
      <c r="O51" s="38">
        <f t="shared" si="5"/>
        <v>0</v>
      </c>
      <c r="P51">
        <f t="shared" si="6"/>
        <v>0</v>
      </c>
    </row>
    <row r="52" spans="5:16">
      <c r="E52" s="116"/>
      <c r="F52" s="116"/>
      <c r="G52" s="116"/>
      <c r="L52" s="37">
        <f t="shared" si="2"/>
        <v>0</v>
      </c>
      <c r="M52">
        <f t="shared" si="3"/>
        <v>0</v>
      </c>
      <c r="N52" s="38">
        <f t="shared" si="4"/>
        <v>0</v>
      </c>
      <c r="O52" s="38">
        <f t="shared" si="5"/>
        <v>0</v>
      </c>
      <c r="P52">
        <f t="shared" si="6"/>
        <v>0</v>
      </c>
    </row>
    <row r="53" spans="5:16">
      <c r="E53" s="116"/>
      <c r="F53" s="115"/>
      <c r="G53" s="116"/>
      <c r="H53" s="116"/>
      <c r="L53" s="37">
        <f t="shared" si="2"/>
        <v>0</v>
      </c>
      <c r="M53">
        <f t="shared" si="3"/>
        <v>0</v>
      </c>
      <c r="N53" s="38">
        <f t="shared" si="4"/>
        <v>0</v>
      </c>
      <c r="O53" s="38">
        <f t="shared" si="5"/>
        <v>0</v>
      </c>
      <c r="P53">
        <f t="shared" si="6"/>
        <v>0</v>
      </c>
    </row>
    <row r="54" spans="5:16">
      <c r="E54" s="116"/>
      <c r="F54" s="116"/>
      <c r="G54" s="116"/>
      <c r="H54" s="116"/>
    </row>
    <row r="55" spans="5:16">
      <c r="E55" s="116"/>
      <c r="F55" s="116"/>
      <c r="G55" s="116"/>
      <c r="H55" s="116"/>
    </row>
    <row r="56" spans="5:16">
      <c r="E56" s="116"/>
      <c r="F56" s="116"/>
      <c r="G56" s="116"/>
      <c r="H56" s="116"/>
    </row>
    <row r="57" spans="5:16">
      <c r="E57" s="116"/>
      <c r="F57" s="116"/>
      <c r="G57" s="116"/>
      <c r="H57" s="116"/>
    </row>
    <row r="58" spans="5:16">
      <c r="E58" s="116"/>
      <c r="F58" s="116"/>
      <c r="G58" s="116"/>
      <c r="H58" s="116"/>
    </row>
    <row r="59" spans="5:16">
      <c r="E59" s="116"/>
      <c r="F59" s="115"/>
      <c r="G59" s="116"/>
      <c r="H59" s="116"/>
    </row>
    <row r="60" spans="5:16">
      <c r="E60" s="116"/>
      <c r="F60" s="116"/>
      <c r="G60" s="116"/>
      <c r="H60" s="116"/>
    </row>
    <row r="61" spans="5:16">
      <c r="E61" s="116"/>
      <c r="F61" s="116"/>
      <c r="G61" s="116"/>
      <c r="H61" s="116"/>
    </row>
    <row r="62" spans="5:16">
      <c r="E62" s="116"/>
      <c r="F62" s="116"/>
      <c r="G62" s="116"/>
      <c r="H62" s="116"/>
    </row>
    <row r="63" spans="5:16">
      <c r="E63" s="116"/>
      <c r="F63" s="115"/>
      <c r="G63" s="116"/>
      <c r="H63" s="116"/>
    </row>
    <row r="64" spans="5:16">
      <c r="E64" s="116"/>
      <c r="F64" s="116"/>
      <c r="G64" s="116"/>
      <c r="H64" s="116"/>
    </row>
    <row r="65" spans="4:13" ht="18.75" customHeight="1">
      <c r="E65" s="116"/>
      <c r="F65" s="116"/>
      <c r="G65" s="116"/>
      <c r="H65" s="116"/>
      <c r="I65" s="95"/>
      <c r="J65" s="95"/>
      <c r="K65" s="95"/>
      <c r="L65" s="95"/>
      <c r="M65" s="95"/>
    </row>
    <row r="66" spans="4:13" ht="18.75" customHeight="1">
      <c r="D66" s="95"/>
      <c r="E66" s="95"/>
      <c r="F66" s="95"/>
      <c r="G66" s="95"/>
      <c r="H66" s="95"/>
      <c r="I66" s="98"/>
      <c r="J66" s="98"/>
      <c r="M66" s="1"/>
    </row>
    <row r="67" spans="4:13" ht="18.75" customHeight="1">
      <c r="D67" s="98"/>
      <c r="E67" s="45"/>
      <c r="F67" s="46"/>
      <c r="G67" s="98"/>
      <c r="H67" s="98"/>
      <c r="I67" s="98"/>
      <c r="J67" s="98"/>
      <c r="M67" s="1"/>
    </row>
    <row r="68" spans="4:13" ht="18.75" customHeight="1">
      <c r="D68" s="98"/>
      <c r="E68" s="45"/>
      <c r="F68" s="46"/>
      <c r="G68" s="98"/>
      <c r="H68" s="98"/>
      <c r="I68" s="98"/>
      <c r="J68" s="98"/>
      <c r="M68" s="1"/>
    </row>
    <row r="69" spans="4:13" ht="18.75" customHeight="1">
      <c r="D69" s="98"/>
      <c r="E69" s="45"/>
      <c r="F69" s="46"/>
      <c r="G69" s="98"/>
      <c r="H69" s="98"/>
      <c r="I69" s="98"/>
      <c r="J69" s="98"/>
      <c r="M69" s="1"/>
    </row>
    <row r="70" spans="4:13" ht="18.75" customHeight="1">
      <c r="D70" s="98"/>
      <c r="E70" s="47"/>
      <c r="F70" s="48"/>
      <c r="G70" s="98"/>
      <c r="H70" s="98"/>
      <c r="I70" s="98"/>
      <c r="J70" s="98"/>
      <c r="M70" s="1"/>
    </row>
    <row r="71" spans="4:13" ht="18.75" customHeight="1">
      <c r="D71" s="98"/>
      <c r="E71" s="45"/>
      <c r="F71" s="46"/>
      <c r="G71" s="98"/>
      <c r="H71" s="98"/>
      <c r="I71" s="98"/>
      <c r="J71" s="98"/>
      <c r="M71" s="1"/>
    </row>
  </sheetData>
  <sheetProtection algorithmName="SHA-512" hashValue="jbYt8YhiuM3XbP3duDuid7ubdDBrYyJ20JZlQIx56Rj/nedxBtoa3RDmM1ezt0+xVDnyDRZ+KP4R3GFwGrsZtA==" saltValue="DECKMtu5DMdlSguTt9Clm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12" sqref="C12"/>
    </sheetView>
  </sheetViews>
  <sheetFormatPr defaultRowHeight="15"/>
  <cols>
    <col min="1" max="1" width="11.5703125" style="56" hidden="1" customWidth="1"/>
    <col min="2" max="2" width="94.7109375" style="56" bestFit="1" customWidth="1"/>
    <col min="3" max="3" width="25.85546875" style="56" customWidth="1"/>
    <col min="4" max="4" width="69.5703125" style="56" bestFit="1" customWidth="1"/>
    <col min="5" max="5" width="20.7109375" style="56" bestFit="1" customWidth="1"/>
    <col min="6" max="6" width="61.140625" style="56" customWidth="1"/>
    <col min="7" max="8" width="9.140625" style="56"/>
    <col min="9" max="9" width="10.140625" style="56" bestFit="1" customWidth="1"/>
    <col min="10" max="10" width="9.140625" style="56"/>
    <col min="11" max="11" width="11.28515625" style="56" bestFit="1" customWidth="1"/>
    <col min="12" max="12" width="69.5703125" style="56" bestFit="1" customWidth="1"/>
    <col min="13" max="16384" width="9.140625" style="56"/>
  </cols>
  <sheetData>
    <row r="1" spans="1:10" ht="15.75">
      <c r="A1" s="66"/>
      <c r="B1" s="67" t="s">
        <v>32</v>
      </c>
      <c r="E1" s="56" t="s">
        <v>175</v>
      </c>
      <c r="F1" s="56">
        <v>3807.7</v>
      </c>
    </row>
    <row r="2" spans="1:10" ht="15.75" customHeight="1">
      <c r="A2" s="66" t="s">
        <v>80</v>
      </c>
      <c r="B2" s="68" t="s">
        <v>2</v>
      </c>
      <c r="C2" s="79">
        <v>0</v>
      </c>
      <c r="D2" s="77" t="s">
        <v>57</v>
      </c>
      <c r="E2" s="57" t="s">
        <v>177</v>
      </c>
      <c r="F2" s="57" t="s">
        <v>178</v>
      </c>
      <c r="G2" s="57"/>
      <c r="H2" s="57"/>
      <c r="I2" s="57"/>
      <c r="J2" s="57"/>
    </row>
    <row r="3" spans="1:10" ht="15.75" customHeight="1">
      <c r="A3" s="66" t="s">
        <v>81</v>
      </c>
      <c r="B3" s="68" t="s">
        <v>3</v>
      </c>
      <c r="C3" s="75">
        <v>0</v>
      </c>
      <c r="D3" s="76" t="s">
        <v>58</v>
      </c>
      <c r="E3" s="156">
        <f>0.4*12*F1</f>
        <v>18276.960000000003</v>
      </c>
      <c r="F3" s="157" t="s">
        <v>200</v>
      </c>
      <c r="G3" s="57"/>
      <c r="H3" s="57"/>
      <c r="I3" s="57"/>
      <c r="J3" s="57"/>
    </row>
    <row r="4" spans="1:10" ht="15.75" customHeight="1">
      <c r="A4" s="66" t="s">
        <v>82</v>
      </c>
      <c r="B4" s="68" t="s">
        <v>4</v>
      </c>
      <c r="C4" s="79">
        <v>251880.23</v>
      </c>
      <c r="D4" s="77" t="s">
        <v>59</v>
      </c>
      <c r="E4" s="156">
        <f>0.88*12*F1</f>
        <v>40209.311999999998</v>
      </c>
      <c r="F4" s="157" t="s">
        <v>199</v>
      </c>
      <c r="G4" s="57"/>
      <c r="H4" s="57"/>
      <c r="I4" s="57"/>
      <c r="J4" s="57"/>
    </row>
    <row r="5" spans="1:10" ht="15.75" customHeight="1">
      <c r="A5" s="66" t="s">
        <v>83</v>
      </c>
      <c r="B5" s="68" t="s">
        <v>5</v>
      </c>
      <c r="C5" s="75">
        <f>SUM(C6:C8)</f>
        <v>1275787.5</v>
      </c>
      <c r="D5" s="76" t="s">
        <v>58</v>
      </c>
      <c r="E5" s="57"/>
      <c r="F5" s="57"/>
      <c r="G5" s="57"/>
      <c r="H5" s="57"/>
      <c r="I5" s="57"/>
      <c r="J5" s="57"/>
    </row>
    <row r="6" spans="1:10" ht="15.75" customHeight="1">
      <c r="A6" s="66" t="s">
        <v>84</v>
      </c>
      <c r="B6" s="68" t="s">
        <v>6</v>
      </c>
      <c r="C6" s="79">
        <v>815751.84</v>
      </c>
      <c r="D6" s="77" t="s">
        <v>60</v>
      </c>
      <c r="E6" s="57"/>
      <c r="F6" s="57"/>
      <c r="G6" s="57"/>
      <c r="H6" s="57"/>
      <c r="I6" s="57"/>
      <c r="J6" s="57"/>
    </row>
    <row r="7" spans="1:10" ht="15.75" customHeight="1">
      <c r="A7" s="66" t="s">
        <v>85</v>
      </c>
      <c r="B7" s="68" t="s">
        <v>7</v>
      </c>
      <c r="C7" s="79">
        <f>F1*5*12</f>
        <v>228462</v>
      </c>
      <c r="D7" s="77" t="s">
        <v>61</v>
      </c>
      <c r="E7" s="57"/>
      <c r="F7" s="57"/>
      <c r="G7" s="57"/>
      <c r="H7" s="57"/>
      <c r="I7" s="57"/>
      <c r="J7" s="57"/>
    </row>
    <row r="8" spans="1:10" ht="15.75" customHeight="1">
      <c r="A8" s="66" t="s">
        <v>86</v>
      </c>
      <c r="B8" s="68" t="s">
        <v>8</v>
      </c>
      <c r="C8" s="79">
        <v>231573.66</v>
      </c>
      <c r="D8" s="77" t="s">
        <v>62</v>
      </c>
      <c r="E8" s="57"/>
      <c r="F8" s="57"/>
      <c r="G8" s="57"/>
      <c r="H8" s="57"/>
      <c r="I8" s="57"/>
      <c r="J8" s="57"/>
    </row>
    <row r="9" spans="1:10" ht="15.75" customHeight="1">
      <c r="A9" s="66" t="s">
        <v>87</v>
      </c>
      <c r="B9" s="68" t="s">
        <v>9</v>
      </c>
      <c r="C9" s="75">
        <f>SUM(C10:C14)</f>
        <v>1247756.1599999999</v>
      </c>
      <c r="D9" s="76" t="s">
        <v>58</v>
      </c>
      <c r="E9" s="57"/>
      <c r="F9" s="57"/>
      <c r="G9" s="57"/>
      <c r="H9" s="57"/>
      <c r="I9" s="57"/>
      <c r="J9" s="57"/>
    </row>
    <row r="10" spans="1:10" ht="15.75" customHeight="1">
      <c r="A10" s="66" t="s">
        <v>88</v>
      </c>
      <c r="B10" s="68" t="s">
        <v>10</v>
      </c>
      <c r="C10" s="79">
        <v>1247756.1599999999</v>
      </c>
      <c r="D10" s="77" t="s">
        <v>63</v>
      </c>
      <c r="E10" s="57"/>
      <c r="F10" s="57"/>
      <c r="G10" s="57"/>
      <c r="H10" s="57"/>
      <c r="I10" s="57"/>
      <c r="J10" s="57"/>
    </row>
    <row r="11" spans="1:10" ht="15.75" customHeight="1">
      <c r="A11" s="66" t="s">
        <v>89</v>
      </c>
      <c r="B11" s="68" t="s">
        <v>11</v>
      </c>
      <c r="C11" s="79">
        <v>0</v>
      </c>
      <c r="D11" s="77" t="s">
        <v>63</v>
      </c>
      <c r="E11" s="57"/>
      <c r="F11" s="57"/>
      <c r="G11" s="57"/>
      <c r="H11" s="57"/>
      <c r="I11" s="57"/>
      <c r="J11" s="57"/>
    </row>
    <row r="12" spans="1:10" ht="15.75" customHeight="1">
      <c r="A12" s="66" t="s">
        <v>90</v>
      </c>
      <c r="B12" s="68" t="s">
        <v>12</v>
      </c>
      <c r="C12" s="79">
        <v>0</v>
      </c>
      <c r="D12" s="77" t="s">
        <v>63</v>
      </c>
      <c r="E12" s="57"/>
      <c r="F12" s="57"/>
      <c r="G12" s="57"/>
      <c r="H12" s="57"/>
      <c r="I12" s="57"/>
      <c r="J12" s="57"/>
    </row>
    <row r="13" spans="1:10" ht="15.75" customHeight="1">
      <c r="A13" s="66" t="s">
        <v>91</v>
      </c>
      <c r="B13" s="68" t="s">
        <v>13</v>
      </c>
      <c r="C13" s="79">
        <v>0</v>
      </c>
      <c r="D13" s="77" t="s">
        <v>63</v>
      </c>
      <c r="E13" s="57"/>
      <c r="F13" s="57"/>
      <c r="G13" s="57"/>
      <c r="H13" s="57"/>
      <c r="I13" s="57"/>
      <c r="J13" s="57"/>
    </row>
    <row r="14" spans="1:10" ht="15.75" customHeight="1">
      <c r="A14" s="66" t="s">
        <v>92</v>
      </c>
      <c r="B14" s="68" t="s">
        <v>14</v>
      </c>
      <c r="C14" s="79">
        <v>0</v>
      </c>
      <c r="D14" s="77" t="s">
        <v>63</v>
      </c>
      <c r="E14" s="57"/>
      <c r="F14" s="57"/>
      <c r="G14" s="57"/>
      <c r="H14" s="57"/>
      <c r="I14" s="57"/>
      <c r="J14" s="57"/>
    </row>
    <row r="15" spans="1:10" ht="15.75" customHeight="1">
      <c r="A15" s="66" t="s">
        <v>93</v>
      </c>
      <c r="B15" s="68" t="s">
        <v>15</v>
      </c>
      <c r="C15" s="75">
        <f>C9</f>
        <v>1247756.1599999999</v>
      </c>
      <c r="D15" s="76" t="s">
        <v>58</v>
      </c>
      <c r="E15" s="57"/>
      <c r="F15" s="57"/>
      <c r="G15" s="57"/>
      <c r="H15" s="57"/>
      <c r="I15" s="57"/>
      <c r="J15" s="57"/>
    </row>
    <row r="16" spans="1:10" ht="15.75" customHeight="1">
      <c r="A16" s="66" t="s">
        <v>94</v>
      </c>
      <c r="B16" s="68" t="s">
        <v>16</v>
      </c>
      <c r="C16" s="75">
        <f>IF(C2&gt;0,IF(C2+C9-C5&gt;0,C2+C9-C5,0),IF(C9-C5&gt;0,IF(C4+C5-C9&gt;0,0,C9-C5-C4),0))</f>
        <v>0</v>
      </c>
      <c r="D16" s="76" t="s">
        <v>58</v>
      </c>
      <c r="E16" s="57"/>
      <c r="F16" s="57"/>
      <c r="G16" s="57"/>
      <c r="H16" s="57"/>
      <c r="I16" s="57"/>
      <c r="J16" s="57"/>
    </row>
    <row r="17" spans="1:15" ht="15.75" customHeight="1">
      <c r="A17" s="66" t="s">
        <v>95</v>
      </c>
      <c r="B17" s="68" t="s">
        <v>17</v>
      </c>
      <c r="C17" s="75">
        <v>0</v>
      </c>
      <c r="D17" s="76" t="s">
        <v>58</v>
      </c>
      <c r="E17" s="57"/>
      <c r="F17" s="57"/>
      <c r="G17" s="57"/>
      <c r="H17" s="57"/>
      <c r="I17" s="57"/>
      <c r="J17" s="57"/>
    </row>
    <row r="18" spans="1:15" ht="15.75" customHeight="1">
      <c r="A18" s="66" t="s">
        <v>96</v>
      </c>
      <c r="B18" s="68" t="s">
        <v>18</v>
      </c>
      <c r="C18" s="75">
        <f>IF(C16&gt;0,0,IF(C4&gt;0,C4+C5-C9,C5-C2-C9))</f>
        <v>279911.57000000007</v>
      </c>
      <c r="D18" s="76" t="s">
        <v>58</v>
      </c>
      <c r="E18" s="57"/>
      <c r="F18" s="57"/>
      <c r="G18" s="57"/>
      <c r="H18" s="57"/>
      <c r="I18" s="57"/>
      <c r="J18" s="57"/>
    </row>
    <row r="19" spans="1:15" ht="18.75">
      <c r="A19" s="69" t="s">
        <v>159</v>
      </c>
      <c r="B19" s="70" t="s">
        <v>30</v>
      </c>
      <c r="C19" s="59"/>
      <c r="D19" s="59"/>
      <c r="E19" s="59"/>
      <c r="F19" s="59"/>
      <c r="G19" s="59"/>
      <c r="H19" s="59"/>
      <c r="I19" s="59"/>
      <c r="J19" s="59"/>
      <c r="M19" s="59"/>
      <c r="N19" s="59"/>
      <c r="O19" s="59"/>
    </row>
    <row r="20" spans="1:15" ht="15.75" customHeight="1">
      <c r="A20" s="66" t="s">
        <v>97</v>
      </c>
      <c r="B20" s="68" t="s">
        <v>26</v>
      </c>
      <c r="C20" s="80">
        <v>0</v>
      </c>
      <c r="D20" s="77" t="s">
        <v>66</v>
      </c>
      <c r="E20" s="57"/>
      <c r="F20" s="57"/>
      <c r="G20" s="57"/>
      <c r="H20" s="57"/>
      <c r="I20" s="57"/>
      <c r="J20" s="57"/>
      <c r="M20" s="222"/>
      <c r="N20" s="58"/>
    </row>
    <row r="21" spans="1:15" ht="15.75" customHeight="1">
      <c r="A21" s="66" t="s">
        <v>98</v>
      </c>
      <c r="B21" s="68" t="s">
        <v>27</v>
      </c>
      <c r="C21" s="80">
        <v>0</v>
      </c>
      <c r="D21" s="77" t="s">
        <v>66</v>
      </c>
      <c r="E21" s="57"/>
      <c r="F21" s="57"/>
      <c r="G21" s="57"/>
      <c r="H21" s="57"/>
      <c r="I21" s="57"/>
      <c r="J21" s="57"/>
      <c r="M21" s="222"/>
      <c r="N21" s="58"/>
    </row>
    <row r="22" spans="1:15" ht="15.75" customHeight="1">
      <c r="A22" s="66" t="s">
        <v>99</v>
      </c>
      <c r="B22" s="68" t="s">
        <v>28</v>
      </c>
      <c r="C22" s="80">
        <v>0</v>
      </c>
      <c r="D22" s="77" t="s">
        <v>66</v>
      </c>
      <c r="E22" s="57"/>
      <c r="F22" s="57"/>
      <c r="G22" s="57"/>
      <c r="H22" s="57"/>
      <c r="I22" s="57"/>
      <c r="J22" s="57"/>
      <c r="M22" s="222"/>
      <c r="N22" s="58"/>
    </row>
    <row r="23" spans="1:15" ht="15.75" customHeight="1">
      <c r="A23" s="66" t="s">
        <v>100</v>
      </c>
      <c r="B23" s="68" t="s">
        <v>29</v>
      </c>
      <c r="C23" s="81">
        <v>0</v>
      </c>
      <c r="D23" s="77" t="s">
        <v>66</v>
      </c>
      <c r="E23" s="57"/>
      <c r="F23" s="57"/>
      <c r="G23" s="57"/>
      <c r="H23" s="57"/>
      <c r="I23" s="57"/>
      <c r="J23" s="57"/>
      <c r="M23" s="222"/>
      <c r="N23" s="58"/>
    </row>
    <row r="24" spans="1:15" ht="18.75">
      <c r="A24" s="69" t="s">
        <v>160</v>
      </c>
      <c r="B24" s="67" t="s">
        <v>33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</row>
    <row r="25" spans="1:15" ht="18.75" customHeight="1">
      <c r="A25" s="66" t="s">
        <v>101</v>
      </c>
      <c r="B25" s="71" t="s">
        <v>2</v>
      </c>
      <c r="C25" s="82">
        <v>0</v>
      </c>
      <c r="D25" s="77" t="s">
        <v>57</v>
      </c>
      <c r="E25" s="60"/>
      <c r="F25" s="60"/>
      <c r="G25" s="60"/>
      <c r="H25" s="60"/>
      <c r="I25" s="60"/>
      <c r="J25" s="60"/>
      <c r="M25" s="221"/>
      <c r="N25" s="59"/>
    </row>
    <row r="26" spans="1:15" ht="18.75" customHeight="1">
      <c r="A26" s="66" t="s">
        <v>102</v>
      </c>
      <c r="B26" s="71" t="s">
        <v>3</v>
      </c>
      <c r="C26" s="78">
        <v>0</v>
      </c>
      <c r="D26" s="76" t="s">
        <v>58</v>
      </c>
      <c r="E26" s="60"/>
      <c r="F26" s="60"/>
      <c r="G26" s="60"/>
      <c r="H26" s="60"/>
      <c r="I26" s="60"/>
      <c r="J26" s="60"/>
      <c r="M26" s="221"/>
      <c r="N26" s="59"/>
    </row>
    <row r="27" spans="1:15" ht="18.75" customHeight="1">
      <c r="A27" s="66" t="s">
        <v>103</v>
      </c>
      <c r="B27" s="71" t="s">
        <v>4</v>
      </c>
      <c r="C27" s="82">
        <v>223248.15</v>
      </c>
      <c r="D27" s="77" t="s">
        <v>59</v>
      </c>
      <c r="E27" s="60"/>
      <c r="F27" s="60"/>
      <c r="G27" s="60"/>
      <c r="H27" s="60"/>
      <c r="I27" s="60"/>
      <c r="J27" s="60"/>
      <c r="M27" s="221"/>
      <c r="N27" s="59"/>
    </row>
    <row r="28" spans="1:15" ht="18.75" customHeight="1">
      <c r="A28" s="66" t="s">
        <v>104</v>
      </c>
      <c r="B28" s="71" t="s">
        <v>16</v>
      </c>
      <c r="C28" s="82">
        <v>0</v>
      </c>
      <c r="D28" s="77" t="s">
        <v>64</v>
      </c>
      <c r="E28" s="60"/>
      <c r="F28" s="60"/>
      <c r="G28" s="60"/>
      <c r="H28" s="60"/>
      <c r="I28" s="60"/>
      <c r="J28" s="60"/>
      <c r="M28" s="221"/>
      <c r="N28" s="59"/>
    </row>
    <row r="29" spans="1:15" ht="18.75" customHeight="1">
      <c r="A29" s="66" t="s">
        <v>105</v>
      </c>
      <c r="B29" s="71" t="s">
        <v>17</v>
      </c>
      <c r="C29" s="78">
        <v>0</v>
      </c>
      <c r="D29" s="76" t="s">
        <v>58</v>
      </c>
      <c r="E29" s="60"/>
      <c r="F29" s="60"/>
      <c r="G29" s="60"/>
      <c r="H29" s="60"/>
      <c r="I29" s="60"/>
      <c r="J29" s="60"/>
      <c r="M29" s="221"/>
      <c r="N29" s="59"/>
    </row>
    <row r="30" spans="1:15" ht="18.75" customHeight="1">
      <c r="A30" s="66" t="s">
        <v>106</v>
      </c>
      <c r="B30" s="71" t="s">
        <v>18</v>
      </c>
      <c r="C30" s="82">
        <v>217649.17</v>
      </c>
      <c r="D30" s="77" t="s">
        <v>65</v>
      </c>
      <c r="E30" s="60"/>
      <c r="F30" s="60"/>
      <c r="G30" s="60"/>
      <c r="H30" s="60"/>
      <c r="I30" s="60"/>
      <c r="J30" s="60"/>
      <c r="M30" s="221"/>
      <c r="N30" s="59"/>
    </row>
    <row r="31" spans="1:15" ht="18.75" customHeight="1">
      <c r="A31" s="66" t="s">
        <v>107</v>
      </c>
      <c r="B31" s="71" t="s">
        <v>26</v>
      </c>
      <c r="C31" s="83">
        <v>0</v>
      </c>
      <c r="D31" s="77" t="s">
        <v>66</v>
      </c>
      <c r="E31" s="60"/>
      <c r="F31" s="60"/>
      <c r="G31" s="60"/>
      <c r="H31" s="60"/>
      <c r="I31" s="60"/>
      <c r="J31" s="60"/>
      <c r="M31" s="221"/>
      <c r="N31" s="59"/>
    </row>
    <row r="32" spans="1:15" ht="18.75" customHeight="1">
      <c r="A32" s="66" t="s">
        <v>108</v>
      </c>
      <c r="B32" s="71" t="s">
        <v>27</v>
      </c>
      <c r="C32" s="83">
        <v>0</v>
      </c>
      <c r="D32" s="77" t="s">
        <v>66</v>
      </c>
      <c r="E32" s="60"/>
      <c r="F32" s="60"/>
      <c r="G32" s="60"/>
      <c r="H32" s="60"/>
      <c r="I32" s="60"/>
      <c r="J32" s="60"/>
      <c r="M32" s="221"/>
      <c r="N32" s="59"/>
    </row>
    <row r="33" spans="1:15" ht="18.75" customHeight="1">
      <c r="A33" s="66" t="s">
        <v>109</v>
      </c>
      <c r="B33" s="71" t="s">
        <v>28</v>
      </c>
      <c r="C33" s="83">
        <v>0</v>
      </c>
      <c r="D33" s="77" t="s">
        <v>66</v>
      </c>
      <c r="E33" s="60"/>
      <c r="F33" s="60"/>
      <c r="G33" s="60"/>
      <c r="H33" s="60"/>
      <c r="I33" s="60"/>
      <c r="J33" s="60"/>
      <c r="M33" s="221"/>
      <c r="N33" s="59"/>
    </row>
    <row r="34" spans="1:15" ht="18.75" customHeight="1">
      <c r="A34" s="66" t="s">
        <v>110</v>
      </c>
      <c r="B34" s="71" t="s">
        <v>29</v>
      </c>
      <c r="C34" s="84">
        <v>0</v>
      </c>
      <c r="D34" s="77" t="s">
        <v>66</v>
      </c>
      <c r="E34" s="60"/>
      <c r="F34" s="60"/>
      <c r="G34" s="60"/>
      <c r="H34" s="60"/>
      <c r="I34" s="60"/>
      <c r="J34" s="60"/>
      <c r="M34" s="221"/>
      <c r="N34" s="59"/>
    </row>
    <row r="35" spans="1:15" ht="18.75" hidden="1">
      <c r="A35" s="69" t="s">
        <v>161</v>
      </c>
      <c r="B35" s="67" t="s">
        <v>34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</row>
    <row r="36" spans="1:15" ht="31.5" hidden="1">
      <c r="A36" s="69" t="s">
        <v>162</v>
      </c>
      <c r="B36" s="72" t="s">
        <v>47</v>
      </c>
      <c r="C36" s="88" t="s">
        <v>48</v>
      </c>
      <c r="D36" s="72" t="s">
        <v>49</v>
      </c>
      <c r="E36" s="72" t="s">
        <v>50</v>
      </c>
      <c r="G36" s="61"/>
      <c r="H36" s="61"/>
      <c r="I36" s="61"/>
      <c r="L36" s="59"/>
      <c r="M36" s="59"/>
      <c r="N36" s="59"/>
      <c r="O36" s="59"/>
    </row>
    <row r="37" spans="1:15" ht="18.75" hidden="1">
      <c r="A37" s="69" t="s">
        <v>118</v>
      </c>
      <c r="B37" s="73" t="s">
        <v>52</v>
      </c>
      <c r="C37" s="92">
        <f>IF(E37&gt;0,"Предоставляется",0)</f>
        <v>0</v>
      </c>
      <c r="D37" s="92" t="s">
        <v>51</v>
      </c>
      <c r="E37" s="91">
        <v>0</v>
      </c>
      <c r="F37" s="90" t="s">
        <v>165</v>
      </c>
      <c r="G37" s="62"/>
      <c r="H37" s="62"/>
      <c r="I37" s="62"/>
      <c r="L37" s="59"/>
      <c r="M37" s="220"/>
      <c r="N37" s="59"/>
      <c r="O37" s="59"/>
    </row>
    <row r="38" spans="1:15" ht="18.75" hidden="1" customHeight="1">
      <c r="A38" s="66" t="s">
        <v>111</v>
      </c>
      <c r="B38" s="74" t="s">
        <v>36</v>
      </c>
      <c r="C38" s="86">
        <v>0</v>
      </c>
      <c r="D38" s="90" t="s">
        <v>163</v>
      </c>
      <c r="E38" s="64"/>
      <c r="G38" s="63"/>
      <c r="H38" s="63"/>
      <c r="L38" s="59"/>
      <c r="M38" s="220"/>
      <c r="N38" s="59"/>
      <c r="O38" s="59"/>
    </row>
    <row r="39" spans="1:15" ht="18.75" hidden="1" customHeight="1">
      <c r="A39" s="66" t="s">
        <v>112</v>
      </c>
      <c r="B39" s="74" t="s">
        <v>37</v>
      </c>
      <c r="C39" s="87">
        <v>0</v>
      </c>
      <c r="D39" s="90" t="s">
        <v>164</v>
      </c>
      <c r="E39" s="64"/>
      <c r="G39" s="63"/>
      <c r="H39" s="63"/>
      <c r="L39" s="59"/>
      <c r="M39" s="220"/>
      <c r="N39" s="59"/>
      <c r="O39" s="59"/>
    </row>
    <row r="40" spans="1:15" ht="18.75" hidden="1" customHeight="1">
      <c r="A40" s="66" t="s">
        <v>113</v>
      </c>
      <c r="B40" s="74" t="s">
        <v>38</v>
      </c>
      <c r="C40" s="89">
        <f>IF(E37-C39&lt;0,0,E37-C39)</f>
        <v>0</v>
      </c>
      <c r="D40" s="76" t="s">
        <v>58</v>
      </c>
      <c r="E40" s="64"/>
      <c r="G40" s="63"/>
      <c r="H40" s="63"/>
      <c r="L40" s="59"/>
      <c r="M40" s="220"/>
      <c r="N40" s="59"/>
      <c r="O40" s="59"/>
    </row>
    <row r="41" spans="1:15" ht="18.75" hidden="1" customHeight="1">
      <c r="A41" s="66" t="s">
        <v>114</v>
      </c>
      <c r="B41" s="74" t="s">
        <v>39</v>
      </c>
      <c r="C41" s="89">
        <f>E37</f>
        <v>0</v>
      </c>
      <c r="D41" s="76" t="s">
        <v>58</v>
      </c>
      <c r="E41" s="64"/>
      <c r="G41" s="63"/>
      <c r="H41" s="63"/>
      <c r="L41" s="59"/>
      <c r="M41" s="220"/>
      <c r="N41" s="59"/>
      <c r="O41" s="59"/>
    </row>
    <row r="42" spans="1:15" ht="18.75" hidden="1" customHeight="1">
      <c r="A42" s="66" t="s">
        <v>115</v>
      </c>
      <c r="B42" s="74" t="s">
        <v>40</v>
      </c>
      <c r="C42" s="89">
        <f>E37</f>
        <v>0</v>
      </c>
      <c r="D42" s="76" t="s">
        <v>58</v>
      </c>
      <c r="E42" s="64"/>
      <c r="G42" s="63"/>
      <c r="H42" s="63"/>
      <c r="L42" s="59"/>
      <c r="M42" s="220"/>
      <c r="N42" s="59"/>
      <c r="O42" s="59"/>
    </row>
    <row r="43" spans="1:15" ht="18.75" hidden="1" customHeight="1">
      <c r="A43" s="66" t="s">
        <v>116</v>
      </c>
      <c r="B43" s="74" t="s">
        <v>41</v>
      </c>
      <c r="C43" s="89">
        <f>IF(C41-C42&lt;=0,,C41-C42)</f>
        <v>0</v>
      </c>
      <c r="D43" s="76" t="s">
        <v>58</v>
      </c>
      <c r="E43" s="64"/>
      <c r="G43" s="63"/>
      <c r="H43" s="63"/>
      <c r="L43" s="59"/>
      <c r="M43" s="220"/>
      <c r="N43" s="59"/>
      <c r="O43" s="59"/>
    </row>
    <row r="44" spans="1:15" ht="30" hidden="1" customHeight="1">
      <c r="A44" s="66" t="s">
        <v>117</v>
      </c>
      <c r="B44" s="74" t="s">
        <v>42</v>
      </c>
      <c r="C44" s="89">
        <v>0</v>
      </c>
      <c r="D44" s="76" t="s">
        <v>58</v>
      </c>
      <c r="E44" s="64"/>
      <c r="G44" s="63"/>
      <c r="H44" s="63"/>
      <c r="L44" s="59"/>
      <c r="M44" s="220"/>
      <c r="N44" s="59"/>
      <c r="O44" s="59"/>
    </row>
    <row r="45" spans="1:15" ht="18.75" hidden="1">
      <c r="A45" s="69" t="s">
        <v>119</v>
      </c>
      <c r="B45" s="73" t="s">
        <v>53</v>
      </c>
      <c r="C45" s="92">
        <f>IF(E45&gt;0,"Предоставляется",0)</f>
        <v>0</v>
      </c>
      <c r="D45" s="92" t="s">
        <v>54</v>
      </c>
      <c r="E45" s="91">
        <v>0</v>
      </c>
      <c r="F45" s="90" t="s">
        <v>165</v>
      </c>
      <c r="G45" s="62"/>
      <c r="H45" s="62"/>
      <c r="L45" s="59"/>
      <c r="M45" s="220"/>
      <c r="N45" s="59"/>
      <c r="O45" s="59"/>
    </row>
    <row r="46" spans="1:15" ht="18.75" hidden="1" customHeight="1">
      <c r="A46" s="69" t="s">
        <v>120</v>
      </c>
      <c r="B46" s="74" t="s">
        <v>36</v>
      </c>
      <c r="C46" s="86">
        <v>0</v>
      </c>
      <c r="D46" s="90" t="s">
        <v>166</v>
      </c>
      <c r="E46" s="64"/>
      <c r="G46" s="63"/>
      <c r="H46" s="63"/>
      <c r="L46" s="59"/>
      <c r="M46" s="220"/>
      <c r="N46" s="59"/>
      <c r="O46" s="59"/>
    </row>
    <row r="47" spans="1:15" ht="18.75" hidden="1" customHeight="1">
      <c r="A47" s="69" t="s">
        <v>121</v>
      </c>
      <c r="B47" s="74" t="s">
        <v>37</v>
      </c>
      <c r="C47" s="87">
        <v>0</v>
      </c>
      <c r="D47" s="90" t="s">
        <v>164</v>
      </c>
      <c r="E47" s="64"/>
      <c r="G47" s="63"/>
      <c r="H47" s="63"/>
      <c r="L47" s="59"/>
      <c r="M47" s="220"/>
      <c r="N47" s="59"/>
      <c r="O47" s="59"/>
    </row>
    <row r="48" spans="1:15" ht="18.75" hidden="1" customHeight="1">
      <c r="A48" s="69" t="s">
        <v>122</v>
      </c>
      <c r="B48" s="74" t="s">
        <v>38</v>
      </c>
      <c r="C48" s="89">
        <f>IF(E45-C47&lt;0,0,E45-C47)</f>
        <v>0</v>
      </c>
      <c r="D48" s="76" t="s">
        <v>58</v>
      </c>
      <c r="E48" s="64"/>
      <c r="G48" s="63"/>
      <c r="H48" s="63"/>
      <c r="L48" s="59"/>
      <c r="M48" s="220"/>
      <c r="N48" s="59"/>
      <c r="O48" s="59"/>
    </row>
    <row r="49" spans="1:15" ht="18.75" hidden="1" customHeight="1">
      <c r="A49" s="69" t="s">
        <v>123</v>
      </c>
      <c r="B49" s="74" t="s">
        <v>39</v>
      </c>
      <c r="C49" s="89">
        <f>E45</f>
        <v>0</v>
      </c>
      <c r="D49" s="76" t="s">
        <v>58</v>
      </c>
      <c r="E49" s="64"/>
      <c r="G49" s="63"/>
      <c r="H49" s="63"/>
      <c r="L49" s="59"/>
      <c r="M49" s="220"/>
      <c r="N49" s="59"/>
      <c r="O49" s="59"/>
    </row>
    <row r="50" spans="1:15" ht="18.75" hidden="1" customHeight="1">
      <c r="A50" s="69" t="s">
        <v>124</v>
      </c>
      <c r="B50" s="74" t="s">
        <v>40</v>
      </c>
      <c r="C50" s="89">
        <f>E45</f>
        <v>0</v>
      </c>
      <c r="D50" s="76" t="s">
        <v>58</v>
      </c>
      <c r="E50" s="64"/>
      <c r="G50" s="63"/>
      <c r="H50" s="63"/>
      <c r="L50" s="59"/>
      <c r="M50" s="220"/>
      <c r="N50" s="59"/>
      <c r="O50" s="59"/>
    </row>
    <row r="51" spans="1:15" ht="18.75" hidden="1" customHeight="1">
      <c r="A51" s="69" t="s">
        <v>125</v>
      </c>
      <c r="B51" s="74" t="s">
        <v>41</v>
      </c>
      <c r="C51" s="89">
        <f>IF(C49-C50&lt;=0,,C49-C50)</f>
        <v>0</v>
      </c>
      <c r="D51" s="76" t="s">
        <v>58</v>
      </c>
      <c r="E51" s="64"/>
      <c r="G51" s="63"/>
      <c r="H51" s="63"/>
      <c r="L51" s="59"/>
      <c r="M51" s="220"/>
      <c r="N51" s="59"/>
      <c r="O51" s="59"/>
    </row>
    <row r="52" spans="1:15" ht="29.25" hidden="1" customHeight="1">
      <c r="A52" s="69" t="s">
        <v>126</v>
      </c>
      <c r="B52" s="74" t="s">
        <v>42</v>
      </c>
      <c r="C52" s="89">
        <v>0</v>
      </c>
      <c r="D52" s="76" t="s">
        <v>58</v>
      </c>
      <c r="E52" s="64"/>
      <c r="G52" s="63"/>
      <c r="H52" s="63"/>
      <c r="L52" s="59"/>
      <c r="M52" s="220"/>
      <c r="N52" s="59"/>
      <c r="O52" s="59"/>
    </row>
    <row r="53" spans="1:15" ht="18.75" hidden="1">
      <c r="A53" s="69" t="s">
        <v>127</v>
      </c>
      <c r="B53" s="73" t="s">
        <v>55</v>
      </c>
      <c r="C53" s="92">
        <f>IF(E53&gt;0,"Предоставляется",0)</f>
        <v>0</v>
      </c>
      <c r="D53" s="92" t="s">
        <v>54</v>
      </c>
      <c r="E53" s="91">
        <v>0</v>
      </c>
      <c r="F53" s="90" t="s">
        <v>165</v>
      </c>
      <c r="G53" s="62"/>
      <c r="H53" s="62"/>
      <c r="L53" s="59"/>
      <c r="M53" s="220"/>
      <c r="N53" s="59"/>
      <c r="O53" s="59"/>
    </row>
    <row r="54" spans="1:15" ht="18.75" hidden="1" customHeight="1">
      <c r="A54" s="69" t="s">
        <v>128</v>
      </c>
      <c r="B54" s="71" t="s">
        <v>36</v>
      </c>
      <c r="C54" s="94">
        <v>0</v>
      </c>
      <c r="D54" s="90" t="s">
        <v>166</v>
      </c>
      <c r="E54" s="65"/>
      <c r="F54" s="85"/>
      <c r="G54" s="60"/>
      <c r="H54" s="60"/>
      <c r="L54" s="59"/>
      <c r="M54" s="220"/>
      <c r="N54" s="59"/>
      <c r="O54" s="59"/>
    </row>
    <row r="55" spans="1:15" ht="18.75" hidden="1" customHeight="1">
      <c r="A55" s="69" t="s">
        <v>129</v>
      </c>
      <c r="B55" s="71" t="s">
        <v>37</v>
      </c>
      <c r="C55" s="82">
        <v>0</v>
      </c>
      <c r="D55" s="90" t="s">
        <v>164</v>
      </c>
      <c r="E55" s="65"/>
      <c r="G55" s="60"/>
      <c r="H55" s="60"/>
      <c r="L55" s="59"/>
      <c r="M55" s="220"/>
      <c r="N55" s="59"/>
      <c r="O55" s="59"/>
    </row>
    <row r="56" spans="1:15" ht="18.75" hidden="1" customHeight="1">
      <c r="A56" s="69" t="s">
        <v>130</v>
      </c>
      <c r="B56" s="71" t="s">
        <v>38</v>
      </c>
      <c r="C56" s="89">
        <f>IF(E53-C55&lt;0,0,E53-C55)</f>
        <v>0</v>
      </c>
      <c r="D56" s="76" t="s">
        <v>58</v>
      </c>
      <c r="E56" s="65"/>
      <c r="G56" s="60"/>
      <c r="H56" s="60"/>
      <c r="L56" s="59"/>
      <c r="M56" s="220"/>
      <c r="N56" s="59"/>
      <c r="O56" s="59"/>
    </row>
    <row r="57" spans="1:15" ht="18.75" hidden="1" customHeight="1">
      <c r="A57" s="69" t="s">
        <v>131</v>
      </c>
      <c r="B57" s="71" t="s">
        <v>39</v>
      </c>
      <c r="C57" s="89">
        <f>E53</f>
        <v>0</v>
      </c>
      <c r="D57" s="76" t="s">
        <v>58</v>
      </c>
      <c r="E57" s="65"/>
      <c r="G57" s="60"/>
      <c r="H57" s="60"/>
      <c r="L57" s="59"/>
      <c r="M57" s="220"/>
      <c r="N57" s="59"/>
      <c r="O57" s="59"/>
    </row>
    <row r="58" spans="1:15" ht="18.75" hidden="1" customHeight="1">
      <c r="A58" s="69" t="s">
        <v>132</v>
      </c>
      <c r="B58" s="71" t="s">
        <v>40</v>
      </c>
      <c r="C58" s="89">
        <f>E53</f>
        <v>0</v>
      </c>
      <c r="D58" s="76" t="s">
        <v>58</v>
      </c>
      <c r="E58" s="65"/>
      <c r="G58" s="60"/>
      <c r="H58" s="60"/>
      <c r="L58" s="59"/>
      <c r="M58" s="220"/>
      <c r="N58" s="59"/>
      <c r="O58" s="59"/>
    </row>
    <row r="59" spans="1:15" ht="18.75" hidden="1" customHeight="1">
      <c r="A59" s="69" t="s">
        <v>133</v>
      </c>
      <c r="B59" s="71" t="s">
        <v>41</v>
      </c>
      <c r="C59" s="89">
        <f>IF(C57-C58&lt;=0,,C57-C58)</f>
        <v>0</v>
      </c>
      <c r="D59" s="76" t="s">
        <v>58</v>
      </c>
      <c r="E59" s="65"/>
      <c r="G59" s="60"/>
      <c r="H59" s="60"/>
      <c r="L59" s="59"/>
      <c r="M59" s="220"/>
      <c r="N59" s="59"/>
      <c r="O59" s="59"/>
    </row>
    <row r="60" spans="1:15" ht="33.75" hidden="1" customHeight="1">
      <c r="A60" s="69" t="s">
        <v>134</v>
      </c>
      <c r="B60" s="71" t="s">
        <v>42</v>
      </c>
      <c r="C60" s="89">
        <v>0</v>
      </c>
      <c r="D60" s="76" t="s">
        <v>58</v>
      </c>
      <c r="E60" s="65"/>
      <c r="G60" s="60"/>
      <c r="H60" s="60"/>
      <c r="L60" s="59"/>
      <c r="M60" s="220"/>
      <c r="N60" s="59"/>
      <c r="O60" s="59"/>
    </row>
    <row r="61" spans="1:15" ht="15.75" hidden="1">
      <c r="A61" s="69" t="s">
        <v>135</v>
      </c>
      <c r="B61" s="73" t="s">
        <v>76</v>
      </c>
      <c r="C61" s="92">
        <f>IF(E61&gt;0,"Предоставляется",0)</f>
        <v>0</v>
      </c>
      <c r="D61" s="92" t="s">
        <v>54</v>
      </c>
      <c r="E61" s="91">
        <v>0</v>
      </c>
      <c r="F61" s="90" t="s">
        <v>165</v>
      </c>
      <c r="G61" s="62"/>
      <c r="H61" s="62"/>
    </row>
    <row r="62" spans="1:15" ht="15.75" hidden="1" customHeight="1">
      <c r="A62" s="69" t="s">
        <v>136</v>
      </c>
      <c r="B62" s="71" t="s">
        <v>36</v>
      </c>
      <c r="C62" s="94">
        <v>0</v>
      </c>
      <c r="D62" s="90" t="s">
        <v>166</v>
      </c>
      <c r="E62" s="65"/>
      <c r="G62" s="60"/>
      <c r="H62" s="60"/>
    </row>
    <row r="63" spans="1:15" ht="15.75" hidden="1" customHeight="1">
      <c r="A63" s="69" t="s">
        <v>137</v>
      </c>
      <c r="B63" s="71" t="s">
        <v>37</v>
      </c>
      <c r="C63" s="82">
        <v>0</v>
      </c>
      <c r="D63" s="90" t="s">
        <v>164</v>
      </c>
      <c r="E63" s="65"/>
      <c r="G63" s="60"/>
      <c r="H63" s="60"/>
    </row>
    <row r="64" spans="1:15" ht="15.75" hidden="1" customHeight="1">
      <c r="A64" s="69" t="s">
        <v>138</v>
      </c>
      <c r="B64" s="71" t="s">
        <v>38</v>
      </c>
      <c r="C64" s="89">
        <f>IF(E61-C63&lt;0,0,E61-C63)</f>
        <v>0</v>
      </c>
      <c r="D64" s="76" t="s">
        <v>58</v>
      </c>
      <c r="E64" s="65"/>
      <c r="G64" s="60"/>
      <c r="H64" s="60"/>
    </row>
    <row r="65" spans="1:8" ht="15.75" hidden="1" customHeight="1">
      <c r="A65" s="69" t="s">
        <v>139</v>
      </c>
      <c r="B65" s="71" t="s">
        <v>39</v>
      </c>
      <c r="C65" s="89">
        <f>E61</f>
        <v>0</v>
      </c>
      <c r="D65" s="76" t="s">
        <v>58</v>
      </c>
      <c r="E65" s="65"/>
      <c r="G65" s="60"/>
      <c r="H65" s="60"/>
    </row>
    <row r="66" spans="1:8" ht="15.75" hidden="1" customHeight="1">
      <c r="A66" s="69" t="s">
        <v>140</v>
      </c>
      <c r="B66" s="71" t="s">
        <v>40</v>
      </c>
      <c r="C66" s="89">
        <f>E61</f>
        <v>0</v>
      </c>
      <c r="D66" s="76" t="s">
        <v>58</v>
      </c>
      <c r="E66" s="65"/>
      <c r="G66" s="60"/>
      <c r="H66" s="60"/>
    </row>
    <row r="67" spans="1:8" ht="15.75" hidden="1" customHeight="1">
      <c r="A67" s="69" t="s">
        <v>141</v>
      </c>
      <c r="B67" s="71" t="s">
        <v>41</v>
      </c>
      <c r="C67" s="89">
        <f>IF(C65-C66&lt;=0,,C65-C66)</f>
        <v>0</v>
      </c>
      <c r="D67" s="76" t="s">
        <v>58</v>
      </c>
      <c r="E67" s="65"/>
      <c r="G67" s="60"/>
      <c r="H67" s="60"/>
    </row>
    <row r="68" spans="1:8" ht="15.75" hidden="1" customHeight="1">
      <c r="A68" s="69" t="s">
        <v>142</v>
      </c>
      <c r="B68" s="71" t="s">
        <v>42</v>
      </c>
      <c r="C68" s="89">
        <v>0</v>
      </c>
      <c r="D68" s="76" t="s">
        <v>58</v>
      </c>
      <c r="E68" s="65"/>
      <c r="G68" s="60"/>
      <c r="H68" s="60"/>
    </row>
    <row r="69" spans="1:8" ht="15.75" hidden="1">
      <c r="A69" s="69" t="s">
        <v>143</v>
      </c>
      <c r="B69" s="73" t="s">
        <v>77</v>
      </c>
      <c r="C69" s="92">
        <f>IF(E69&gt;0,"Предоставляется",0)</f>
        <v>0</v>
      </c>
      <c r="D69" s="92" t="s">
        <v>54</v>
      </c>
      <c r="E69" s="91">
        <v>0</v>
      </c>
      <c r="F69" s="90" t="s">
        <v>165</v>
      </c>
      <c r="G69" s="62"/>
      <c r="H69" s="62"/>
    </row>
    <row r="70" spans="1:8" ht="15.75" hidden="1" customHeight="1">
      <c r="A70" s="69" t="s">
        <v>144</v>
      </c>
      <c r="B70" s="71" t="s">
        <v>36</v>
      </c>
      <c r="C70" s="94">
        <v>0</v>
      </c>
      <c r="D70" s="90" t="s">
        <v>166</v>
      </c>
      <c r="E70" s="65"/>
      <c r="G70" s="60"/>
      <c r="H70" s="60"/>
    </row>
    <row r="71" spans="1:8" ht="15.75" hidden="1" customHeight="1">
      <c r="A71" s="69" t="s">
        <v>145</v>
      </c>
      <c r="B71" s="71" t="s">
        <v>37</v>
      </c>
      <c r="C71" s="82">
        <v>0</v>
      </c>
      <c r="D71" s="90" t="s">
        <v>164</v>
      </c>
      <c r="E71" s="65"/>
      <c r="G71" s="60"/>
      <c r="H71" s="60"/>
    </row>
    <row r="72" spans="1:8" ht="15.75" hidden="1" customHeight="1">
      <c r="A72" s="69" t="s">
        <v>146</v>
      </c>
      <c r="B72" s="71" t="s">
        <v>38</v>
      </c>
      <c r="C72" s="89">
        <f>IF(E69-C71&lt;0,0,E69-C71)</f>
        <v>0</v>
      </c>
      <c r="D72" s="76" t="s">
        <v>58</v>
      </c>
      <c r="E72" s="65"/>
      <c r="G72" s="60"/>
      <c r="H72" s="60"/>
    </row>
    <row r="73" spans="1:8" ht="15.75" hidden="1" customHeight="1">
      <c r="A73" s="69" t="s">
        <v>147</v>
      </c>
      <c r="B73" s="71" t="s">
        <v>39</v>
      </c>
      <c r="C73" s="89">
        <f>E69</f>
        <v>0</v>
      </c>
      <c r="D73" s="76" t="s">
        <v>58</v>
      </c>
      <c r="E73" s="65"/>
      <c r="G73" s="60"/>
      <c r="H73" s="60"/>
    </row>
    <row r="74" spans="1:8" ht="15.75" hidden="1" customHeight="1">
      <c r="A74" s="69" t="s">
        <v>148</v>
      </c>
      <c r="B74" s="71" t="s">
        <v>40</v>
      </c>
      <c r="C74" s="89">
        <f>E69</f>
        <v>0</v>
      </c>
      <c r="D74" s="76" t="s">
        <v>58</v>
      </c>
      <c r="E74" s="65"/>
      <c r="G74" s="60"/>
      <c r="H74" s="60"/>
    </row>
    <row r="75" spans="1:8" ht="15.75" hidden="1" customHeight="1">
      <c r="A75" s="69" t="s">
        <v>149</v>
      </c>
      <c r="B75" s="71" t="s">
        <v>41</v>
      </c>
      <c r="C75" s="89">
        <f>IF(C73-C74&lt;=0,,C73-C74)</f>
        <v>0</v>
      </c>
      <c r="D75" s="76" t="s">
        <v>58</v>
      </c>
      <c r="E75" s="65"/>
      <c r="G75" s="60"/>
      <c r="H75" s="60"/>
    </row>
    <row r="76" spans="1:8" ht="15.75" hidden="1" customHeight="1">
      <c r="A76" s="69" t="s">
        <v>150</v>
      </c>
      <c r="B76" s="71" t="s">
        <v>42</v>
      </c>
      <c r="C76" s="89">
        <v>0</v>
      </c>
      <c r="D76" s="76" t="s">
        <v>58</v>
      </c>
      <c r="E76" s="65"/>
      <c r="G76" s="60"/>
      <c r="H76" s="60"/>
    </row>
    <row r="77" spans="1:8" ht="15.75" hidden="1">
      <c r="A77" s="69" t="s">
        <v>151</v>
      </c>
      <c r="B77" s="73" t="s">
        <v>78</v>
      </c>
      <c r="C77" s="92">
        <f>IF(E77&gt;0,"Предоставляется",0)</f>
        <v>0</v>
      </c>
      <c r="D77" s="92" t="s">
        <v>79</v>
      </c>
      <c r="E77" s="91">
        <v>0</v>
      </c>
      <c r="F77" s="90" t="s">
        <v>165</v>
      </c>
      <c r="G77" s="62"/>
      <c r="H77" s="62"/>
    </row>
    <row r="78" spans="1:8" ht="15.75" hidden="1" customHeight="1">
      <c r="A78" s="69" t="s">
        <v>152</v>
      </c>
      <c r="B78" s="71" t="s">
        <v>36</v>
      </c>
      <c r="C78" s="94">
        <v>0</v>
      </c>
      <c r="D78" s="90" t="s">
        <v>167</v>
      </c>
      <c r="E78" s="60"/>
      <c r="G78" s="60"/>
      <c r="H78" s="60"/>
    </row>
    <row r="79" spans="1:8" ht="15.75" hidden="1" customHeight="1">
      <c r="A79" s="69" t="s">
        <v>153</v>
      </c>
      <c r="B79" s="71" t="s">
        <v>37</v>
      </c>
      <c r="C79" s="82">
        <v>0</v>
      </c>
      <c r="D79" s="90" t="s">
        <v>164</v>
      </c>
      <c r="E79" s="60"/>
      <c r="G79" s="60"/>
      <c r="H79" s="60"/>
    </row>
    <row r="80" spans="1:8" ht="15.75" hidden="1" customHeight="1">
      <c r="A80" s="69" t="s">
        <v>154</v>
      </c>
      <c r="B80" s="71" t="s">
        <v>38</v>
      </c>
      <c r="C80" s="89">
        <f>IF(E77-C79&lt;0,0,E77-C79)</f>
        <v>0</v>
      </c>
      <c r="D80" s="76" t="s">
        <v>58</v>
      </c>
      <c r="E80" s="60"/>
      <c r="G80" s="60"/>
      <c r="H80" s="60"/>
    </row>
    <row r="81" spans="1:8" ht="15.75" hidden="1" customHeight="1">
      <c r="A81" s="69" t="s">
        <v>155</v>
      </c>
      <c r="B81" s="71" t="s">
        <v>39</v>
      </c>
      <c r="C81" s="89">
        <f>E77</f>
        <v>0</v>
      </c>
      <c r="D81" s="76" t="s">
        <v>58</v>
      </c>
      <c r="E81" s="60"/>
      <c r="G81" s="60"/>
      <c r="H81" s="60"/>
    </row>
    <row r="82" spans="1:8" ht="15.75" hidden="1" customHeight="1">
      <c r="A82" s="69" t="s">
        <v>156</v>
      </c>
      <c r="B82" s="71" t="s">
        <v>40</v>
      </c>
      <c r="C82" s="89">
        <f>E77</f>
        <v>0</v>
      </c>
      <c r="D82" s="76" t="s">
        <v>58</v>
      </c>
      <c r="E82" s="60"/>
      <c r="G82" s="60"/>
      <c r="H82" s="60"/>
    </row>
    <row r="83" spans="1:8" ht="15.75" hidden="1" customHeight="1">
      <c r="A83" s="69" t="s">
        <v>157</v>
      </c>
      <c r="B83" s="71" t="s">
        <v>41</v>
      </c>
      <c r="C83" s="89">
        <f>IF(C81-C82&lt;=0,,C81-C82)</f>
        <v>0</v>
      </c>
      <c r="D83" s="76" t="s">
        <v>58</v>
      </c>
      <c r="E83" s="60"/>
      <c r="G83" s="60"/>
      <c r="H83" s="60"/>
    </row>
    <row r="84" spans="1:8" ht="15.75" hidden="1" customHeight="1">
      <c r="A84" s="69" t="s">
        <v>158</v>
      </c>
      <c r="B84" s="71" t="s">
        <v>42</v>
      </c>
      <c r="C84" s="89">
        <v>0</v>
      </c>
      <c r="D84" s="76" t="s">
        <v>58</v>
      </c>
      <c r="E84" s="60"/>
      <c r="G84" s="60"/>
      <c r="H84" s="60"/>
    </row>
  </sheetData>
  <sheetProtection algorithmName="SHA-512" hashValue="CMBlWmbeACCXUpONXiJZD9LDFXZvMX1C7bWpPDTlWL5KNRvhwvdukzPDFVVIsrFBAKUZGW/kMznwTpogccDSlg==" saltValue="xONjZJjvjssecoou1kHZOQ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11" sqref="F11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3" t="s">
        <v>43</v>
      </c>
      <c r="C1" s="54"/>
      <c r="D1" s="54"/>
      <c r="E1" s="59"/>
      <c r="F1" s="59"/>
      <c r="G1" s="59"/>
      <c r="H1" s="59"/>
      <c r="I1" s="59"/>
      <c r="J1" s="59"/>
      <c r="K1" s="105"/>
      <c r="L1" s="105"/>
      <c r="M1" s="105"/>
      <c r="N1" s="105"/>
      <c r="O1" s="105"/>
      <c r="P1" s="1"/>
      <c r="Q1" s="1"/>
      <c r="R1" s="1"/>
      <c r="S1" s="1"/>
      <c r="T1" s="1"/>
    </row>
    <row r="2" spans="1:20" ht="18.75" customHeight="1">
      <c r="A2" t="s">
        <v>168</v>
      </c>
      <c r="B2" s="55" t="s">
        <v>44</v>
      </c>
      <c r="C2" s="101">
        <v>22</v>
      </c>
      <c r="D2" s="103" t="s">
        <v>66</v>
      </c>
      <c r="E2" s="60"/>
      <c r="F2" s="60"/>
      <c r="G2" s="60"/>
      <c r="H2" s="60"/>
      <c r="I2" s="60"/>
      <c r="J2" s="60"/>
      <c r="K2" s="104"/>
      <c r="L2" s="104"/>
      <c r="M2" s="105"/>
      <c r="N2" s="105"/>
      <c r="O2" s="104"/>
      <c r="P2" s="1"/>
      <c r="Q2" s="1"/>
      <c r="R2" s="1"/>
      <c r="S2" s="1"/>
      <c r="T2" s="1"/>
    </row>
    <row r="3" spans="1:20" ht="20.25" customHeight="1">
      <c r="A3" t="s">
        <v>169</v>
      </c>
      <c r="B3" s="55" t="s">
        <v>45</v>
      </c>
      <c r="C3" s="101">
        <v>20</v>
      </c>
      <c r="D3" s="103" t="s">
        <v>66</v>
      </c>
      <c r="E3" s="60"/>
      <c r="F3" s="60"/>
      <c r="G3" s="60"/>
      <c r="H3" s="60"/>
      <c r="I3" s="60"/>
      <c r="J3" s="60"/>
      <c r="K3" s="104"/>
      <c r="L3" s="104"/>
      <c r="M3" s="106"/>
      <c r="N3" s="105"/>
      <c r="O3" s="104"/>
      <c r="P3" s="1"/>
      <c r="Q3" s="1"/>
      <c r="R3" s="1"/>
      <c r="S3" s="1"/>
    </row>
    <row r="4" spans="1:20" ht="18.75" customHeight="1">
      <c r="A4" t="s">
        <v>170</v>
      </c>
      <c r="B4" s="55" t="s">
        <v>46</v>
      </c>
      <c r="C4" s="102">
        <v>223000</v>
      </c>
      <c r="D4" s="103" t="s">
        <v>66</v>
      </c>
      <c r="E4" s="60"/>
      <c r="F4" s="60"/>
      <c r="G4" s="60"/>
      <c r="H4" s="60"/>
      <c r="I4" s="60"/>
      <c r="J4" s="60"/>
      <c r="K4" s="104"/>
      <c r="L4" s="104"/>
      <c r="M4" s="105"/>
      <c r="N4" s="105"/>
      <c r="O4" s="104"/>
      <c r="P4" s="1"/>
      <c r="Q4" s="1"/>
      <c r="R4" s="1"/>
      <c r="S4" s="1"/>
      <c r="T4" s="1"/>
    </row>
    <row r="5" spans="1:20"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</row>
    <row r="6" spans="1:20"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</row>
    <row r="7" spans="1:20">
      <c r="B7" s="104"/>
      <c r="C7" s="104"/>
      <c r="D7" s="104"/>
      <c r="E7" s="104"/>
      <c r="F7" s="104"/>
      <c r="G7" s="104"/>
      <c r="H7" s="104"/>
      <c r="I7" s="104"/>
      <c r="J7" s="104"/>
      <c r="K7" s="104"/>
      <c r="L7" s="104"/>
      <c r="M7" s="104"/>
      <c r="N7" s="104"/>
      <c r="O7" s="104"/>
    </row>
    <row r="8" spans="1:20"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</row>
    <row r="9" spans="1:20"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104"/>
      <c r="N9" s="104"/>
      <c r="O9" s="104"/>
    </row>
    <row r="10" spans="1:20">
      <c r="B10" s="104"/>
      <c r="C10" s="104"/>
      <c r="D10" s="104"/>
      <c r="E10" s="104"/>
      <c r="F10" s="104"/>
      <c r="G10" s="104"/>
      <c r="H10" s="104"/>
      <c r="I10" s="104"/>
      <c r="J10" s="104"/>
      <c r="K10" s="104"/>
      <c r="L10" s="104"/>
      <c r="M10" s="104"/>
      <c r="N10" s="104"/>
      <c r="O10" s="104"/>
    </row>
    <row r="11" spans="1:20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4"/>
    </row>
    <row r="12" spans="1:20">
      <c r="B12" s="104"/>
      <c r="C12" s="104"/>
      <c r="D12" s="104"/>
      <c r="E12" s="104"/>
      <c r="F12" s="104"/>
      <c r="G12" s="104"/>
      <c r="H12" s="104"/>
      <c r="I12" s="104"/>
      <c r="J12" s="104"/>
      <c r="K12" s="104"/>
      <c r="L12" s="104"/>
      <c r="M12" s="104"/>
      <c r="N12" s="104"/>
      <c r="O12" s="104"/>
    </row>
    <row r="13" spans="1:20">
      <c r="B13" s="104"/>
      <c r="C13" s="104"/>
      <c r="D13" s="104"/>
      <c r="E13" s="104"/>
      <c r="F13" s="104"/>
      <c r="G13" s="104"/>
      <c r="H13" s="104"/>
      <c r="I13" s="104"/>
      <c r="J13" s="104"/>
      <c r="K13" s="104"/>
      <c r="L13" s="104"/>
      <c r="M13" s="104"/>
      <c r="N13" s="104"/>
      <c r="O13" s="104"/>
    </row>
    <row r="14" spans="1:20"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  <c r="M14" s="104"/>
      <c r="N14" s="104"/>
      <c r="O14" s="104"/>
    </row>
    <row r="15" spans="1:20">
      <c r="B15" s="104"/>
      <c r="C15" s="104"/>
      <c r="D15" s="104"/>
      <c r="E15" s="104"/>
      <c r="F15" s="104"/>
      <c r="G15" s="104"/>
      <c r="H15" s="104"/>
      <c r="I15" s="104"/>
      <c r="J15" s="104"/>
      <c r="K15" s="104"/>
      <c r="L15" s="104"/>
      <c r="M15" s="104"/>
      <c r="N15" s="104"/>
      <c r="O15" s="104"/>
    </row>
    <row r="16" spans="1:20">
      <c r="B16" s="104"/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</row>
    <row r="17" spans="2:15">
      <c r="B17" s="104"/>
      <c r="C17" s="104"/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104"/>
    </row>
    <row r="18" spans="2:15">
      <c r="B18" s="104"/>
      <c r="C18" s="104"/>
      <c r="D18" s="104"/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</row>
    <row r="19" spans="2:15"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  <c r="M19" s="104"/>
      <c r="N19" s="104"/>
      <c r="O19" s="104"/>
    </row>
    <row r="20" spans="2:15"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  <c r="M20" s="104"/>
      <c r="N20" s="104"/>
      <c r="O20" s="104"/>
    </row>
    <row r="21" spans="2:15"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  <c r="M21" s="104"/>
      <c r="N21" s="104"/>
      <c r="O21" s="104"/>
    </row>
    <row r="22" spans="2:15"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  <c r="M22" s="104"/>
      <c r="N22" s="104"/>
      <c r="O22" s="104"/>
    </row>
    <row r="23" spans="2:15"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  <c r="M23" s="104"/>
      <c r="N23" s="104"/>
      <c r="O23" s="104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2025-03-10T02:49:41Z</dcterms:modified>
</cp:coreProperties>
</file>