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Отчет!$A$1:$J$242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L39" i="2" l="1"/>
  <c r="B52" i="2" l="1"/>
  <c r="B50" i="2"/>
  <c r="B49" i="2"/>
  <c r="B47" i="2"/>
  <c r="B46" i="2"/>
  <c r="B45" i="2"/>
  <c r="B44" i="2"/>
  <c r="D2" i="2" l="1"/>
  <c r="L38" i="2" l="1"/>
  <c r="L37" i="2"/>
  <c r="A84" i="1" l="1"/>
  <c r="A83" i="1"/>
  <c r="A82" i="1"/>
  <c r="A81" i="1"/>
  <c r="A80" i="1"/>
  <c r="A79" i="1"/>
  <c r="A78" i="1"/>
  <c r="O78" i="1" s="1"/>
  <c r="I82" i="1" l="1"/>
  <c r="O82" i="1"/>
  <c r="H79" i="1"/>
  <c r="I79" i="1"/>
  <c r="F83" i="1"/>
  <c r="I83" i="1"/>
  <c r="O83" i="1"/>
  <c r="I80" i="1"/>
  <c r="H80" i="1"/>
  <c r="I81" i="1"/>
  <c r="H81" i="1"/>
  <c r="H84" i="1"/>
  <c r="I84" i="1"/>
  <c r="O81" i="1"/>
  <c r="F80" i="1"/>
  <c r="O80" i="1"/>
  <c r="O84" i="1"/>
  <c r="O79" i="1"/>
  <c r="I78" i="1"/>
  <c r="H78" i="1"/>
  <c r="H83" i="1"/>
  <c r="F79" i="1"/>
  <c r="F82" i="1"/>
  <c r="H82" i="1"/>
  <c r="F81" i="1"/>
  <c r="F84" i="1"/>
  <c r="F78" i="1"/>
  <c r="G1" i="2"/>
  <c r="N205" i="1" l="1" a="1"/>
  <c r="N206" i="1" s="1"/>
  <c r="A206" i="1" s="1"/>
  <c r="A77" i="1"/>
  <c r="A76" i="1"/>
  <c r="H76" i="1" s="1"/>
  <c r="A75" i="1"/>
  <c r="A74" i="1"/>
  <c r="A73" i="1"/>
  <c r="L36" i="2"/>
  <c r="L35" i="2"/>
  <c r="L34" i="2"/>
  <c r="L33" i="2"/>
  <c r="L32" i="2"/>
  <c r="N207" i="1" l="1"/>
  <c r="A207" i="1" s="1"/>
  <c r="N205" i="1"/>
  <c r="A205" i="1" s="1"/>
  <c r="N209" i="1"/>
  <c r="A209" i="1" s="1"/>
  <c r="N208" i="1"/>
  <c r="A208" i="1" s="1"/>
  <c r="N210" i="1"/>
  <c r="A210" i="1" s="1"/>
  <c r="I75" i="1"/>
  <c r="H75" i="1"/>
  <c r="I73" i="1"/>
  <c r="H73" i="1"/>
  <c r="I74" i="1"/>
  <c r="H74" i="1"/>
  <c r="I76" i="1"/>
  <c r="I77" i="1"/>
  <c r="H77" i="1"/>
  <c r="F73" i="1"/>
  <c r="F74" i="1"/>
  <c r="F75" i="1"/>
  <c r="F76" i="1"/>
  <c r="O77" i="1"/>
  <c r="F77" i="1"/>
  <c r="O74" i="1"/>
  <c r="O76" i="1"/>
  <c r="O75" i="1"/>
  <c r="O73" i="1"/>
  <c r="C7" i="3" l="1"/>
  <c r="J153" i="1" l="1"/>
  <c r="J148" i="1"/>
  <c r="J147" i="1"/>
  <c r="G146" i="1"/>
  <c r="J145" i="1"/>
  <c r="J140" i="1"/>
  <c r="J139" i="1"/>
  <c r="G138" i="1"/>
  <c r="C37" i="3"/>
  <c r="A112" i="1" s="1"/>
  <c r="C45" i="3"/>
  <c r="A120" i="1" s="1"/>
  <c r="C53" i="3"/>
  <c r="A128" i="1" s="1"/>
  <c r="C61" i="3"/>
  <c r="A134" i="1" s="1"/>
  <c r="C77" i="3"/>
  <c r="A152" i="1" s="1"/>
  <c r="C69" i="3"/>
  <c r="A144" i="1" s="1"/>
  <c r="J137" i="1"/>
  <c r="J132" i="1"/>
  <c r="J131" i="1"/>
  <c r="G130" i="1"/>
  <c r="J129" i="1"/>
  <c r="J124" i="1"/>
  <c r="J123" i="1"/>
  <c r="G122" i="1"/>
  <c r="J121" i="1"/>
  <c r="J116" i="1"/>
  <c r="J115" i="1"/>
  <c r="A121" i="1"/>
  <c r="A117" i="1"/>
  <c r="G114" i="1"/>
  <c r="F114" i="1"/>
  <c r="J113" i="1"/>
  <c r="J108" i="1"/>
  <c r="J107" i="1"/>
  <c r="A113" i="1"/>
  <c r="A110" i="1"/>
  <c r="A109" i="1"/>
  <c r="G106" i="1"/>
  <c r="F106" i="1"/>
  <c r="K106" i="1"/>
  <c r="A125" i="1" l="1"/>
  <c r="A106" i="1"/>
  <c r="A107" i="1"/>
  <c r="A111" i="1"/>
  <c r="D106" i="1"/>
  <c r="A108" i="1"/>
  <c r="A131" i="1"/>
  <c r="A126" i="1"/>
  <c r="A135" i="1"/>
  <c r="F122" i="1"/>
  <c r="A129" i="1"/>
  <c r="A130" i="1"/>
  <c r="A132" i="1"/>
  <c r="A122" i="1"/>
  <c r="A123" i="1"/>
  <c r="A127" i="1"/>
  <c r="F130" i="1"/>
  <c r="A133" i="1"/>
  <c r="A137" i="1"/>
  <c r="D130" i="1"/>
  <c r="A136" i="1"/>
  <c r="D122" i="1"/>
  <c r="A124" i="1"/>
  <c r="A153" i="1"/>
  <c r="F146" i="1"/>
  <c r="A149" i="1"/>
  <c r="A118" i="1"/>
  <c r="A150" i="1"/>
  <c r="A114" i="1"/>
  <c r="A115" i="1"/>
  <c r="A119" i="1"/>
  <c r="A146" i="1"/>
  <c r="A147" i="1"/>
  <c r="A151" i="1"/>
  <c r="D114" i="1"/>
  <c r="A116" i="1"/>
  <c r="D146" i="1"/>
  <c r="A148" i="1"/>
  <c r="A139" i="1"/>
  <c r="A141" i="1"/>
  <c r="A145" i="1"/>
  <c r="A142" i="1"/>
  <c r="D138" i="1"/>
  <c r="A143" i="1"/>
  <c r="F138" i="1"/>
  <c r="A140" i="1"/>
  <c r="A138" i="1"/>
  <c r="H233" i="1"/>
  <c r="H239" i="1"/>
  <c r="H238" i="1"/>
  <c r="H237" i="1"/>
  <c r="H236" i="1"/>
  <c r="H235" i="1"/>
  <c r="H234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H220" i="1"/>
  <c r="A220" i="1"/>
  <c r="L2" i="2"/>
  <c r="L3" i="2"/>
  <c r="L4" i="2"/>
  <c r="L5" i="2"/>
  <c r="L6" i="2"/>
  <c r="L7" i="2"/>
  <c r="L8" i="2"/>
  <c r="E166" i="1"/>
  <c r="J158" i="1"/>
  <c r="J157" i="1"/>
  <c r="J156" i="1"/>
  <c r="J102" i="1"/>
  <c r="J101" i="1"/>
  <c r="J100" i="1"/>
  <c r="J99" i="1"/>
  <c r="J98" i="1"/>
  <c r="J97" i="1"/>
  <c r="J96" i="1"/>
  <c r="J95" i="1"/>
  <c r="J94" i="1"/>
  <c r="J93" i="1"/>
  <c r="J90" i="1"/>
  <c r="J89" i="1"/>
  <c r="J88" i="1"/>
  <c r="J87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51" i="1" s="1"/>
  <c r="C81" i="3"/>
  <c r="J150" i="1" s="1"/>
  <c r="C80" i="3"/>
  <c r="J149" i="1" s="1"/>
  <c r="C74" i="3"/>
  <c r="J143" i="1" s="1"/>
  <c r="C73" i="3"/>
  <c r="J142" i="1" s="1"/>
  <c r="C72" i="3"/>
  <c r="J141" i="1" s="1"/>
  <c r="C66" i="3"/>
  <c r="J135" i="1" s="1"/>
  <c r="C65" i="3"/>
  <c r="J134" i="1" s="1"/>
  <c r="C64" i="3"/>
  <c r="J133" i="1" s="1"/>
  <c r="C58" i="3"/>
  <c r="J127" i="1" s="1"/>
  <c r="C57" i="3"/>
  <c r="J126" i="1" s="1"/>
  <c r="C56" i="3"/>
  <c r="J125" i="1" s="1"/>
  <c r="C50" i="3"/>
  <c r="J119" i="1" s="1"/>
  <c r="C49" i="3"/>
  <c r="C48" i="3"/>
  <c r="J117" i="1" s="1"/>
  <c r="C42" i="3"/>
  <c r="J111" i="1" s="1"/>
  <c r="C41" i="3"/>
  <c r="J110" i="1" s="1"/>
  <c r="C40" i="3"/>
  <c r="J109" i="1" s="1"/>
  <c r="C9" i="3"/>
  <c r="J15" i="1" s="1"/>
  <c r="C5" i="3"/>
  <c r="J11" i="1" s="1"/>
  <c r="C59" i="3" l="1"/>
  <c r="J128" i="1" s="1"/>
  <c r="C51" i="3"/>
  <c r="J120" i="1" s="1"/>
  <c r="J118" i="1"/>
  <c r="H240" i="1"/>
  <c r="C67" i="3"/>
  <c r="J136" i="1" s="1"/>
  <c r="C75" i="3"/>
  <c r="J144" i="1" s="1"/>
  <c r="C83" i="3"/>
  <c r="J152" i="1" s="1"/>
  <c r="C43" i="3"/>
  <c r="J112" i="1" s="1"/>
  <c r="C16" i="3"/>
  <c r="C15" i="3"/>
  <c r="J21" i="1" s="1"/>
  <c r="C18" i="3" l="1"/>
  <c r="J24" i="1" s="1"/>
  <c r="J22" i="1"/>
  <c r="N168" i="1"/>
  <c r="A41" i="1"/>
  <c r="A70" i="1"/>
  <c r="A71" i="1"/>
  <c r="I70" i="1" l="1"/>
  <c r="H70" i="1"/>
  <c r="H71" i="1"/>
  <c r="I71" i="1"/>
  <c r="O71" i="1"/>
  <c r="F71" i="1"/>
  <c r="O70" i="1"/>
  <c r="F70" i="1"/>
  <c r="O41" i="1"/>
  <c r="H41" i="1"/>
  <c r="I41" i="1"/>
  <c r="F4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8" i="2"/>
  <c r="O58" i="2"/>
  <c r="N58" i="2"/>
  <c r="M58" i="2"/>
  <c r="P57" i="2"/>
  <c r="O57" i="2"/>
  <c r="N57" i="2"/>
  <c r="M57" i="2"/>
  <c r="P56" i="2"/>
  <c r="O56" i="2"/>
  <c r="N56" i="2"/>
  <c r="M56" i="2"/>
  <c r="P55" i="2"/>
  <c r="O55" i="2"/>
  <c r="N55" i="2"/>
  <c r="M55" i="2"/>
  <c r="P54" i="2"/>
  <c r="O54" i="2"/>
  <c r="N54" i="2"/>
  <c r="M54" i="2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L31" i="2"/>
  <c r="L30" i="2"/>
  <c r="L29" i="2"/>
  <c r="L28" i="2"/>
  <c r="L27" i="2"/>
  <c r="L26" i="2"/>
  <c r="L25" i="2"/>
  <c r="L24" i="2"/>
  <c r="L23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F54" i="1" l="1"/>
  <c r="I54" i="1"/>
  <c r="H54" i="1"/>
  <c r="F47" i="1"/>
  <c r="I47" i="1"/>
  <c r="H47" i="1"/>
  <c r="F53" i="1"/>
  <c r="H53" i="1"/>
  <c r="I53" i="1"/>
  <c r="F59" i="1"/>
  <c r="I59" i="1"/>
  <c r="H59" i="1"/>
  <c r="F65" i="1"/>
  <c r="H65" i="1"/>
  <c r="I65" i="1"/>
  <c r="F60" i="1"/>
  <c r="I60" i="1"/>
  <c r="H60" i="1"/>
  <c r="F43" i="1"/>
  <c r="I43" i="1"/>
  <c r="H43" i="1"/>
  <c r="F49" i="1"/>
  <c r="I49" i="1"/>
  <c r="H49" i="1"/>
  <c r="F55" i="1"/>
  <c r="H55" i="1"/>
  <c r="I55" i="1"/>
  <c r="F61" i="1"/>
  <c r="I61" i="1"/>
  <c r="H61" i="1"/>
  <c r="F67" i="1"/>
  <c r="I67" i="1"/>
  <c r="H67" i="1"/>
  <c r="F48" i="1"/>
  <c r="I48" i="1"/>
  <c r="H48" i="1"/>
  <c r="F66" i="1"/>
  <c r="I66" i="1"/>
  <c r="H66" i="1"/>
  <c r="F56" i="1"/>
  <c r="I56" i="1"/>
  <c r="H56" i="1"/>
  <c r="F62" i="1"/>
  <c r="I62" i="1"/>
  <c r="H62" i="1"/>
  <c r="F68" i="1"/>
  <c r="I68" i="1"/>
  <c r="H68" i="1"/>
  <c r="F44" i="1"/>
  <c r="I44" i="1"/>
  <c r="H44" i="1"/>
  <c r="F51" i="1"/>
  <c r="I51" i="1"/>
  <c r="H51" i="1"/>
  <c r="F63" i="1"/>
  <c r="I63" i="1"/>
  <c r="H63" i="1"/>
  <c r="F69" i="1"/>
  <c r="I69" i="1"/>
  <c r="H69" i="1"/>
  <c r="F50" i="1"/>
  <c r="I50" i="1"/>
  <c r="H50" i="1"/>
  <c r="F45" i="1"/>
  <c r="I45" i="1"/>
  <c r="H45" i="1"/>
  <c r="F57" i="1"/>
  <c r="I57" i="1"/>
  <c r="H57" i="1"/>
  <c r="F46" i="1"/>
  <c r="I46" i="1"/>
  <c r="H46" i="1"/>
  <c r="F52" i="1"/>
  <c r="I52" i="1"/>
  <c r="H52" i="1"/>
  <c r="F58" i="1"/>
  <c r="H58" i="1"/>
  <c r="I58" i="1"/>
  <c r="F64" i="1"/>
  <c r="I64" i="1"/>
  <c r="H64" i="1"/>
  <c r="F72" i="1"/>
  <c r="H72" i="1"/>
  <c r="I72" i="1"/>
  <c r="H33" i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O44" i="1"/>
  <c r="O48" i="1"/>
  <c r="O52" i="1"/>
  <c r="O56" i="1"/>
  <c r="O60" i="1"/>
  <c r="O64" i="1"/>
  <c r="O68" i="1"/>
  <c r="O33" i="1"/>
  <c r="O37" i="1"/>
  <c r="O42" i="1"/>
  <c r="O31" i="1"/>
  <c r="O35" i="1"/>
  <c r="O39" i="1"/>
  <c r="O45" i="1"/>
  <c r="O49" i="1"/>
  <c r="O53" i="1"/>
  <c r="O57" i="1"/>
  <c r="O61" i="1"/>
  <c r="O65" i="1"/>
  <c r="O69" i="1"/>
  <c r="O32" i="1"/>
  <c r="O36" i="1"/>
  <c r="O40" i="1"/>
  <c r="O50" i="1"/>
  <c r="O54" i="1"/>
  <c r="O58" i="1"/>
  <c r="O62" i="1"/>
  <c r="O66" i="1"/>
  <c r="O72" i="1"/>
  <c r="O43" i="1"/>
  <c r="N170" i="1" s="1" a="1"/>
  <c r="O47" i="1"/>
  <c r="O51" i="1"/>
  <c r="O55" i="1"/>
  <c r="O59" i="1"/>
  <c r="O63" i="1"/>
  <c r="O67" i="1"/>
  <c r="O46" i="1"/>
  <c r="H207" i="1" l="1"/>
  <c r="H210" i="1"/>
  <c r="H206" i="1"/>
  <c r="H205" i="1"/>
  <c r="H208" i="1"/>
  <c r="H209" i="1"/>
  <c r="F210" i="1"/>
  <c r="F207" i="1"/>
  <c r="F209" i="1"/>
  <c r="F205" i="1"/>
  <c r="F208" i="1"/>
  <c r="F206" i="1"/>
  <c r="I210" i="1"/>
  <c r="I207" i="1"/>
  <c r="I208" i="1"/>
  <c r="I205" i="1"/>
  <c r="I206" i="1"/>
  <c r="I209" i="1"/>
  <c r="N171" i="1"/>
  <c r="N180" i="1"/>
  <c r="N176" i="1"/>
  <c r="N175" i="1"/>
  <c r="N173" i="1"/>
  <c r="N172" i="1"/>
  <c r="N174" i="1"/>
  <c r="N170" i="1"/>
  <c r="N203" i="1"/>
  <c r="A203" i="1" s="1"/>
  <c r="I203" i="1" s="1"/>
  <c r="N202" i="1"/>
  <c r="A202" i="1" s="1"/>
  <c r="I202" i="1" s="1"/>
  <c r="N201" i="1"/>
  <c r="A201" i="1" s="1"/>
  <c r="N204" i="1"/>
  <c r="A204" i="1" s="1"/>
  <c r="N200" i="1"/>
  <c r="A200" i="1" s="1"/>
  <c r="N199" i="1"/>
  <c r="N197" i="1"/>
  <c r="N196" i="1"/>
  <c r="N195" i="1"/>
  <c r="N198" i="1"/>
  <c r="A198" i="1" s="1"/>
  <c r="I198" i="1" s="1"/>
  <c r="N194" i="1"/>
  <c r="N193" i="1"/>
  <c r="N191" i="1"/>
  <c r="N190" i="1"/>
  <c r="N189" i="1"/>
  <c r="N192" i="1"/>
  <c r="N188" i="1"/>
  <c r="N187" i="1"/>
  <c r="N185" i="1"/>
  <c r="N184" i="1"/>
  <c r="N183" i="1"/>
  <c r="N186" i="1"/>
  <c r="N182" i="1"/>
  <c r="N181" i="1"/>
  <c r="N179" i="1"/>
  <c r="N178" i="1"/>
  <c r="N177" i="1"/>
  <c r="O28" i="1"/>
  <c r="H204" i="1" l="1"/>
  <c r="I204" i="1"/>
  <c r="H200" i="1"/>
  <c r="I200" i="1"/>
  <c r="H201" i="1"/>
  <c r="I201" i="1"/>
  <c r="F198" i="1"/>
  <c r="H198" i="1"/>
  <c r="F202" i="1"/>
  <c r="H202" i="1"/>
  <c r="F203" i="1"/>
  <c r="H203" i="1"/>
  <c r="F204" i="1"/>
  <c r="F201" i="1"/>
  <c r="F200" i="1"/>
  <c r="A185" i="1"/>
  <c r="A190" i="1"/>
  <c r="A181" i="1"/>
  <c r="A188" i="1"/>
  <c r="A179" i="1"/>
  <c r="A174" i="1"/>
  <c r="I174" i="1" s="1"/>
  <c r="A191" i="1"/>
  <c r="A193" i="1"/>
  <c r="I193" i="1" s="1"/>
  <c r="A171" i="1"/>
  <c r="I171" i="1" s="1"/>
  <c r="A177" i="1"/>
  <c r="A197" i="1"/>
  <c r="I197" i="1" s="1"/>
  <c r="A196" i="1"/>
  <c r="I196" i="1" s="1"/>
  <c r="A187" i="1"/>
  <c r="A194" i="1"/>
  <c r="A184" i="1"/>
  <c r="A175" i="1"/>
  <c r="I175" i="1" s="1"/>
  <c r="A182" i="1"/>
  <c r="A173" i="1"/>
  <c r="I173" i="1" s="1"/>
  <c r="A178" i="1"/>
  <c r="A176" i="1"/>
  <c r="A195" i="1"/>
  <c r="I195" i="1" s="1"/>
  <c r="A172" i="1"/>
  <c r="I172" i="1" s="1"/>
  <c r="A186" i="1"/>
  <c r="A170" i="1"/>
  <c r="I170" i="1" s="1"/>
  <c r="A189" i="1"/>
  <c r="A192" i="1"/>
  <c r="A180" i="1"/>
  <c r="A199" i="1"/>
  <c r="I199" i="1" s="1"/>
  <c r="A183" i="1"/>
  <c r="E167" i="1"/>
  <c r="H184" i="1" l="1"/>
  <c r="I184" i="1"/>
  <c r="H181" i="1"/>
  <c r="I181" i="1"/>
  <c r="H190" i="1"/>
  <c r="I190" i="1"/>
  <c r="H186" i="1"/>
  <c r="I186" i="1"/>
  <c r="H180" i="1"/>
  <c r="I180" i="1"/>
  <c r="H192" i="1"/>
  <c r="I192" i="1"/>
  <c r="H176" i="1"/>
  <c r="I176" i="1"/>
  <c r="H194" i="1"/>
  <c r="I194" i="1"/>
  <c r="H189" i="1"/>
  <c r="I189" i="1"/>
  <c r="H178" i="1"/>
  <c r="I178" i="1"/>
  <c r="H187" i="1"/>
  <c r="I187" i="1"/>
  <c r="H191" i="1"/>
  <c r="I191" i="1"/>
  <c r="H185" i="1"/>
  <c r="I185" i="1"/>
  <c r="H179" i="1"/>
  <c r="I179" i="1"/>
  <c r="H183" i="1"/>
  <c r="I183" i="1"/>
  <c r="H182" i="1"/>
  <c r="I182" i="1"/>
  <c r="H177" i="1"/>
  <c r="I177" i="1"/>
  <c r="H188" i="1"/>
  <c r="I188" i="1"/>
  <c r="F174" i="1"/>
  <c r="H174" i="1"/>
  <c r="F195" i="1"/>
  <c r="H195" i="1"/>
  <c r="F171" i="1"/>
  <c r="H171" i="1"/>
  <c r="F193" i="1"/>
  <c r="H193" i="1"/>
  <c r="F196" i="1"/>
  <c r="H196" i="1"/>
  <c r="F197" i="1"/>
  <c r="H197" i="1"/>
  <c r="F173" i="1"/>
  <c r="H173" i="1"/>
  <c r="F199" i="1"/>
  <c r="H199" i="1"/>
  <c r="F172" i="1"/>
  <c r="H172" i="1"/>
  <c r="F175" i="1"/>
  <c r="H175" i="1"/>
  <c r="F192" i="1"/>
  <c r="F194" i="1"/>
  <c r="F180" i="1"/>
  <c r="F184" i="1"/>
  <c r="F181" i="1"/>
  <c r="F190" i="1"/>
  <c r="F189" i="1"/>
  <c r="F178" i="1"/>
  <c r="F187" i="1"/>
  <c r="F191" i="1"/>
  <c r="F185" i="1"/>
  <c r="F176" i="1"/>
  <c r="F179" i="1"/>
  <c r="F183" i="1"/>
  <c r="F186" i="1"/>
  <c r="F182" i="1"/>
  <c r="F177" i="1"/>
  <c r="F188" i="1"/>
  <c r="H170" i="1"/>
  <c r="F170" i="1"/>
  <c r="E216" i="1" l="1"/>
  <c r="E217" i="1" s="1"/>
</calcChain>
</file>

<file path=xl/sharedStrings.xml><?xml version="1.0" encoding="utf-8"?>
<sst xmlns="http://schemas.openxmlformats.org/spreadsheetml/2006/main" count="680" uniqueCount="274">
  <si>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</si>
  <si>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</si>
  <si>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</si>
  <si>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</si>
  <si>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</si>
  <si>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</si>
  <si>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</si>
  <si>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</si>
  <si>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</si>
  <si>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</si>
  <si>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</si>
  <si>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</si>
  <si>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</si>
  <si>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</si>
  <si>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</si>
  <si>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</si>
  <si>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</si>
  <si>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</si>
  <si>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</si>
  <si>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</si>
  <si>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</si>
  <si>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</si>
  <si>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</si>
  <si>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</si>
  <si>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</si>
  <si>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</si>
  <si>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</si>
  <si>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</si>
  <si>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</si>
  <si>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</si>
  <si>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</si>
  <si>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</si>
  <si>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</si>
  <si>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</si>
  <si>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</si>
  <si>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</si>
  <si>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</si>
  <si>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</si>
  <si>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</si>
  <si>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</si>
  <si>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</si>
  <si>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</si>
  <si>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</si>
  <si>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</si>
  <si>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</si>
  <si>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</si>
  <si>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</si>
  <si>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</si>
  <si>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</si>
  <si>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</si>
  <si>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</si>
  <si>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</si>
  <si>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</si>
  <si>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</si>
  <si>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</si>
  <si>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</si>
  <si>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</si>
  <si>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</si>
  <si>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</si>
  <si>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</si>
  <si>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</si>
  <si>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</si>
  <si>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</si>
  <si>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</si>
  <si>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</si>
  <si>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</si>
  <si>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</si>
  <si>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</si>
  <si>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</si>
  <si>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</si>
  <si>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</si>
  <si>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</si>
  <si>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</si>
  <si>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</si>
  <si>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</si>
  <si>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</si>
  <si>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</si>
  <si>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</si>
  <si>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</si>
  <si>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</si>
  <si>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</si>
  <si>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</si>
  <si>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</si>
  <si>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</si>
  <si>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</si>
  <si>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</si>
  <si>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</si>
  <si>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</si>
  <si>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</si>
  <si>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</si>
  <si>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</si>
  <si>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</si>
  <si>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</si>
  <si>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</si>
  <si>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</si>
  <si>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</si>
  <si>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</si>
  <si>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</si>
  <si>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</si>
  <si>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</si>
  <si>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</si>
  <si>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</si>
  <si>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</si>
  <si>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</si>
  <si>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</si>
  <si>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</si>
  <si>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</si>
  <si>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</si>
  <si>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</si>
  <si>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</si>
  <si>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</si>
  <si>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</si>
  <si>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</si>
  <si>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</si>
  <si>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</si>
  <si>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</si>
  <si>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</si>
  <si>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</si>
  <si>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</si>
  <si>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</si>
  <si>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</si>
  <si>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</si>
  <si>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</si>
  <si>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</si>
  <si>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</si>
  <si>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</si>
  <si>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</si>
  <si>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</si>
  <si>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</si>
  <si>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</si>
  <si>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</si>
  <si>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</si>
  <si>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</si>
  <si>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</si>
  <si>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</si>
  <si>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</si>
  <si>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</si>
  <si>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</si>
  <si>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</si>
  <si>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</si>
  <si>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</si>
  <si>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</si>
  <si>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</si>
  <si>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</si>
  <si>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</si>
  <si>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</si>
  <si>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</si>
  <si>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</si>
  <si>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</si>
  <si>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</si>
  <si>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</si>
  <si>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</si>
  <si>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</si>
  <si>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</si>
  <si>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</si>
  <si>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</si>
  <si>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</si>
  <si>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</si>
  <si>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</si>
  <si>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</si>
  <si>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</si>
  <si>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</si>
  <si>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</si>
  <si>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</si>
  <si>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</si>
  <si>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</si>
  <si>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</si>
  <si>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</si>
  <si>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</si>
  <si>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</si>
  <si>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</si>
  <si>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</si>
  <si>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</si>
  <si>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</si>
  <si>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Техническое обслуживание охранной сигнализации.</t>
  </si>
  <si>
    <t>ежемесячно</t>
  </si>
  <si>
    <t>площадь дома</t>
  </si>
  <si>
    <t>Отчет об исполнении договора управления многоквартирного дома 
пер. Археолога Михаила Герасимова, 4</t>
  </si>
  <si>
    <t>Отчет об исполнении договора управления многоквартирного дома 
пер. Археолога Михаила Герасимова, 4 в части текущего ремонта</t>
  </si>
  <si>
    <t xml:space="preserve">  -  техническое обслуживание охранной сигнализации</t>
  </si>
  <si>
    <t>Работы по обеспечению пожарной безопасности</t>
  </si>
  <si>
    <t xml:space="preserve">лифты </t>
  </si>
  <si>
    <t>в содержании</t>
  </si>
  <si>
    <t xml:space="preserve">  -  механизированная уборка и вывоз снега с придомовой территории</t>
  </si>
  <si>
    <t xml:space="preserve">  -  установка ручек и замков на двери в местах общего пользования (15 шт.)</t>
  </si>
  <si>
    <t xml:space="preserve">  -  установка доводчиков (10 шт.)</t>
  </si>
  <si>
    <t xml:space="preserve">  -  покраска ограждения на кровле</t>
  </si>
  <si>
    <t xml:space="preserve">  -  ремонт и покраска двери в лифт (1 подъезд)</t>
  </si>
  <si>
    <t xml:space="preserve">  -  гидроизоляция балконов на 2 этаже (1 и 2 подъезды)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</si>
  <si>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</si>
  <si>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</si>
  <si>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</si>
  <si>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</si>
  <si>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</si>
  <si>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</si>
  <si>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разово</t>
  </si>
  <si>
    <t>АВР 1/24 от 05.02.2024</t>
  </si>
  <si>
    <t>Сварочные работы на стояке ГВС (кв. №352).</t>
  </si>
  <si>
    <t>АВР 2/24 от 14.02.2024</t>
  </si>
  <si>
    <t>Диагностика насосной станции холодного водоснабжения.</t>
  </si>
  <si>
    <t>АВР 3/24 от 11.03.2024, Решение, счет №17 от 01.03.2024</t>
  </si>
  <si>
    <t>Диагностика и ремонт системы видеонаблюдения, приобретение блока питания.</t>
  </si>
  <si>
    <t>АВР 5/24 от 01.04.2024, Решение, счет №18 от 11.03.2024</t>
  </si>
  <si>
    <t>Сварочные работы на стояке ГВС (кв. №359).</t>
  </si>
  <si>
    <t>АВР 6/24 от 17.05.2024, Решение</t>
  </si>
  <si>
    <t xml:space="preserve">Приобретение и установка светильников над подъездом (2 шт., 2 подъезд). </t>
  </si>
  <si>
    <t>АВР 7/24 от 17.05.2024, Решение</t>
  </si>
  <si>
    <t xml:space="preserve">Приобретение и установка светильника на лестнице. </t>
  </si>
  <si>
    <t>АВР 8/24 от 20.05.2024, Решение</t>
  </si>
  <si>
    <t>АВР 9/24 от 27.05.2024, Решение</t>
  </si>
  <si>
    <t>Благоустройство придомовой территории (приобретение и доставка рассады).</t>
  </si>
  <si>
    <t>Благоустройство придомовой территории (приобретение и доставка перегноя).</t>
  </si>
  <si>
    <t>АВР 10/24 от 24.05.2024, Решение</t>
  </si>
  <si>
    <t>Благоустройство придомовой территории (приобретение опрыскивателя для обработки кустарников).</t>
  </si>
  <si>
    <t>АВР 11/24 от 03.06.2024</t>
  </si>
  <si>
    <t>Ремонт подъездов (лифтовые холлы).</t>
  </si>
  <si>
    <t>АВР 4/24 от 19.03.2024, Решение, счет №22 от 19.03.2024</t>
  </si>
  <si>
    <t>АВР 12/24 от 13.06.2024, Решение</t>
  </si>
  <si>
    <t>Техническое обслуживание системы контроля затопления подвальных помещений (1-2 квартал).</t>
  </si>
  <si>
    <t>Техническое обслуживание системы контроля затопления подвальных помещений (3-4 квартал).</t>
  </si>
  <si>
    <t>АВР 13/24 от 19.06.2024, Решение</t>
  </si>
  <si>
    <t>АВР 16/24 от 04.07.2024, Решение</t>
  </si>
  <si>
    <t>АВР 17/24 от 15.07.2024, Решение, счет№817 от 27.06.2024</t>
  </si>
  <si>
    <t>Приобретение опрыскивателя с помпой.</t>
  </si>
  <si>
    <t>АВР 18/24 от 15.07.2024, Решение</t>
  </si>
  <si>
    <t>Приобретение лифтового оборудования (блок управления и ролик каретки).</t>
  </si>
  <si>
    <t>Изготовление и приобретение трафарета цифр.</t>
  </si>
  <si>
    <t>Приобретение источника питания и аккумуляторной батареи системы пожарной сигнализации.</t>
  </si>
  <si>
    <t>АВР 19/24 от 17.07.2024, Решение, счет №82 от 30.05.2024</t>
  </si>
  <si>
    <t>Приобретение и замена акустического светильника (кв. 444).</t>
  </si>
  <si>
    <t>АВР 20/24 от 23.07.2024, Решение</t>
  </si>
  <si>
    <t>Приобретение и установка стендов для объявлений (2 шт.).</t>
  </si>
  <si>
    <t>АВР 14/24 от 01.07.2024, Решение, счет №227 от 25.06.2024</t>
  </si>
  <si>
    <t>Техническое обслуживание системы видеонаблюдения.</t>
  </si>
  <si>
    <t>АВР 21/24 от 21.08.2024, Решение</t>
  </si>
  <si>
    <t>АВР 15/24 от 03.07.2024, Решение, счет №694 от 26.06.2024, №695 от 26.06.2024</t>
  </si>
  <si>
    <t>АВР 23/24 от 28.08.2024, расторгли с 01.02.2024</t>
  </si>
  <si>
    <t>Пусконаладочные работы прибора учета ВСХН Д50.</t>
  </si>
  <si>
    <t>АВР 22/24 от 28.08.2024, Решение</t>
  </si>
  <si>
    <t>Приобретение и замена АКБ системы охранной сигнализации.</t>
  </si>
  <si>
    <t>АВР 24/24 от 16.09.2024, Решение, счет №5013 от 16.09.2024</t>
  </si>
  <si>
    <t>Сварочные работы на стояке ГВС (кв. 258).</t>
  </si>
  <si>
    <t>АВР 25/24 от 23.09.2024, Решение</t>
  </si>
  <si>
    <t>Приобретение дверных доводчиков (10 шт.) и дверных ручек (10 шт.).</t>
  </si>
  <si>
    <t>АВР 26/24 от 23.09.24, Решение, счет №12800 от 23.09.24</t>
  </si>
  <si>
    <t>АВР 27/24 от 01.10.2024, Решение</t>
  </si>
  <si>
    <t>Приобретение и замена светильников наружного освещения (4 шт.).</t>
  </si>
  <si>
    <t>Приобретение подшипника 6205 2RS/C3 в лифт (1 подъезд, 2 шт.).</t>
  </si>
  <si>
    <t>АВР 28/24 от 24.10.2024, Решение</t>
  </si>
  <si>
    <t>Приобретение кнопочного модуля в лифт (1 подъезд).</t>
  </si>
  <si>
    <t>АВР 29/24 от 24.10.2024, Решение</t>
  </si>
  <si>
    <t>Приобретение компенсаторов (4 шт.) на стояки отопления (кв.371 и 374).</t>
  </si>
  <si>
    <t>АВР 30/24 от 24.10.2024, Решение</t>
  </si>
  <si>
    <t>Диагностика, ремонт и приобретение блока питания системы видеонаблюдения.</t>
  </si>
  <si>
    <t>АВР 32/24 от 08.11.2024, Решение</t>
  </si>
  <si>
    <t>Услуги сети интернет для удаленного доступа системы видеонаблюдения.</t>
  </si>
  <si>
    <t>АВР 33/24 от 13.11.2024, Решение</t>
  </si>
  <si>
    <t>Приобретение маршрутизатора для системы видеонаблюдения.</t>
  </si>
  <si>
    <t>АВР 34/24 от 18.11.2024, Решение</t>
  </si>
  <si>
    <t>АВР 31/24 от 05.11.2024, Решение, счет №89 от 03.11.2024</t>
  </si>
  <si>
    <t>Сварочные работы на стояке отопления (кв. 330).</t>
  </si>
  <si>
    <t>АВР 35/24 от 29.11.2024, Решение</t>
  </si>
  <si>
    <t>АВР 36/24 от 12.12.2024, Решение</t>
  </si>
  <si>
    <t>АВР 37/24 от 12.12.2024, Решение</t>
  </si>
  <si>
    <t xml:space="preserve">Работы по содержанию земельного участка </t>
  </si>
  <si>
    <t>Сварочные работы на стояке (I) отопления (кв. 413).</t>
  </si>
  <si>
    <t>Сварочные работы на стояке (II) отопления (кв. 413).</t>
  </si>
  <si>
    <t>АВР 38/24 от 23.12.2024, Решение</t>
  </si>
  <si>
    <t>АВР 39/24 от 25.12.2024, Решение, счет №101 от 25.12.2024</t>
  </si>
  <si>
    <t>Ремонт и настройка системы видеонаблюдения (с приобретением дополнительного оборудования).</t>
  </si>
  <si>
    <t xml:space="preserve">  -  техническое обслуживание системы контроля затопления подвальных помещений</t>
  </si>
  <si>
    <t>Сварочные работы на стояке ГВС в подвале (подъезд №2).</t>
  </si>
  <si>
    <t>Приобретение и замена светодиодных светильников уличного освещения детской площадки.</t>
  </si>
  <si>
    <t>Ремонт насосной станции ХВС (замена торцевого уплотнителя насоса).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</si>
</sst>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62">
    <xf numFmtId="0" fontId="0" fillId="0" borderId="0"/>
    <xf numFmtId="0" fontId="49" fillId="0" borderId="0"/>
    <xf numFmtId="0" fontId="48" fillId="0" borderId="0"/>
    <xf numFmtId="0" fontId="61" fillId="0" borderId="0"/>
    <xf numFmtId="0" fontId="47" fillId="0" borderId="0"/>
    <xf numFmtId="0" fontId="46" fillId="0" borderId="0"/>
    <xf numFmtId="0" fontId="61" fillId="0" borderId="0"/>
    <xf numFmtId="0" fontId="61" fillId="0" borderId="0"/>
    <xf numFmtId="0" fontId="45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</cellStyleXfs>
  <cellXfs count="262">
    <xf numFmtId="0" fontId="0" fillId="0" borderId="0" xfId="0"/>
    <xf numFmtId="0" fontId="50" fillId="0" borderId="0" xfId="0" applyFont="1"/>
    <xf numFmtId="0" fontId="50" fillId="0" borderId="0" xfId="0" applyFont="1" applyAlignment="1">
      <alignment horizontal="center" wrapText="1"/>
    </xf>
    <xf numFmtId="14" fontId="50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52" fillId="3" borderId="1" xfId="0" applyFont="1" applyFill="1" applyBorder="1" applyAlignment="1">
      <alignment horizontal="center" vertical="center" wrapText="1"/>
    </xf>
    <xf numFmtId="4" fontId="52" fillId="3" borderId="1" xfId="1" applyNumberFormat="1" applyFont="1" applyFill="1" applyBorder="1" applyAlignment="1">
      <alignment horizontal="center" vertical="center" wrapText="1"/>
    </xf>
    <xf numFmtId="0" fontId="53" fillId="0" borderId="0" xfId="0" applyFont="1"/>
    <xf numFmtId="0" fontId="53" fillId="0" borderId="1" xfId="0" applyFont="1" applyBorder="1" applyAlignment="1">
      <alignment horizontal="center"/>
    </xf>
    <xf numFmtId="4" fontId="52" fillId="2" borderId="1" xfId="1" applyNumberFormat="1" applyFont="1" applyFill="1" applyBorder="1" applyAlignment="1">
      <alignment horizontal="center" wrapText="1"/>
    </xf>
    <xf numFmtId="0" fontId="53" fillId="0" borderId="1" xfId="0" applyFont="1" applyBorder="1" applyAlignment="1">
      <alignment vertical="center" wrapText="1"/>
    </xf>
    <xf numFmtId="0" fontId="55" fillId="0" borderId="0" xfId="0" applyFont="1"/>
    <xf numFmtId="0" fontId="56" fillId="0" borderId="0" xfId="0" applyFont="1"/>
    <xf numFmtId="0" fontId="54" fillId="0" borderId="1" xfId="1" applyFont="1" applyBorder="1" applyAlignment="1">
      <alignment vertical="center"/>
    </xf>
    <xf numFmtId="0" fontId="52" fillId="2" borderId="1" xfId="1" applyNumberFormat="1" applyFont="1" applyFill="1" applyBorder="1" applyAlignment="1">
      <alignment horizontal="center" wrapText="1"/>
    </xf>
    <xf numFmtId="0" fontId="57" fillId="0" borderId="0" xfId="0" applyFont="1"/>
    <xf numFmtId="4" fontId="50" fillId="0" borderId="0" xfId="0" applyNumberFormat="1" applyFont="1"/>
    <xf numFmtId="4" fontId="52" fillId="2" borderId="1" xfId="0" applyNumberFormat="1" applyFont="1" applyFill="1" applyBorder="1" applyAlignment="1" applyProtection="1">
      <alignment horizontal="center" wrapText="1"/>
    </xf>
    <xf numFmtId="4" fontId="52" fillId="2" borderId="1" xfId="1" applyNumberFormat="1" applyFont="1" applyFill="1" applyBorder="1" applyAlignment="1">
      <alignment horizontal="center" vertical="center"/>
    </xf>
    <xf numFmtId="4" fontId="52" fillId="3" borderId="1" xfId="1" applyNumberFormat="1" applyFont="1" applyFill="1" applyBorder="1" applyAlignment="1">
      <alignment horizontal="center" vertical="center" wrapText="1"/>
    </xf>
    <xf numFmtId="0" fontId="52" fillId="3" borderId="1" xfId="0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left" wrapText="1"/>
    </xf>
    <xf numFmtId="0" fontId="50" fillId="0" borderId="0" xfId="0" applyFont="1" applyAlignment="1">
      <alignment vertical="center"/>
    </xf>
    <xf numFmtId="0" fontId="59" fillId="0" borderId="0" xfId="0" applyFont="1" applyAlignment="1">
      <alignment wrapText="1"/>
    </xf>
    <xf numFmtId="4" fontId="52" fillId="3" borderId="1" xfId="1" applyNumberFormat="1" applyFont="1" applyFill="1" applyBorder="1" applyAlignment="1">
      <alignment horizontal="center" vertical="center" wrapText="1"/>
    </xf>
    <xf numFmtId="4" fontId="52" fillId="0" borderId="0" xfId="0" applyNumberFormat="1" applyFont="1" applyBorder="1" applyAlignment="1">
      <alignment horizontal="left" wrapText="1"/>
    </xf>
    <xf numFmtId="4" fontId="50" fillId="0" borderId="0" xfId="0" applyNumberFormat="1" applyFont="1" applyAlignment="1">
      <alignment vertical="center"/>
    </xf>
    <xf numFmtId="4" fontId="58" fillId="0" borderId="0" xfId="0" applyNumberFormat="1" applyFont="1" applyBorder="1" applyAlignment="1">
      <alignment vertical="center" wrapText="1"/>
    </xf>
    <xf numFmtId="0" fontId="48" fillId="0" borderId="0" xfId="2" applyFill="1" applyBorder="1" applyAlignment="1"/>
    <xf numFmtId="0" fontId="0" fillId="0" borderId="0" xfId="0" applyBorder="1"/>
    <xf numFmtId="0" fontId="60" fillId="0" borderId="0" xfId="2" applyFont="1" applyFill="1" applyBorder="1" applyAlignment="1"/>
    <xf numFmtId="4" fontId="60" fillId="0" borderId="0" xfId="2" applyNumberFormat="1" applyFont="1" applyBorder="1" applyAlignment="1">
      <alignment horizontal="center"/>
    </xf>
    <xf numFmtId="0" fontId="53" fillId="0" borderId="0" xfId="0" applyFont="1" applyBorder="1" applyAlignment="1">
      <alignment vertical="center"/>
    </xf>
    <xf numFmtId="4" fontId="6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52" fillId="3" borderId="1" xfId="1" applyNumberFormat="1" applyFont="1" applyFill="1" applyBorder="1" applyAlignment="1">
      <alignment horizontal="center" vertical="center" wrapText="1"/>
    </xf>
    <xf numFmtId="4" fontId="47" fillId="0" borderId="0" xfId="4" applyNumberFormat="1" applyFill="1" applyBorder="1" applyAlignment="1"/>
    <xf numFmtId="0" fontId="60" fillId="0" borderId="0" xfId="4" applyFont="1" applyFill="1" applyBorder="1" applyAlignment="1"/>
    <xf numFmtId="0" fontId="47" fillId="0" borderId="0" xfId="4" applyFill="1" applyBorder="1" applyAlignment="1"/>
    <xf numFmtId="4" fontId="60" fillId="0" borderId="0" xfId="4" applyNumberFormat="1" applyFont="1" applyFill="1" applyBorder="1" applyAlignment="1"/>
    <xf numFmtId="0" fontId="57" fillId="0" borderId="0" xfId="0" applyFont="1" applyAlignment="1">
      <alignment horizontal="left" vertical="center" textRotation="90"/>
    </xf>
    <xf numFmtId="4" fontId="58" fillId="0" borderId="0" xfId="0" applyNumberFormat="1" applyFont="1"/>
    <xf numFmtId="0" fontId="58" fillId="0" borderId="0" xfId="0" applyFont="1"/>
    <xf numFmtId="4" fontId="58" fillId="0" borderId="0" xfId="0" applyNumberFormat="1" applyFont="1" applyFill="1"/>
    <xf numFmtId="0" fontId="50" fillId="0" borderId="0" xfId="0" applyFont="1" applyFill="1"/>
    <xf numFmtId="0" fontId="56" fillId="0" borderId="0" xfId="0" applyFont="1" applyFill="1" applyBorder="1" applyAlignment="1">
      <alignment horizontal="left"/>
    </xf>
    <xf numFmtId="0" fontId="58" fillId="0" borderId="0" xfId="0" applyFont="1" applyFill="1"/>
    <xf numFmtId="4" fontId="66" fillId="0" borderId="0" xfId="0" applyNumberFormat="1" applyFont="1"/>
    <xf numFmtId="0" fontId="66" fillId="0" borderId="0" xfId="0" applyFont="1"/>
    <xf numFmtId="0" fontId="55" fillId="0" borderId="0" xfId="0" applyFont="1" applyBorder="1"/>
    <xf numFmtId="0" fontId="50" fillId="0" borderId="0" xfId="0" applyFont="1" applyBorder="1"/>
    <xf numFmtId="0" fontId="5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52" fillId="0" borderId="0" xfId="0" applyFont="1" applyBorder="1" applyAlignment="1" applyProtection="1">
      <alignment wrapText="1"/>
      <protection locked="0"/>
    </xf>
    <xf numFmtId="0" fontId="53" fillId="0" borderId="0" xfId="0" applyFont="1" applyBorder="1" applyProtection="1">
      <protection locked="0"/>
    </xf>
    <xf numFmtId="0" fontId="50" fillId="0" borderId="0" xfId="0" applyFont="1" applyBorder="1" applyProtection="1">
      <protection locked="0"/>
    </xf>
    <xf numFmtId="0" fontId="52" fillId="0" borderId="0" xfId="1" applyFont="1" applyBorder="1" applyAlignment="1" applyProtection="1">
      <alignment wrapText="1"/>
      <protection locked="0"/>
    </xf>
    <xf numFmtId="0" fontId="53" fillId="0" borderId="0" xfId="0" applyFont="1" applyBorder="1" applyAlignment="1" applyProtection="1">
      <alignment vertical="center" wrapText="1"/>
      <protection locked="0"/>
    </xf>
    <xf numFmtId="0" fontId="54" fillId="0" borderId="0" xfId="1" applyFont="1" applyBorder="1" applyAlignment="1" applyProtection="1">
      <alignment vertical="center"/>
      <protection locked="0"/>
    </xf>
    <xf numFmtId="0" fontId="52" fillId="0" borderId="0" xfId="1" applyFont="1" applyBorder="1" applyAlignment="1" applyProtection="1">
      <alignment vertical="center" wrapText="1"/>
      <protection locked="0"/>
    </xf>
    <xf numFmtId="0" fontId="52" fillId="0" borderId="0" xfId="1" applyFont="1" applyBorder="1" applyAlignment="1" applyProtection="1">
      <alignment horizontal="center" vertical="center" wrapText="1"/>
      <protection locked="0"/>
    </xf>
    <xf numFmtId="0" fontId="5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55" fillId="0" borderId="0" xfId="0" applyFont="1" applyBorder="1" applyProtection="1"/>
    <xf numFmtId="0" fontId="5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56" fillId="0" borderId="0" xfId="0" applyFont="1" applyBorder="1" applyProtection="1"/>
    <xf numFmtId="0" fontId="52" fillId="0" borderId="0" xfId="1" applyFont="1" applyBorder="1" applyAlignment="1" applyProtection="1">
      <alignment wrapText="1"/>
    </xf>
    <xf numFmtId="0" fontId="53" fillId="0" borderId="0" xfId="0" applyFont="1" applyBorder="1" applyAlignment="1" applyProtection="1">
      <alignment horizontal="center" vertical="center" wrapText="1"/>
    </xf>
    <xf numFmtId="0" fontId="54" fillId="0" borderId="0" xfId="1" applyFont="1" applyBorder="1" applyAlignment="1" applyProtection="1">
      <alignment vertical="center"/>
    </xf>
    <xf numFmtId="0" fontId="52" fillId="0" borderId="0" xfId="1" applyFont="1" applyBorder="1" applyAlignment="1" applyProtection="1">
      <alignment vertical="center" wrapText="1"/>
    </xf>
    <xf numFmtId="4" fontId="52" fillId="4" borderId="0" xfId="0" applyNumberFormat="1" applyFont="1" applyFill="1" applyBorder="1" applyAlignment="1" applyProtection="1">
      <alignment horizontal="center" wrapText="1"/>
    </xf>
    <xf numFmtId="0" fontId="53" fillId="0" borderId="0" xfId="0" applyFont="1" applyBorder="1" applyProtection="1"/>
    <xf numFmtId="0" fontId="65" fillId="0" borderId="0" xfId="0" applyFont="1" applyBorder="1" applyProtection="1"/>
    <xf numFmtId="4" fontId="52" fillId="4" borderId="0" xfId="1" applyNumberFormat="1" applyFont="1" applyFill="1" applyBorder="1" applyAlignment="1" applyProtection="1">
      <alignment horizontal="center" wrapText="1"/>
    </xf>
    <xf numFmtId="4" fontId="52" fillId="5" borderId="0" xfId="0" applyNumberFormat="1" applyFont="1" applyFill="1" applyBorder="1" applyAlignment="1" applyProtection="1">
      <alignment horizontal="center" wrapText="1"/>
      <protection locked="0"/>
    </xf>
    <xf numFmtId="0" fontId="53" fillId="5" borderId="0" xfId="0" applyFont="1" applyFill="1" applyBorder="1" applyAlignment="1" applyProtection="1">
      <alignment horizontal="center"/>
      <protection locked="0"/>
    </xf>
    <xf numFmtId="2" fontId="53" fillId="5" borderId="0" xfId="0" applyNumberFormat="1" applyFont="1" applyFill="1" applyBorder="1" applyAlignment="1" applyProtection="1">
      <alignment horizontal="center"/>
      <protection locked="0"/>
    </xf>
    <xf numFmtId="4" fontId="52" fillId="5" borderId="0" xfId="1" applyNumberFormat="1" applyFont="1" applyFill="1" applyBorder="1" applyAlignment="1" applyProtection="1">
      <alignment horizontal="center" wrapText="1"/>
      <protection locked="0"/>
    </xf>
    <xf numFmtId="0" fontId="52" fillId="5" borderId="0" xfId="1" applyFont="1" applyFill="1" applyBorder="1" applyAlignment="1" applyProtection="1">
      <alignment horizontal="center" wrapText="1"/>
      <protection locked="0"/>
    </xf>
    <xf numFmtId="2" fontId="52" fillId="5" borderId="0" xfId="1" applyNumberFormat="1" applyFont="1" applyFill="1" applyBorder="1" applyAlignment="1" applyProtection="1">
      <alignment horizontal="center" wrapText="1"/>
      <protection locked="0"/>
    </xf>
    <xf numFmtId="0" fontId="54" fillId="0" borderId="0" xfId="1" applyFont="1" applyBorder="1" applyAlignment="1" applyProtection="1">
      <alignment horizontal="center" vertical="center" wrapText="1"/>
      <protection locked="0"/>
    </xf>
    <xf numFmtId="4" fontId="52" fillId="5" borderId="0" xfId="1" applyNumberFormat="1" applyFont="1" applyFill="1" applyBorder="1" applyAlignment="1" applyProtection="1">
      <alignment horizontal="center" vertical="center"/>
      <protection locked="0"/>
    </xf>
    <xf numFmtId="4" fontId="5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Border="1" applyAlignment="1" applyProtection="1">
      <alignment horizontal="center" vertical="center" wrapText="1"/>
    </xf>
    <xf numFmtId="4" fontId="52" fillId="4" borderId="0" xfId="1" applyNumberFormat="1" applyFont="1" applyFill="1" applyBorder="1" applyAlignment="1" applyProtection="1">
      <alignment horizontal="center" vertical="center" wrapText="1"/>
    </xf>
    <xf numFmtId="0" fontId="54" fillId="0" borderId="0" xfId="1" applyFont="1" applyBorder="1" applyAlignment="1" applyProtection="1">
      <alignment horizontal="center" vertical="center" wrapText="1"/>
    </xf>
    <xf numFmtId="4" fontId="54" fillId="5" borderId="0" xfId="1" applyNumberFormat="1" applyFont="1" applyFill="1" applyBorder="1" applyAlignment="1" applyProtection="1">
      <alignment horizontal="center" vertical="center"/>
      <protection locked="0"/>
    </xf>
    <xf numFmtId="0" fontId="54" fillId="0" borderId="0" xfId="1" applyFont="1" applyBorder="1" applyAlignment="1" applyProtection="1">
      <alignment horizontal="center" vertical="center"/>
    </xf>
    <xf numFmtId="4" fontId="53" fillId="0" borderId="1" xfId="0" applyNumberFormat="1" applyFont="1" applyBorder="1" applyAlignment="1">
      <alignment horizontal="center"/>
    </xf>
    <xf numFmtId="4" fontId="52" fillId="5" borderId="0" xfId="1" applyNumberFormat="1" applyFont="1" applyFill="1" applyBorder="1" applyAlignment="1" applyProtection="1">
      <alignment horizontal="center"/>
      <protection locked="0"/>
    </xf>
    <xf numFmtId="0" fontId="50" fillId="0" borderId="0" xfId="0" applyFont="1" applyAlignment="1">
      <alignment wrapText="1"/>
    </xf>
    <xf numFmtId="0" fontId="50" fillId="5" borderId="0" xfId="0" applyFont="1" applyFill="1" applyAlignment="1">
      <alignment wrapText="1"/>
    </xf>
    <xf numFmtId="4" fontId="50" fillId="0" borderId="5" xfId="0" applyNumberFormat="1" applyFont="1" applyBorder="1" applyAlignment="1">
      <alignment horizontal="center" vertical="center" wrapText="1"/>
    </xf>
    <xf numFmtId="0" fontId="5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8" fillId="0" borderId="0" xfId="0" applyFont="1"/>
    <xf numFmtId="0" fontId="52" fillId="5" borderId="1" xfId="1" applyNumberFormat="1" applyFont="1" applyFill="1" applyBorder="1" applyAlignment="1" applyProtection="1">
      <alignment horizontal="center" wrapText="1"/>
      <protection locked="0"/>
    </xf>
    <xf numFmtId="4" fontId="52" fillId="5" borderId="1" xfId="1" applyNumberFormat="1" applyFont="1" applyFill="1" applyBorder="1" applyAlignment="1" applyProtection="1">
      <alignment horizontal="center" wrapText="1"/>
      <protection locked="0"/>
    </xf>
    <xf numFmtId="0" fontId="65" fillId="0" borderId="0" xfId="0" applyFont="1" applyBorder="1"/>
    <xf numFmtId="0" fontId="0" fillId="0" borderId="0" xfId="0" applyProtection="1">
      <protection locked="0"/>
    </xf>
    <xf numFmtId="0" fontId="50" fillId="0" borderId="0" xfId="0" applyFont="1" applyProtection="1">
      <protection locked="0"/>
    </xf>
    <xf numFmtId="0" fontId="57" fillId="0" borderId="0" xfId="0" applyFont="1" applyProtection="1">
      <protection locked="0"/>
    </xf>
    <xf numFmtId="0" fontId="53" fillId="0" borderId="0" xfId="0" applyFont="1" applyAlignment="1">
      <alignment wrapText="1"/>
    </xf>
    <xf numFmtId="0" fontId="53" fillId="0" borderId="0" xfId="0" applyFont="1" applyFill="1" applyBorder="1" applyAlignment="1">
      <alignment wrapText="1"/>
    </xf>
    <xf numFmtId="4" fontId="52" fillId="0" borderId="0" xfId="0" applyNumberFormat="1" applyFont="1"/>
    <xf numFmtId="0" fontId="69" fillId="2" borderId="0" xfId="0" applyFont="1" applyFill="1" applyAlignment="1">
      <alignment horizontal="right" wrapText="1" indent="1"/>
    </xf>
    <xf numFmtId="0" fontId="50" fillId="0" borderId="0" xfId="0" applyFont="1" applyAlignment="1" applyProtection="1">
      <alignment vertical="center"/>
      <protection locked="0"/>
    </xf>
    <xf numFmtId="14" fontId="50" fillId="0" borderId="0" xfId="0" applyNumberFormat="1" applyFont="1" applyProtection="1">
      <protection locked="0"/>
    </xf>
    <xf numFmtId="4" fontId="52" fillId="0" borderId="0" xfId="0" applyNumberFormat="1" applyFont="1" applyBorder="1"/>
    <xf numFmtId="4" fontId="53" fillId="0" borderId="0" xfId="0" applyNumberFormat="1" applyFont="1" applyBorder="1"/>
    <xf numFmtId="4" fontId="53" fillId="0" borderId="0" xfId="0" applyNumberFormat="1" applyFont="1" applyFill="1" applyBorder="1"/>
    <xf numFmtId="49" fontId="53" fillId="0" borderId="0" xfId="0" applyNumberFormat="1" applyFont="1"/>
    <xf numFmtId="0" fontId="53" fillId="0" borderId="0" xfId="0" applyFont="1" applyBorder="1"/>
    <xf numFmtId="0" fontId="0" fillId="0" borderId="0" xfId="0" applyFill="1" applyBorder="1"/>
    <xf numFmtId="0" fontId="0" fillId="0" borderId="0" xfId="0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53" fillId="0" borderId="0" xfId="0" applyFont="1" applyBorder="1" applyAlignment="1"/>
    <xf numFmtId="4" fontId="53" fillId="0" borderId="0" xfId="0" applyNumberFormat="1" applyFont="1" applyBorder="1" applyAlignment="1"/>
    <xf numFmtId="0" fontId="0" fillId="0" borderId="0" xfId="0" applyBorder="1" applyAlignment="1">
      <alignment horizontal="center" vertical="center"/>
    </xf>
    <xf numFmtId="4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3" fillId="0" borderId="0" xfId="17" applyFont="1" applyFill="1" applyBorder="1" applyAlignment="1"/>
    <xf numFmtId="0" fontId="57" fillId="0" borderId="0" xfId="0" applyFont="1" applyAlignment="1" applyProtection="1">
      <alignment horizontal="left" vertical="center" textRotation="90"/>
      <protection locked="0"/>
    </xf>
    <xf numFmtId="0" fontId="52" fillId="3" borderId="0" xfId="0" applyFont="1" applyFill="1" applyBorder="1" applyAlignment="1">
      <alignment horizontal="left" vertical="center" wrapText="1"/>
    </xf>
    <xf numFmtId="4" fontId="52" fillId="3" borderId="0" xfId="1" applyNumberFormat="1" applyFont="1" applyFill="1" applyBorder="1" applyAlignment="1">
      <alignment horizontal="center" vertical="center" wrapText="1"/>
    </xf>
    <xf numFmtId="0" fontId="53" fillId="0" borderId="0" xfId="0" applyFont="1" applyBorder="1" applyAlignment="1">
      <alignment horizontal="center" vertical="center"/>
    </xf>
    <xf numFmtId="49" fontId="53" fillId="0" borderId="0" xfId="0" applyNumberFormat="1" applyFont="1" applyFill="1" applyBorder="1" applyAlignment="1">
      <alignment horizontal="left" wrapText="1"/>
    </xf>
    <xf numFmtId="0" fontId="0" fillId="0" borderId="0" xfId="0" applyFill="1" applyBorder="1" applyAlignment="1">
      <alignment wrapText="1"/>
    </xf>
    <xf numFmtId="4" fontId="52" fillId="3" borderId="1" xfId="1" applyNumberFormat="1" applyFont="1" applyFill="1" applyBorder="1" applyAlignment="1">
      <alignment horizontal="center" vertical="center" wrapText="1"/>
    </xf>
    <xf numFmtId="0" fontId="57" fillId="0" borderId="0" xfId="0" applyFont="1" applyAlignment="1" applyProtection="1">
      <alignment horizontal="left" vertical="center" textRotation="90"/>
      <protection locked="0"/>
    </xf>
    <xf numFmtId="4" fontId="52" fillId="3" borderId="1" xfId="1" applyNumberFormat="1" applyFont="1" applyFill="1" applyBorder="1" applyAlignment="1">
      <alignment horizontal="center" vertical="center" wrapText="1"/>
    </xf>
    <xf numFmtId="4" fontId="52" fillId="3" borderId="1" xfId="1" applyNumberFormat="1" applyFont="1" applyFill="1" applyBorder="1" applyAlignment="1">
      <alignment horizontal="center" vertical="center" wrapText="1"/>
    </xf>
    <xf numFmtId="4" fontId="60" fillId="0" borderId="0" xfId="2" applyNumberFormat="1" applyFont="1" applyFill="1" applyBorder="1" applyAlignment="1">
      <alignment horizontal="center"/>
    </xf>
    <xf numFmtId="0" fontId="0" fillId="0" borderId="1" xfId="0" applyFill="1" applyBorder="1" applyAlignment="1"/>
    <xf numFmtId="0" fontId="45" fillId="0" borderId="1" xfId="8" applyFont="1" applyFill="1" applyBorder="1" applyAlignment="1">
      <alignment horizontal="center"/>
    </xf>
    <xf numFmtId="0" fontId="45" fillId="0" borderId="1" xfId="8" applyFont="1" applyFill="1" applyBorder="1" applyAlignment="1">
      <alignment horizontal="center" vertical="center"/>
    </xf>
    <xf numFmtId="4" fontId="0" fillId="0" borderId="1" xfId="0" applyNumberFormat="1" applyFont="1" applyFill="1" applyBorder="1" applyAlignment="1"/>
    <xf numFmtId="0" fontId="0" fillId="0" borderId="1" xfId="0" applyFill="1" applyBorder="1"/>
    <xf numFmtId="0" fontId="13" fillId="0" borderId="1" xfId="583" applyFont="1" applyFill="1" applyBorder="1" applyAlignment="1">
      <alignment horizontal="center" vertical="center"/>
    </xf>
    <xf numFmtId="0" fontId="13" fillId="0" borderId="1" xfId="583" applyFill="1" applyBorder="1" applyAlignment="1">
      <alignment horizontal="center"/>
    </xf>
    <xf numFmtId="4" fontId="0" fillId="0" borderId="1" xfId="0" applyNumberFormat="1" applyFill="1" applyBorder="1"/>
    <xf numFmtId="0" fontId="18" fillId="0" borderId="1" xfId="365" applyFont="1" applyFill="1" applyBorder="1" applyAlignment="1"/>
    <xf numFmtId="0" fontId="18" fillId="0" borderId="1" xfId="381" applyFont="1" applyFill="1" applyBorder="1" applyAlignment="1">
      <alignment horizontal="center"/>
    </xf>
    <xf numFmtId="0" fontId="18" fillId="0" borderId="1" xfId="381" applyFill="1" applyBorder="1" applyAlignment="1">
      <alignment horizontal="center"/>
    </xf>
    <xf numFmtId="4" fontId="60" fillId="0" borderId="1" xfId="381" applyNumberFormat="1" applyFont="1" applyFill="1" applyBorder="1" applyAlignment="1"/>
    <xf numFmtId="0" fontId="0" fillId="0" borderId="1" xfId="0" applyFont="1" applyFill="1" applyBorder="1"/>
    <xf numFmtId="0" fontId="32" fillId="0" borderId="1" xfId="17" applyFont="1" applyFill="1" applyBorder="1" applyAlignment="1"/>
    <xf numFmtId="0" fontId="32" fillId="0" borderId="1" xfId="20" applyFont="1" applyFill="1" applyBorder="1" applyAlignment="1">
      <alignment horizontal="center"/>
    </xf>
    <xf numFmtId="0" fontId="41" fillId="0" borderId="1" xfId="20" applyFill="1" applyBorder="1" applyAlignment="1">
      <alignment horizontal="center"/>
    </xf>
    <xf numFmtId="4" fontId="60" fillId="0" borderId="1" xfId="20" applyNumberFormat="1" applyFont="1" applyFill="1" applyBorder="1" applyAlignment="1"/>
    <xf numFmtId="0" fontId="31" fillId="0" borderId="1" xfId="26" applyFont="1" applyFill="1" applyBorder="1" applyAlignment="1">
      <alignment horizontal="center" vertical="center"/>
    </xf>
    <xf numFmtId="0" fontId="39" fillId="0" borderId="1" xfId="26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30" fillId="0" borderId="1" xfId="38" applyFont="1" applyFill="1" applyBorder="1"/>
    <xf numFmtId="0" fontId="28" fillId="0" borderId="1" xfId="11" applyFont="1" applyFill="1" applyBorder="1" applyAlignment="1"/>
    <xf numFmtId="0" fontId="28" fillId="0" borderId="1" xfId="11" applyFont="1" applyFill="1" applyBorder="1" applyAlignment="1">
      <alignment horizontal="center"/>
    </xf>
    <xf numFmtId="0" fontId="60" fillId="0" borderId="1" xfId="11" applyFont="1" applyFill="1" applyBorder="1" applyAlignment="1">
      <alignment horizontal="center"/>
    </xf>
    <xf numFmtId="4" fontId="60" fillId="0" borderId="1" xfId="11" applyNumberFormat="1" applyFont="1" applyFill="1" applyBorder="1" applyAlignment="1"/>
    <xf numFmtId="0" fontId="21" fillId="0" borderId="1" xfId="38" applyFont="1" applyFill="1" applyBorder="1"/>
    <xf numFmtId="0" fontId="29" fillId="0" borderId="1" xfId="11" applyFont="1" applyFill="1" applyBorder="1" applyAlignment="1">
      <alignment horizontal="center"/>
    </xf>
    <xf numFmtId="0" fontId="27" fillId="0" borderId="1" xfId="38" applyFont="1" applyFill="1" applyBorder="1"/>
    <xf numFmtId="0" fontId="25" fillId="0" borderId="1" xfId="2" applyFont="1" applyFill="1" applyBorder="1" applyAlignment="1"/>
    <xf numFmtId="0" fontId="26" fillId="0" borderId="1" xfId="8" applyFont="1" applyFill="1" applyBorder="1" applyAlignment="1">
      <alignment horizontal="center" vertical="center"/>
    </xf>
    <xf numFmtId="0" fontId="26" fillId="0" borderId="1" xfId="4" applyFont="1" applyFill="1" applyBorder="1" applyAlignment="1">
      <alignment horizontal="center"/>
    </xf>
    <xf numFmtId="0" fontId="24" fillId="0" borderId="1" xfId="2" applyFont="1" applyFill="1" applyBorder="1" applyAlignment="1"/>
    <xf numFmtId="0" fontId="24" fillId="0" borderId="1" xfId="11" applyFont="1" applyFill="1" applyBorder="1" applyAlignment="1">
      <alignment horizontal="center"/>
    </xf>
    <xf numFmtId="0" fontId="60" fillId="0" borderId="1" xfId="11" applyFont="1" applyFill="1" applyBorder="1" applyAlignment="1">
      <alignment horizontal="center" vertical="center"/>
    </xf>
    <xf numFmtId="0" fontId="24" fillId="0" borderId="1" xfId="38" applyFont="1" applyFill="1" applyBorder="1"/>
    <xf numFmtId="0" fontId="23" fillId="0" borderId="1" xfId="2" applyFont="1" applyFill="1" applyBorder="1" applyAlignment="1"/>
    <xf numFmtId="0" fontId="23" fillId="0" borderId="1" xfId="43" applyFont="1" applyFill="1" applyBorder="1" applyAlignment="1">
      <alignment horizontal="center"/>
    </xf>
    <xf numFmtId="0" fontId="36" fillId="0" borderId="1" xfId="43" applyFill="1" applyBorder="1" applyAlignment="1">
      <alignment horizontal="center" vertical="center"/>
    </xf>
    <xf numFmtId="4" fontId="36" fillId="0" borderId="1" xfId="43" applyNumberFormat="1" applyFill="1" applyBorder="1" applyAlignment="1"/>
    <xf numFmtId="0" fontId="60" fillId="0" borderId="1" xfId="43" applyFont="1" applyFill="1" applyBorder="1" applyAlignment="1"/>
    <xf numFmtId="0" fontId="22" fillId="0" borderId="1" xfId="8" applyFont="1" applyFill="1" applyBorder="1" applyAlignment="1">
      <alignment horizontal="center" vertical="center"/>
    </xf>
    <xf numFmtId="0" fontId="42" fillId="0" borderId="1" xfId="8" applyFont="1" applyFill="1" applyBorder="1" applyAlignment="1">
      <alignment horizontal="center" vertical="center"/>
    </xf>
    <xf numFmtId="0" fontId="16" fillId="0" borderId="1" xfId="2" applyFont="1" applyFill="1" applyBorder="1" applyAlignment="1"/>
    <xf numFmtId="0" fontId="20" fillId="0" borderId="1" xfId="11" applyFont="1" applyFill="1" applyBorder="1" applyAlignment="1">
      <alignment horizontal="center"/>
    </xf>
    <xf numFmtId="0" fontId="17" fillId="0" borderId="1" xfId="38" applyFont="1" applyFill="1" applyBorder="1"/>
    <xf numFmtId="0" fontId="60" fillId="0" borderId="1" xfId="13" applyFont="1" applyFill="1" applyBorder="1" applyAlignment="1"/>
    <xf numFmtId="0" fontId="19" fillId="0" borderId="1" xfId="8" applyFont="1" applyFill="1" applyBorder="1" applyAlignment="1">
      <alignment horizontal="center" vertical="center"/>
    </xf>
    <xf numFmtId="0" fontId="43" fillId="0" borderId="1" xfId="4" applyFont="1" applyFill="1" applyBorder="1" applyAlignment="1">
      <alignment horizontal="center" vertical="center"/>
    </xf>
    <xf numFmtId="0" fontId="16" fillId="0" borderId="1" xfId="17" applyFont="1" applyFill="1" applyBorder="1" applyAlignment="1"/>
    <xf numFmtId="0" fontId="17" fillId="0" borderId="1" xfId="20" applyFont="1" applyFill="1" applyBorder="1" applyAlignment="1">
      <alignment horizontal="center"/>
    </xf>
    <xf numFmtId="0" fontId="41" fillId="0" borderId="1" xfId="20" applyFill="1" applyBorder="1" applyAlignment="1">
      <alignment horizontal="center" vertical="center"/>
    </xf>
    <xf numFmtId="0" fontId="22" fillId="0" borderId="1" xfId="2" applyFont="1" applyFill="1" applyBorder="1" applyAlignment="1"/>
    <xf numFmtId="0" fontId="14" fillId="0" borderId="1" xfId="2" applyFont="1" applyFill="1" applyBorder="1" applyAlignment="1"/>
    <xf numFmtId="0" fontId="15" fillId="0" borderId="1" xfId="42" applyFont="1" applyFill="1" applyBorder="1" applyAlignment="1">
      <alignment horizontal="center"/>
    </xf>
    <xf numFmtId="0" fontId="37" fillId="0" borderId="1" xfId="42" applyFill="1" applyBorder="1" applyAlignment="1">
      <alignment horizontal="center" vertical="center"/>
    </xf>
    <xf numFmtId="2" fontId="0" fillId="0" borderId="1" xfId="0" applyNumberFormat="1" applyFill="1" applyBorder="1"/>
    <xf numFmtId="0" fontId="14" fillId="0" borderId="1" xfId="17" applyFont="1" applyFill="1" applyBorder="1" applyAlignment="1"/>
    <xf numFmtId="0" fontId="14" fillId="0" borderId="1" xfId="20" applyFont="1" applyFill="1" applyBorder="1" applyAlignment="1">
      <alignment horizontal="center"/>
    </xf>
    <xf numFmtId="0" fontId="11" fillId="0" borderId="1" xfId="2" applyFont="1" applyFill="1" applyBorder="1" applyAlignment="1"/>
    <xf numFmtId="0" fontId="12" fillId="0" borderId="1" xfId="42" applyFont="1" applyFill="1" applyBorder="1" applyAlignment="1">
      <alignment horizontal="center"/>
    </xf>
    <xf numFmtId="0" fontId="10" fillId="0" borderId="1" xfId="2" applyFont="1" applyFill="1" applyBorder="1" applyAlignment="1"/>
    <xf numFmtId="0" fontId="9" fillId="0" borderId="1" xfId="2" applyFont="1" applyFill="1" applyBorder="1" applyAlignment="1"/>
    <xf numFmtId="0" fontId="9" fillId="0" borderId="1" xfId="42" applyFont="1" applyFill="1" applyBorder="1" applyAlignment="1">
      <alignment horizontal="center"/>
    </xf>
    <xf numFmtId="0" fontId="9" fillId="0" borderId="1" xfId="17" applyFont="1" applyFill="1" applyBorder="1" applyAlignment="1"/>
    <xf numFmtId="0" fontId="9" fillId="0" borderId="1" xfId="20" applyFont="1" applyFill="1" applyBorder="1" applyAlignment="1">
      <alignment horizontal="center"/>
    </xf>
    <xf numFmtId="0" fontId="7" fillId="0" borderId="1" xfId="17" applyFont="1" applyFill="1" applyBorder="1" applyAlignment="1"/>
    <xf numFmtId="0" fontId="8" fillId="0" borderId="1" xfId="20" applyFont="1" applyFill="1" applyBorder="1" applyAlignment="1">
      <alignment horizontal="center"/>
    </xf>
    <xf numFmtId="0" fontId="6" fillId="0" borderId="1" xfId="0" applyFont="1" applyFill="1" applyBorder="1"/>
    <xf numFmtId="0" fontId="60" fillId="0" borderId="1" xfId="0" applyFont="1" applyFill="1" applyBorder="1" applyAlignment="1">
      <alignment horizontal="center" vertical="center" wrapText="1"/>
    </xf>
    <xf numFmtId="4" fontId="60" fillId="0" borderId="1" xfId="0" applyNumberFormat="1" applyFont="1" applyFill="1" applyBorder="1" applyAlignment="1">
      <alignment horizontal="right" vertical="center" wrapText="1"/>
    </xf>
    <xf numFmtId="0" fontId="6" fillId="0" borderId="1" xfId="17" applyFont="1" applyFill="1" applyBorder="1" applyAlignment="1"/>
    <xf numFmtId="0" fontId="5" fillId="0" borderId="1" xfId="20" applyFont="1" applyFill="1" applyBorder="1" applyAlignment="1">
      <alignment horizontal="center"/>
    </xf>
    <xf numFmtId="0" fontId="6" fillId="0" borderId="1" xfId="138" applyFont="1" applyFill="1" applyBorder="1" applyAlignment="1"/>
    <xf numFmtId="0" fontId="5" fillId="0" borderId="1" xfId="154" applyFont="1" applyFill="1" applyBorder="1" applyAlignment="1">
      <alignment horizontal="center"/>
    </xf>
    <xf numFmtId="0" fontId="34" fillId="0" borderId="1" xfId="154" applyFill="1" applyBorder="1" applyAlignment="1">
      <alignment horizontal="center"/>
    </xf>
    <xf numFmtId="4" fontId="60" fillId="0" borderId="1" xfId="154" applyNumberFormat="1" applyFont="1" applyFill="1" applyBorder="1" applyAlignment="1"/>
    <xf numFmtId="0" fontId="5" fillId="0" borderId="1" xfId="17" applyFont="1" applyFill="1" applyBorder="1" applyAlignment="1"/>
    <xf numFmtId="0" fontId="4" fillId="0" borderId="1" xfId="17" applyFont="1" applyFill="1" applyBorder="1" applyAlignment="1"/>
    <xf numFmtId="0" fontId="62" fillId="3" borderId="1" xfId="0" applyFont="1" applyFill="1" applyBorder="1" applyAlignment="1">
      <alignment horizontal="left" vertical="center" wrapText="1"/>
    </xf>
    <xf numFmtId="4" fontId="62" fillId="3" borderId="1" xfId="1" applyNumberFormat="1" applyFont="1" applyFill="1" applyBorder="1" applyAlignment="1">
      <alignment horizontal="center" vertical="center" wrapText="1"/>
    </xf>
    <xf numFmtId="0" fontId="64" fillId="0" borderId="1" xfId="0" applyFont="1" applyBorder="1" applyAlignment="1">
      <alignment horizontal="left" vertical="center"/>
    </xf>
    <xf numFmtId="0" fontId="52" fillId="3" borderId="1" xfId="0" applyFont="1" applyFill="1" applyBorder="1" applyAlignment="1">
      <alignment vertical="center" wrapText="1"/>
    </xf>
    <xf numFmtId="4" fontId="62" fillId="3" borderId="1" xfId="21" applyNumberFormat="1" applyFont="1" applyFill="1" applyBorder="1" applyAlignment="1">
      <alignment horizontal="center" vertical="center" wrapText="1"/>
    </xf>
    <xf numFmtId="0" fontId="64" fillId="0" borderId="1" xfId="0" applyFont="1" applyFill="1" applyBorder="1" applyAlignment="1">
      <alignment horizontal="left" vertical="center"/>
    </xf>
    <xf numFmtId="4" fontId="71" fillId="0" borderId="1" xfId="0" applyNumberFormat="1" applyFont="1" applyBorder="1" applyAlignment="1">
      <alignment horizontal="center"/>
    </xf>
    <xf numFmtId="0" fontId="71" fillId="0" borderId="1" xfId="0" applyFont="1" applyBorder="1"/>
    <xf numFmtId="0" fontId="63" fillId="3" borderId="1" xfId="0" applyFont="1" applyFill="1" applyBorder="1" applyAlignment="1">
      <alignment horizontal="center" vertical="center" wrapText="1"/>
    </xf>
    <xf numFmtId="0" fontId="3" fillId="0" borderId="1" xfId="17" applyFont="1" applyFill="1" applyBorder="1" applyAlignment="1"/>
    <xf numFmtId="0" fontId="2" fillId="0" borderId="1" xfId="17" applyFont="1" applyFill="1" applyBorder="1" applyAlignment="1"/>
    <xf numFmtId="49" fontId="53" fillId="0" borderId="0" xfId="0" applyNumberFormat="1" applyFont="1" applyBorder="1" applyAlignment="1">
      <alignment horizontal="left" wrapText="1"/>
    </xf>
    <xf numFmtId="0" fontId="1" fillId="0" borderId="1" xfId="2" applyFont="1" applyFill="1" applyBorder="1" applyAlignment="1"/>
    <xf numFmtId="0" fontId="1" fillId="0" borderId="1" xfId="11" applyFont="1" applyFill="1" applyBorder="1" applyAlignment="1"/>
    <xf numFmtId="4" fontId="52" fillId="3" borderId="1" xfId="1" applyNumberFormat="1" applyFont="1" applyFill="1" applyBorder="1" applyAlignment="1">
      <alignment horizontal="center" vertical="center" wrapText="1"/>
    </xf>
    <xf numFmtId="0" fontId="53" fillId="0" borderId="1" xfId="0" applyFont="1" applyBorder="1" applyAlignment="1">
      <alignment horizontal="center" vertical="center"/>
    </xf>
    <xf numFmtId="0" fontId="52" fillId="3" borderId="1" xfId="0" applyFont="1" applyFill="1" applyBorder="1" applyAlignment="1">
      <alignment horizontal="left" vertical="center" wrapText="1"/>
    </xf>
    <xf numFmtId="0" fontId="52" fillId="0" borderId="1" xfId="1" applyFont="1" applyBorder="1" applyAlignment="1">
      <alignment horizontal="left" wrapText="1"/>
    </xf>
    <xf numFmtId="0" fontId="50" fillId="0" borderId="0" xfId="0" applyFont="1" applyFill="1" applyBorder="1" applyAlignment="1">
      <alignment horizontal="left" wrapText="1"/>
    </xf>
    <xf numFmtId="0" fontId="50" fillId="0" borderId="0" xfId="0" applyFont="1" applyAlignment="1">
      <alignment horizontal="justify" wrapText="1"/>
    </xf>
    <xf numFmtId="0" fontId="54" fillId="0" borderId="1" xfId="1" applyFont="1" applyBorder="1" applyAlignment="1">
      <alignment horizontal="left" vertical="center"/>
    </xf>
    <xf numFmtId="0" fontId="54" fillId="0" borderId="1" xfId="1" applyFont="1" applyBorder="1" applyAlignment="1">
      <alignment horizontal="center" vertical="center"/>
    </xf>
    <xf numFmtId="4" fontId="54" fillId="0" borderId="1" xfId="1" applyNumberFormat="1" applyFont="1" applyBorder="1" applyAlignment="1">
      <alignment horizontal="center" vertical="center"/>
    </xf>
    <xf numFmtId="0" fontId="57" fillId="0" borderId="0" xfId="0" applyFont="1" applyAlignment="1" applyProtection="1">
      <alignment horizontal="left" vertical="center" textRotation="90" wrapText="1"/>
      <protection locked="0"/>
    </xf>
    <xf numFmtId="0" fontId="57" fillId="0" borderId="0" xfId="0" applyFont="1" applyAlignment="1">
      <alignment horizontal="left" vertical="center" textRotation="90"/>
    </xf>
    <xf numFmtId="0" fontId="52" fillId="3" borderId="1" xfId="0" applyFont="1" applyFill="1" applyBorder="1" applyAlignment="1">
      <alignment horizontal="center" vertical="center" wrapText="1"/>
    </xf>
    <xf numFmtId="0" fontId="52" fillId="0" borderId="2" xfId="0" applyFont="1" applyBorder="1" applyAlignment="1" applyProtection="1">
      <alignment horizontal="left" wrapText="1"/>
    </xf>
    <xf numFmtId="0" fontId="52" fillId="0" borderId="3" xfId="0" applyFont="1" applyBorder="1" applyAlignment="1" applyProtection="1">
      <alignment horizontal="left" wrapText="1"/>
    </xf>
    <xf numFmtId="0" fontId="52" fillId="0" borderId="4" xfId="0" applyFont="1" applyBorder="1" applyAlignment="1" applyProtection="1">
      <alignment horizontal="left" wrapText="1"/>
    </xf>
    <xf numFmtId="0" fontId="52" fillId="0" borderId="2" xfId="1" applyFont="1" applyBorder="1" applyAlignment="1">
      <alignment horizontal="left" wrapText="1"/>
    </xf>
    <xf numFmtId="0" fontId="52" fillId="0" borderId="3" xfId="1" applyFont="1" applyBorder="1" applyAlignment="1">
      <alignment horizontal="left" wrapText="1"/>
    </xf>
    <xf numFmtId="0" fontId="52" fillId="0" borderId="4" xfId="1" applyFont="1" applyBorder="1" applyAlignment="1">
      <alignment horizontal="left" wrapText="1"/>
    </xf>
    <xf numFmtId="0" fontId="56" fillId="0" borderId="0" xfId="0" applyFont="1" applyAlignment="1" applyProtection="1">
      <alignment horizontal="center" wrapText="1"/>
      <protection locked="0"/>
    </xf>
    <xf numFmtId="0" fontId="57" fillId="0" borderId="0" xfId="0" applyFont="1" applyAlignment="1" applyProtection="1">
      <alignment horizontal="left" textRotation="90"/>
      <protection locked="0"/>
    </xf>
    <xf numFmtId="0" fontId="57" fillId="0" borderId="0" xfId="0" applyFont="1" applyAlignment="1" applyProtection="1">
      <alignment horizontal="left" vertical="center" textRotation="90"/>
      <protection locked="0"/>
    </xf>
    <xf numFmtId="0" fontId="52" fillId="0" borderId="1" xfId="0" applyFont="1" applyBorder="1" applyAlignment="1">
      <alignment horizontal="left" wrapText="1"/>
    </xf>
    <xf numFmtId="0" fontId="52" fillId="0" borderId="1" xfId="1" applyFont="1" applyBorder="1" applyAlignment="1">
      <alignment horizontal="left" vertical="center" wrapText="1"/>
    </xf>
    <xf numFmtId="0" fontId="57" fillId="0" borderId="0" xfId="0" applyFont="1" applyAlignment="1" applyProtection="1">
      <alignment horizontal="center" vertical="center" textRotation="90" wrapText="1"/>
      <protection locked="0"/>
    </xf>
    <xf numFmtId="0" fontId="53" fillId="0" borderId="1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56" fillId="0" borderId="0" xfId="0" applyFont="1" applyAlignment="1">
      <alignment horizontal="center" wrapText="1"/>
    </xf>
    <xf numFmtId="0" fontId="58" fillId="0" borderId="0" xfId="0" applyFont="1" applyBorder="1" applyAlignment="1">
      <alignment horizontal="left" wrapText="1"/>
    </xf>
    <xf numFmtId="0" fontId="50" fillId="0" borderId="0" xfId="0" applyFont="1" applyAlignment="1">
      <alignment horizontal="left" wrapText="1"/>
    </xf>
    <xf numFmtId="0" fontId="70" fillId="0" borderId="6" xfId="0" applyFont="1" applyBorder="1" applyAlignment="1">
      <alignment horizontal="center"/>
    </xf>
    <xf numFmtId="0" fontId="57" fillId="0" borderId="0" xfId="0" applyFont="1" applyBorder="1" applyAlignment="1" applyProtection="1">
      <alignment horizontal="left" vertical="center" textRotation="90"/>
      <protection locked="0"/>
    </xf>
    <xf numFmtId="0" fontId="57" fillId="0" borderId="0" xfId="0" applyFont="1" applyBorder="1" applyAlignment="1" applyProtection="1">
      <alignment horizontal="left" vertical="center" textRotation="90" wrapText="1"/>
      <protection locked="0"/>
    </xf>
    <xf numFmtId="0" fontId="67" fillId="0" borderId="0" xfId="0" applyFont="1" applyBorder="1" applyAlignment="1" applyProtection="1">
      <alignment horizontal="center" vertical="center" textRotation="90" wrapText="1"/>
      <protection locked="0"/>
    </xf>
  </cellXfs>
  <cellStyles count="662">
    <cellStyle name="Обычный" xfId="0" builtinId="0"/>
    <cellStyle name="Обычный 2" xfId="1"/>
    <cellStyle name="Обычный 2 10" xfId="227"/>
    <cellStyle name="Обычный 2 10 2" xfId="454"/>
    <cellStyle name="Обычный 2 11" xfId="125"/>
    <cellStyle name="Обычный 2 12" xfId="352"/>
    <cellStyle name="Обычный 2 13" xfId="579"/>
    <cellStyle name="Обычный 2 2" xfId="3"/>
    <cellStyle name="Обычный 2 3" xfId="9"/>
    <cellStyle name="Обычный 2 3 2" xfId="27"/>
    <cellStyle name="Обычный 2 3 2 2" xfId="91"/>
    <cellStyle name="Обычный 2 3 2 2 2" xfId="300"/>
    <cellStyle name="Обычный 2 3 2 2 2 2" xfId="527"/>
    <cellStyle name="Обычный 2 3 2 2 3" xfId="215"/>
    <cellStyle name="Обычный 2 3 2 2 4" xfId="442"/>
    <cellStyle name="Обычный 2 3 2 3" xfId="335"/>
    <cellStyle name="Обычный 2 3 2 3 2" xfId="562"/>
    <cellStyle name="Обычный 2 3 2 4" xfId="249"/>
    <cellStyle name="Обычный 2 3 2 4 2" xfId="476"/>
    <cellStyle name="Обычный 2 3 2 5" xfId="164"/>
    <cellStyle name="Обычный 2 3 2 6" xfId="391"/>
    <cellStyle name="Обычный 2 3 2 7" xfId="626"/>
    <cellStyle name="Обычный 2 3 3" xfId="73"/>
    <cellStyle name="Обычный 2 3 3 2" xfId="264"/>
    <cellStyle name="Обычный 2 3 3 2 2" xfId="491"/>
    <cellStyle name="Обычный 2 3 3 3" xfId="179"/>
    <cellStyle name="Обычный 2 3 3 4" xfId="406"/>
    <cellStyle name="Обычный 2 3 3 5" xfId="608"/>
    <cellStyle name="Обычный 2 3 4" xfId="119"/>
    <cellStyle name="Обычный 2 3 4 2" xfId="282"/>
    <cellStyle name="Обычный 2 3 4 2 2" xfId="509"/>
    <cellStyle name="Обычный 2 3 4 3" xfId="197"/>
    <cellStyle name="Обычный 2 3 4 4" xfId="424"/>
    <cellStyle name="Обычный 2 3 4 5" xfId="654"/>
    <cellStyle name="Обычный 2 3 5" xfId="56"/>
    <cellStyle name="Обычный 2 3 5 2" xfId="317"/>
    <cellStyle name="Обычный 2 3 5 2 2" xfId="544"/>
    <cellStyle name="Обычный 2 3 5 3" xfId="147"/>
    <cellStyle name="Обычный 2 3 5 4" xfId="374"/>
    <cellStyle name="Обычный 2 3 6" xfId="232"/>
    <cellStyle name="Обычный 2 3 6 2" xfId="459"/>
    <cellStyle name="Обычный 2 3 7" xfId="130"/>
    <cellStyle name="Обычный 2 3 8" xfId="357"/>
    <cellStyle name="Обычный 2 3 9" xfId="591"/>
    <cellStyle name="Обычный 2 4" xfId="14"/>
    <cellStyle name="Обычный 2 4 2" xfId="32"/>
    <cellStyle name="Обычный 2 4 2 2" xfId="96"/>
    <cellStyle name="Обычный 2 4 2 2 2" xfId="305"/>
    <cellStyle name="Обычный 2 4 2 2 2 2" xfId="532"/>
    <cellStyle name="Обычный 2 4 2 2 3" xfId="220"/>
    <cellStyle name="Обычный 2 4 2 2 4" xfId="447"/>
    <cellStyle name="Обычный 2 4 2 3" xfId="340"/>
    <cellStyle name="Обычный 2 4 2 3 2" xfId="567"/>
    <cellStyle name="Обычный 2 4 2 4" xfId="269"/>
    <cellStyle name="Обычный 2 4 2 4 2" xfId="496"/>
    <cellStyle name="Обычный 2 4 2 5" xfId="184"/>
    <cellStyle name="Обычный 2 4 2 6" xfId="411"/>
    <cellStyle name="Обычный 2 4 2 7" xfId="631"/>
    <cellStyle name="Обычный 2 4 3" xfId="78"/>
    <cellStyle name="Обычный 2 4 3 2" xfId="287"/>
    <cellStyle name="Обычный 2 4 3 2 2" xfId="514"/>
    <cellStyle name="Обычный 2 4 3 3" xfId="202"/>
    <cellStyle name="Обычный 2 4 3 4" xfId="429"/>
    <cellStyle name="Обычный 2 4 3 5" xfId="613"/>
    <cellStyle name="Обычный 2 4 4" xfId="114"/>
    <cellStyle name="Обычный 2 4 4 2" xfId="322"/>
    <cellStyle name="Обычный 2 4 4 2 2" xfId="549"/>
    <cellStyle name="Обычный 2 4 4 3" xfId="169"/>
    <cellStyle name="Обычный 2 4 4 4" xfId="396"/>
    <cellStyle name="Обычный 2 4 4 5" xfId="649"/>
    <cellStyle name="Обычный 2 4 5" xfId="61"/>
    <cellStyle name="Обычный 2 4 5 2" xfId="254"/>
    <cellStyle name="Обычный 2 4 5 3" xfId="481"/>
    <cellStyle name="Обычный 2 4 6" xfId="135"/>
    <cellStyle name="Обычный 2 4 7" xfId="362"/>
    <cellStyle name="Обычный 2 4 8" xfId="596"/>
    <cellStyle name="Обычный 2 5" xfId="21"/>
    <cellStyle name="Обычный 2 5 2" xfId="85"/>
    <cellStyle name="Обычный 2 5 2 2" xfId="276"/>
    <cellStyle name="Обычный 2 5 2 2 2" xfId="503"/>
    <cellStyle name="Обычный 2 5 2 3" xfId="191"/>
    <cellStyle name="Обычный 2 5 2 4" xfId="418"/>
    <cellStyle name="Обычный 2 5 2 5" xfId="620"/>
    <cellStyle name="Обычный 2 5 3" xfId="109"/>
    <cellStyle name="Обычный 2 5 3 2" xfId="294"/>
    <cellStyle name="Обычный 2 5 3 2 2" xfId="521"/>
    <cellStyle name="Обычный 2 5 3 3" xfId="209"/>
    <cellStyle name="Обычный 2 5 3 4" xfId="436"/>
    <cellStyle name="Обычный 2 5 3 5" xfId="644"/>
    <cellStyle name="Обычный 2 5 4" xfId="51"/>
    <cellStyle name="Обычный 2 5 4 2" xfId="329"/>
    <cellStyle name="Обычный 2 5 4 3" xfId="556"/>
    <cellStyle name="Обычный 2 5 5" xfId="244"/>
    <cellStyle name="Обычный 2 5 5 2" xfId="471"/>
    <cellStyle name="Обычный 2 5 6" xfId="159"/>
    <cellStyle name="Обычный 2 5 7" xfId="386"/>
    <cellStyle name="Обычный 2 5 8" xfId="586"/>
    <cellStyle name="Обычный 2 6" xfId="22"/>
    <cellStyle name="Обычный 2 6 2" xfId="86"/>
    <cellStyle name="Обычный 2 6 2 2" xfId="295"/>
    <cellStyle name="Обычный 2 6 2 2 2" xfId="522"/>
    <cellStyle name="Обычный 2 6 2 3" xfId="210"/>
    <cellStyle name="Обычный 2 6 2 4" xfId="437"/>
    <cellStyle name="Обычный 2 6 3" xfId="330"/>
    <cellStyle name="Обычный 2 6 3 2" xfId="557"/>
    <cellStyle name="Обычный 2 6 4" xfId="240"/>
    <cellStyle name="Обычный 2 6 4 2" xfId="467"/>
    <cellStyle name="Обычный 2 6 5" xfId="155"/>
    <cellStyle name="Обычный 2 6 6" xfId="382"/>
    <cellStyle name="Обычный 2 6 7" xfId="621"/>
    <cellStyle name="Обычный 2 7" xfId="68"/>
    <cellStyle name="Обычный 2 7 2" xfId="259"/>
    <cellStyle name="Обычный 2 7 2 2" xfId="486"/>
    <cellStyle name="Обычный 2 7 3" xfId="174"/>
    <cellStyle name="Обычный 2 7 4" xfId="401"/>
    <cellStyle name="Обычный 2 7 5" xfId="603"/>
    <cellStyle name="Обычный 2 8" xfId="103"/>
    <cellStyle name="Обычный 2 8 2" xfId="277"/>
    <cellStyle name="Обычный 2 8 2 2" xfId="504"/>
    <cellStyle name="Обычный 2 8 3" xfId="192"/>
    <cellStyle name="Обычный 2 8 4" xfId="419"/>
    <cellStyle name="Обычный 2 8 5" xfId="638"/>
    <cellStyle name="Обычный 2 9" xfId="44"/>
    <cellStyle name="Обычный 2 9 2" xfId="312"/>
    <cellStyle name="Обычный 2 9 2 2" xfId="539"/>
    <cellStyle name="Обычный 2 9 3" xfId="142"/>
    <cellStyle name="Обычный 2 9 4" xfId="369"/>
    <cellStyle name="Обычный 3" xfId="2"/>
    <cellStyle name="Обычный 3 10" xfId="143"/>
    <cellStyle name="Обычный 3 10 2" xfId="313"/>
    <cellStyle name="Обычный 3 10 2 2" xfId="540"/>
    <cellStyle name="Обычный 3 10 3" xfId="370"/>
    <cellStyle name="Обычный 3 11" xfId="228"/>
    <cellStyle name="Обычный 3 11 2" xfId="455"/>
    <cellStyle name="Обычный 3 12" xfId="126"/>
    <cellStyle name="Обычный 3 13" xfId="353"/>
    <cellStyle name="Обычный 3 14" xfId="580"/>
    <cellStyle name="Обычный 3 2" xfId="7"/>
    <cellStyle name="Обычный 3 2 2" xfId="120"/>
    <cellStyle name="Обычный 3 2 2 2" xfId="655"/>
    <cellStyle name="Обычный 3 3" xfId="6"/>
    <cellStyle name="Обычный 3 3 2" xfId="115"/>
    <cellStyle name="Обычный 3 3 2 2" xfId="650"/>
    <cellStyle name="Обычный 3 4" xfId="10"/>
    <cellStyle name="Обычный 3 4 2" xfId="28"/>
    <cellStyle name="Обычный 3 4 2 2" xfId="92"/>
    <cellStyle name="Обычный 3 4 2 2 2" xfId="301"/>
    <cellStyle name="Обычный 3 4 2 2 2 2" xfId="528"/>
    <cellStyle name="Обычный 3 4 2 2 3" xfId="216"/>
    <cellStyle name="Обычный 3 4 2 2 4" xfId="443"/>
    <cellStyle name="Обычный 3 4 2 3" xfId="336"/>
    <cellStyle name="Обычный 3 4 2 3 2" xfId="563"/>
    <cellStyle name="Обычный 3 4 2 4" xfId="250"/>
    <cellStyle name="Обычный 3 4 2 4 2" xfId="477"/>
    <cellStyle name="Обычный 3 4 2 5" xfId="165"/>
    <cellStyle name="Обычный 3 4 2 6" xfId="392"/>
    <cellStyle name="Обычный 3 4 2 7" xfId="627"/>
    <cellStyle name="Обычный 3 4 3" xfId="74"/>
    <cellStyle name="Обычный 3 4 3 2" xfId="265"/>
    <cellStyle name="Обычный 3 4 3 2 2" xfId="492"/>
    <cellStyle name="Обычный 3 4 3 3" xfId="180"/>
    <cellStyle name="Обычный 3 4 3 4" xfId="407"/>
    <cellStyle name="Обычный 3 4 3 5" xfId="609"/>
    <cellStyle name="Обычный 3 4 4" xfId="110"/>
    <cellStyle name="Обычный 3 4 4 2" xfId="283"/>
    <cellStyle name="Обычный 3 4 4 2 2" xfId="510"/>
    <cellStyle name="Обычный 3 4 4 3" xfId="198"/>
    <cellStyle name="Обычный 3 4 4 4" xfId="425"/>
    <cellStyle name="Обычный 3 4 4 5" xfId="645"/>
    <cellStyle name="Обычный 3 4 5" xfId="57"/>
    <cellStyle name="Обычный 3 4 5 2" xfId="318"/>
    <cellStyle name="Обычный 3 4 5 2 2" xfId="545"/>
    <cellStyle name="Обычный 3 4 5 3" xfId="148"/>
    <cellStyle name="Обычный 3 4 5 4" xfId="375"/>
    <cellStyle name="Обычный 3 4 6" xfId="233"/>
    <cellStyle name="Обычный 3 4 6 2" xfId="460"/>
    <cellStyle name="Обычный 3 4 7" xfId="131"/>
    <cellStyle name="Обычный 3 4 8" xfId="358"/>
    <cellStyle name="Обычный 3 4 9" xfId="592"/>
    <cellStyle name="Обычный 3 5" xfId="15"/>
    <cellStyle name="Обычный 3 5 2" xfId="33"/>
    <cellStyle name="Обычный 3 5 2 2" xfId="97"/>
    <cellStyle name="Обычный 3 5 2 2 2" xfId="306"/>
    <cellStyle name="Обычный 3 5 2 2 2 2" xfId="533"/>
    <cellStyle name="Обычный 3 5 2 2 3" xfId="221"/>
    <cellStyle name="Обычный 3 5 2 2 4" xfId="448"/>
    <cellStyle name="Обычный 3 5 2 3" xfId="341"/>
    <cellStyle name="Обычный 3 5 2 3 2" xfId="568"/>
    <cellStyle name="Обычный 3 5 2 4" xfId="270"/>
    <cellStyle name="Обычный 3 5 2 4 2" xfId="497"/>
    <cellStyle name="Обычный 3 5 2 5" xfId="185"/>
    <cellStyle name="Обычный 3 5 2 6" xfId="412"/>
    <cellStyle name="Обычный 3 5 2 7" xfId="632"/>
    <cellStyle name="Обычный 3 5 3" xfId="79"/>
    <cellStyle name="Обычный 3 5 3 2" xfId="288"/>
    <cellStyle name="Обычный 3 5 3 2 2" xfId="515"/>
    <cellStyle name="Обычный 3 5 3 3" xfId="203"/>
    <cellStyle name="Обычный 3 5 3 4" xfId="430"/>
    <cellStyle name="Обычный 3 5 3 5" xfId="614"/>
    <cellStyle name="Обычный 3 5 4" xfId="62"/>
    <cellStyle name="Обычный 3 5 4 2" xfId="323"/>
    <cellStyle name="Обычный 3 5 4 2 2" xfId="550"/>
    <cellStyle name="Обычный 3 5 4 3" xfId="170"/>
    <cellStyle name="Обычный 3 5 4 4" xfId="397"/>
    <cellStyle name="Обычный 3 5 5" xfId="255"/>
    <cellStyle name="Обычный 3 5 5 2" xfId="482"/>
    <cellStyle name="Обычный 3 5 6" xfId="136"/>
    <cellStyle name="Обычный 3 5 7" xfId="363"/>
    <cellStyle name="Обычный 3 5 8" xfId="597"/>
    <cellStyle name="Обычный 3 6" xfId="23"/>
    <cellStyle name="Обычный 3 6 2" xfId="87"/>
    <cellStyle name="Обычный 3 6 2 2" xfId="296"/>
    <cellStyle name="Обычный 3 6 2 2 2" xfId="523"/>
    <cellStyle name="Обычный 3 6 2 3" xfId="211"/>
    <cellStyle name="Обычный 3 6 2 4" xfId="438"/>
    <cellStyle name="Обычный 3 6 2 5" xfId="622"/>
    <cellStyle name="Обычный 3 6 3" xfId="52"/>
    <cellStyle name="Обычный 3 6 3 2" xfId="331"/>
    <cellStyle name="Обычный 3 6 3 3" xfId="558"/>
    <cellStyle name="Обычный 3 6 4" xfId="245"/>
    <cellStyle name="Обычный 3 6 4 2" xfId="472"/>
    <cellStyle name="Обычный 3 6 5" xfId="160"/>
    <cellStyle name="Обычный 3 6 6" xfId="387"/>
    <cellStyle name="Обычный 3 6 7" xfId="587"/>
    <cellStyle name="Обычный 3 7" xfId="69"/>
    <cellStyle name="Обычный 3 7 2" xfId="241"/>
    <cellStyle name="Обычный 3 7 2 2" xfId="468"/>
    <cellStyle name="Обычный 3 7 3" xfId="156"/>
    <cellStyle name="Обычный 3 7 4" xfId="383"/>
    <cellStyle name="Обычный 3 7 5" xfId="604"/>
    <cellStyle name="Обычный 3 8" xfId="104"/>
    <cellStyle name="Обычный 3 8 2" xfId="260"/>
    <cellStyle name="Обычный 3 8 2 2" xfId="487"/>
    <cellStyle name="Обычный 3 8 3" xfId="175"/>
    <cellStyle name="Обычный 3 8 4" xfId="402"/>
    <cellStyle name="Обычный 3 8 5" xfId="639"/>
    <cellStyle name="Обычный 3 9" xfId="45"/>
    <cellStyle name="Обычный 3 9 2" xfId="278"/>
    <cellStyle name="Обычный 3 9 2 2" xfId="505"/>
    <cellStyle name="Обычный 3 9 3" xfId="193"/>
    <cellStyle name="Обычный 3 9 4" xfId="420"/>
    <cellStyle name="Обычный 4" xfId="4"/>
    <cellStyle name="Обычный 4 10" xfId="127"/>
    <cellStyle name="Обычный 4 11" xfId="354"/>
    <cellStyle name="Обычный 4 12" xfId="581"/>
    <cellStyle name="Обычный 4 2" xfId="11"/>
    <cellStyle name="Обычный 4 2 10" xfId="585"/>
    <cellStyle name="Обычный 4 2 2" xfId="20"/>
    <cellStyle name="Обычный 4 2 2 2" xfId="84"/>
    <cellStyle name="Обычный 4 2 2 2 2" xfId="275"/>
    <cellStyle name="Обычный 4 2 2 2 2 2" xfId="502"/>
    <cellStyle name="Обычный 4 2 2 2 3" xfId="190"/>
    <cellStyle name="Обычный 4 2 2 2 4" xfId="417"/>
    <cellStyle name="Обычный 4 2 2 2 5" xfId="619"/>
    <cellStyle name="Обычный 4 2 2 3" xfId="67"/>
    <cellStyle name="Обычный 4 2 2 3 2" xfId="293"/>
    <cellStyle name="Обычный 4 2 2 3 2 2" xfId="520"/>
    <cellStyle name="Обычный 4 2 2 3 3" xfId="208"/>
    <cellStyle name="Обычный 4 2 2 3 4" xfId="435"/>
    <cellStyle name="Обычный 4 2 2 4" xfId="328"/>
    <cellStyle name="Обычный 4 2 2 4 2" xfId="555"/>
    <cellStyle name="Обычный 4 2 2 5" xfId="239"/>
    <cellStyle name="Обычный 4 2 2 5 2" xfId="466"/>
    <cellStyle name="Обычный 4 2 2 6" xfId="154"/>
    <cellStyle name="Обычный 4 2 2 6 2" xfId="661"/>
    <cellStyle name="Обычный 4 2 2 7" xfId="381"/>
    <cellStyle name="Обычный 4 2 2 8" xfId="602"/>
    <cellStyle name="Обычный 4 2 3" xfId="29"/>
    <cellStyle name="Обычный 4 2 3 2" xfId="93"/>
    <cellStyle name="Обычный 4 2 3 2 2" xfId="302"/>
    <cellStyle name="Обычный 4 2 3 2 2 2" xfId="529"/>
    <cellStyle name="Обычный 4 2 3 2 3" xfId="217"/>
    <cellStyle name="Обычный 4 2 3 2 4" xfId="444"/>
    <cellStyle name="Обычный 4 2 3 2 5" xfId="628"/>
    <cellStyle name="Обычный 4 2 3 3" xfId="58"/>
    <cellStyle name="Обычный 4 2 3 3 2" xfId="337"/>
    <cellStyle name="Обычный 4 2 3 3 3" xfId="564"/>
    <cellStyle name="Обычный 4 2 3 4" xfId="251"/>
    <cellStyle name="Обычный 4 2 3 4 2" xfId="478"/>
    <cellStyle name="Обычный 4 2 3 5" xfId="166"/>
    <cellStyle name="Обычный 4 2 3 6" xfId="393"/>
    <cellStyle name="Обычный 4 2 3 7" xfId="593"/>
    <cellStyle name="Обычный 4 2 4" xfId="75"/>
    <cellStyle name="Обычный 4 2 4 2" xfId="266"/>
    <cellStyle name="Обычный 4 2 4 2 2" xfId="493"/>
    <cellStyle name="Обычный 4 2 4 3" xfId="181"/>
    <cellStyle name="Обычный 4 2 4 4" xfId="408"/>
    <cellStyle name="Обычный 4 2 4 5" xfId="610"/>
    <cellStyle name="Обычный 4 2 5" xfId="121"/>
    <cellStyle name="Обычный 4 2 5 2" xfId="284"/>
    <cellStyle name="Обычный 4 2 5 2 2" xfId="511"/>
    <cellStyle name="Обычный 4 2 5 3" xfId="199"/>
    <cellStyle name="Обычный 4 2 5 4" xfId="426"/>
    <cellStyle name="Обычный 4 2 5 5" xfId="656"/>
    <cellStyle name="Обычный 4 2 6" xfId="50"/>
    <cellStyle name="Обычный 4 2 6 2" xfId="319"/>
    <cellStyle name="Обычный 4 2 6 2 2" xfId="546"/>
    <cellStyle name="Обычный 4 2 6 3" xfId="149"/>
    <cellStyle name="Обычный 4 2 6 4" xfId="376"/>
    <cellStyle name="Обычный 4 2 7" xfId="234"/>
    <cellStyle name="Обычный 4 2 7 2" xfId="461"/>
    <cellStyle name="Обычный 4 2 8" xfId="132"/>
    <cellStyle name="Обычный 4 2 9" xfId="359"/>
    <cellStyle name="Обычный 4 3" xfId="16"/>
    <cellStyle name="Обычный 4 3 2" xfId="34"/>
    <cellStyle name="Обычный 4 3 2 2" xfId="98"/>
    <cellStyle name="Обычный 4 3 2 2 2" xfId="307"/>
    <cellStyle name="Обычный 4 3 2 2 2 2" xfId="534"/>
    <cellStyle name="Обычный 4 3 2 2 3" xfId="222"/>
    <cellStyle name="Обычный 4 3 2 2 4" xfId="449"/>
    <cellStyle name="Обычный 4 3 2 3" xfId="342"/>
    <cellStyle name="Обычный 4 3 2 3 2" xfId="569"/>
    <cellStyle name="Обычный 4 3 2 4" xfId="271"/>
    <cellStyle name="Обычный 4 3 2 4 2" xfId="498"/>
    <cellStyle name="Обычный 4 3 2 5" xfId="186"/>
    <cellStyle name="Обычный 4 3 2 6" xfId="413"/>
    <cellStyle name="Обычный 4 3 2 7" xfId="633"/>
    <cellStyle name="Обычный 4 3 3" xfId="80"/>
    <cellStyle name="Обычный 4 3 3 2" xfId="289"/>
    <cellStyle name="Обычный 4 3 3 2 2" xfId="516"/>
    <cellStyle name="Обычный 4 3 3 3" xfId="204"/>
    <cellStyle name="Обычный 4 3 3 4" xfId="431"/>
    <cellStyle name="Обычный 4 3 3 5" xfId="615"/>
    <cellStyle name="Обычный 4 3 4" xfId="116"/>
    <cellStyle name="Обычный 4 3 4 2" xfId="324"/>
    <cellStyle name="Обычный 4 3 4 2 2" xfId="551"/>
    <cellStyle name="Обычный 4 3 4 3" xfId="171"/>
    <cellStyle name="Обычный 4 3 4 4" xfId="398"/>
    <cellStyle name="Обычный 4 3 4 5" xfId="651"/>
    <cellStyle name="Обычный 4 3 5" xfId="63"/>
    <cellStyle name="Обычный 4 3 5 2" xfId="256"/>
    <cellStyle name="Обычный 4 3 5 3" xfId="483"/>
    <cellStyle name="Обычный 4 3 6" xfId="137"/>
    <cellStyle name="Обычный 4 3 7" xfId="364"/>
    <cellStyle name="Обычный 4 3 8" xfId="598"/>
    <cellStyle name="Обычный 4 4" xfId="24"/>
    <cellStyle name="Обычный 4 4 2" xfId="88"/>
    <cellStyle name="Обычный 4 4 2 2" xfId="297"/>
    <cellStyle name="Обычный 4 4 2 2 2" xfId="524"/>
    <cellStyle name="Обычный 4 4 2 3" xfId="212"/>
    <cellStyle name="Обычный 4 4 2 4" xfId="439"/>
    <cellStyle name="Обычный 4 4 2 5" xfId="623"/>
    <cellStyle name="Обычный 4 4 3" xfId="111"/>
    <cellStyle name="Обычный 4 4 3 2" xfId="332"/>
    <cellStyle name="Обычный 4 4 3 3" xfId="559"/>
    <cellStyle name="Обычный 4 4 3 4" xfId="646"/>
    <cellStyle name="Обычный 4 4 4" xfId="53"/>
    <cellStyle name="Обычный 4 4 4 2" xfId="246"/>
    <cellStyle name="Обычный 4 4 4 3" xfId="473"/>
    <cellStyle name="Обычный 4 4 5" xfId="161"/>
    <cellStyle name="Обычный 4 4 6" xfId="388"/>
    <cellStyle name="Обычный 4 4 7" xfId="588"/>
    <cellStyle name="Обычный 4 5" xfId="41"/>
    <cellStyle name="Обычный 4 5 2" xfId="70"/>
    <cellStyle name="Обычный 4 5 2 2" xfId="349"/>
    <cellStyle name="Обычный 4 5 2 3" xfId="576"/>
    <cellStyle name="Обычный 4 5 3" xfId="261"/>
    <cellStyle name="Обычный 4 5 3 2" xfId="488"/>
    <cellStyle name="Обычный 4 5 4" xfId="176"/>
    <cellStyle name="Обычный 4 5 5" xfId="403"/>
    <cellStyle name="Обычный 4 5 6" xfId="605"/>
    <cellStyle name="Обычный 4 6" xfId="105"/>
    <cellStyle name="Обычный 4 6 2" xfId="279"/>
    <cellStyle name="Обычный 4 6 2 2" xfId="506"/>
    <cellStyle name="Обычный 4 6 3" xfId="194"/>
    <cellStyle name="Обычный 4 6 4" xfId="421"/>
    <cellStyle name="Обычный 4 6 5" xfId="640"/>
    <cellStyle name="Обычный 4 7" xfId="46"/>
    <cellStyle name="Обычный 4 7 2" xfId="314"/>
    <cellStyle name="Обычный 4 7 2 2" xfId="541"/>
    <cellStyle name="Обычный 4 7 3" xfId="144"/>
    <cellStyle name="Обычный 4 7 4" xfId="371"/>
    <cellStyle name="Обычный 4 8" xfId="229"/>
    <cellStyle name="Обычный 4 8 2" xfId="456"/>
    <cellStyle name="Обычный 4 9" xfId="43"/>
    <cellStyle name="Обычный 4 9 2" xfId="124"/>
    <cellStyle name="Обычный 4 9 3" xfId="351"/>
    <cellStyle name="Обычный 4 9 4" xfId="578"/>
    <cellStyle name="Обычный 4 9 5" xfId="659"/>
    <cellStyle name="Обычный 5" xfId="5"/>
    <cellStyle name="Обычный 5 10" xfId="355"/>
    <cellStyle name="Обычный 5 11" xfId="582"/>
    <cellStyle name="Обычный 5 2" xfId="12"/>
    <cellStyle name="Обычный 5 2 2" xfId="30"/>
    <cellStyle name="Обычный 5 2 2 2" xfId="94"/>
    <cellStyle name="Обычный 5 2 2 2 2" xfId="303"/>
    <cellStyle name="Обычный 5 2 2 2 2 2" xfId="530"/>
    <cellStyle name="Обычный 5 2 2 2 3" xfId="218"/>
    <cellStyle name="Обычный 5 2 2 2 4" xfId="445"/>
    <cellStyle name="Обычный 5 2 2 3" xfId="338"/>
    <cellStyle name="Обычный 5 2 2 3 2" xfId="565"/>
    <cellStyle name="Обычный 5 2 2 4" xfId="252"/>
    <cellStyle name="Обычный 5 2 2 4 2" xfId="479"/>
    <cellStyle name="Обычный 5 2 2 5" xfId="167"/>
    <cellStyle name="Обычный 5 2 2 6" xfId="394"/>
    <cellStyle name="Обычный 5 2 2 7" xfId="629"/>
    <cellStyle name="Обычный 5 2 3" xfId="76"/>
    <cellStyle name="Обычный 5 2 3 2" xfId="267"/>
    <cellStyle name="Обычный 5 2 3 2 2" xfId="494"/>
    <cellStyle name="Обычный 5 2 3 3" xfId="182"/>
    <cellStyle name="Обычный 5 2 3 4" xfId="409"/>
    <cellStyle name="Обычный 5 2 3 5" xfId="611"/>
    <cellStyle name="Обычный 5 2 4" xfId="122"/>
    <cellStyle name="Обычный 5 2 4 2" xfId="285"/>
    <cellStyle name="Обычный 5 2 4 2 2" xfId="512"/>
    <cellStyle name="Обычный 5 2 4 3" xfId="200"/>
    <cellStyle name="Обычный 5 2 4 4" xfId="427"/>
    <cellStyle name="Обычный 5 2 4 5" xfId="657"/>
    <cellStyle name="Обычный 5 2 5" xfId="59"/>
    <cellStyle name="Обычный 5 2 5 2" xfId="320"/>
    <cellStyle name="Обычный 5 2 5 2 2" xfId="547"/>
    <cellStyle name="Обычный 5 2 5 3" xfId="150"/>
    <cellStyle name="Обычный 5 2 5 4" xfId="377"/>
    <cellStyle name="Обычный 5 2 6" xfId="235"/>
    <cellStyle name="Обычный 5 2 6 2" xfId="462"/>
    <cellStyle name="Обычный 5 2 7" xfId="133"/>
    <cellStyle name="Обычный 5 2 8" xfId="360"/>
    <cellStyle name="Обычный 5 2 9" xfId="594"/>
    <cellStyle name="Обычный 5 3" xfId="17"/>
    <cellStyle name="Обычный 5 3 2" xfId="35"/>
    <cellStyle name="Обычный 5 3 2 2" xfId="117"/>
    <cellStyle name="Обычный 5 3 2 2 2" xfId="308"/>
    <cellStyle name="Обычный 5 3 2 2 2 2" xfId="535"/>
    <cellStyle name="Обычный 5 3 2 2 3" xfId="223"/>
    <cellStyle name="Обычный 5 3 2 2 4" xfId="450"/>
    <cellStyle name="Обычный 5 3 2 2 5" xfId="652"/>
    <cellStyle name="Обычный 5 3 2 3" xfId="99"/>
    <cellStyle name="Обычный 5 3 2 3 2" xfId="343"/>
    <cellStyle name="Обычный 5 3 2 3 3" xfId="570"/>
    <cellStyle name="Обычный 5 3 2 4" xfId="272"/>
    <cellStyle name="Обычный 5 3 2 4 2" xfId="499"/>
    <cellStyle name="Обычный 5 3 2 5" xfId="187"/>
    <cellStyle name="Обычный 5 3 2 6" xfId="414"/>
    <cellStyle name="Обычный 5 3 2 7" xfId="634"/>
    <cellStyle name="Обычный 5 3 3" xfId="81"/>
    <cellStyle name="Обычный 5 3 3 2" xfId="290"/>
    <cellStyle name="Обычный 5 3 3 2 2" xfId="517"/>
    <cellStyle name="Обычный 5 3 3 3" xfId="205"/>
    <cellStyle name="Обычный 5 3 3 4" xfId="432"/>
    <cellStyle name="Обычный 5 3 3 5" xfId="616"/>
    <cellStyle name="Обычный 5 3 4" xfId="108"/>
    <cellStyle name="Обычный 5 3 4 2" xfId="325"/>
    <cellStyle name="Обычный 5 3 4 2 2" xfId="552"/>
    <cellStyle name="Обычный 5 3 4 3" xfId="153"/>
    <cellStyle name="Обычный 5 3 4 4" xfId="380"/>
    <cellStyle name="Обычный 5 3 4 5" xfId="643"/>
    <cellStyle name="Обычный 5 3 5" xfId="64"/>
    <cellStyle name="Обычный 5 3 5 2" xfId="238"/>
    <cellStyle name="Обычный 5 3 5 3" xfId="465"/>
    <cellStyle name="Обычный 5 3 6" xfId="138"/>
    <cellStyle name="Обычный 5 3 6 2" xfId="660"/>
    <cellStyle name="Обычный 5 3 7" xfId="365"/>
    <cellStyle name="Обычный 5 3 8" xfId="599"/>
    <cellStyle name="Обычный 5 4" xfId="25"/>
    <cellStyle name="Обычный 5 4 2" xfId="89"/>
    <cellStyle name="Обычный 5 4 2 2" xfId="298"/>
    <cellStyle name="Обычный 5 4 2 2 2" xfId="525"/>
    <cellStyle name="Обычный 5 4 2 3" xfId="213"/>
    <cellStyle name="Обычный 5 4 2 4" xfId="440"/>
    <cellStyle name="Обычный 5 4 2 5" xfId="624"/>
    <cellStyle name="Обычный 5 4 3" xfId="123"/>
    <cellStyle name="Обычный 5 4 3 2" xfId="333"/>
    <cellStyle name="Обычный 5 4 3 3" xfId="560"/>
    <cellStyle name="Обычный 5 4 3 4" xfId="658"/>
    <cellStyle name="Обычный 5 4 4" xfId="54"/>
    <cellStyle name="Обычный 5 4 4 2" xfId="247"/>
    <cellStyle name="Обычный 5 4 4 3" xfId="474"/>
    <cellStyle name="Обычный 5 4 5" xfId="162"/>
    <cellStyle name="Обычный 5 4 6" xfId="389"/>
    <cellStyle name="Обычный 5 4 7" xfId="589"/>
    <cellStyle name="Обычный 5 5" xfId="71"/>
    <cellStyle name="Обычный 5 5 2" xfId="112"/>
    <cellStyle name="Обычный 5 5 2 2" xfId="262"/>
    <cellStyle name="Обычный 5 5 2 3" xfId="489"/>
    <cellStyle name="Обычный 5 5 2 4" xfId="647"/>
    <cellStyle name="Обычный 5 5 3" xfId="177"/>
    <cellStyle name="Обычный 5 5 4" xfId="404"/>
    <cellStyle name="Обычный 5 5 5" xfId="606"/>
    <cellStyle name="Обычный 5 6" xfId="106"/>
    <cellStyle name="Обычный 5 6 2" xfId="280"/>
    <cellStyle name="Обычный 5 6 2 2" xfId="507"/>
    <cellStyle name="Обычный 5 6 3" xfId="195"/>
    <cellStyle name="Обычный 5 6 4" xfId="422"/>
    <cellStyle name="Обычный 5 6 5" xfId="641"/>
    <cellStyle name="Обычный 5 7" xfId="47"/>
    <cellStyle name="Обычный 5 7 2" xfId="315"/>
    <cellStyle name="Обычный 5 7 2 2" xfId="542"/>
    <cellStyle name="Обычный 5 7 3" xfId="145"/>
    <cellStyle name="Обычный 5 7 4" xfId="372"/>
    <cellStyle name="Обычный 5 8" xfId="230"/>
    <cellStyle name="Обычный 5 8 2" xfId="457"/>
    <cellStyle name="Обычный 5 9" xfId="128"/>
    <cellStyle name="Обычный 6" xfId="8"/>
    <cellStyle name="Обычный 6 10" xfId="356"/>
    <cellStyle name="Обычный 6 11" xfId="583"/>
    <cellStyle name="Обычный 6 2" xfId="18"/>
    <cellStyle name="Обычный 6 2 2" xfId="36"/>
    <cellStyle name="Обычный 6 2 2 2" xfId="100"/>
    <cellStyle name="Обычный 6 2 2 2 2" xfId="309"/>
    <cellStyle name="Обычный 6 2 2 2 2 2" xfId="536"/>
    <cellStyle name="Обычный 6 2 2 2 3" xfId="224"/>
    <cellStyle name="Обычный 6 2 2 2 4" xfId="451"/>
    <cellStyle name="Обычный 6 2 2 3" xfId="344"/>
    <cellStyle name="Обычный 6 2 2 3 2" xfId="571"/>
    <cellStyle name="Обычный 6 2 2 4" xfId="273"/>
    <cellStyle name="Обычный 6 2 2 4 2" xfId="500"/>
    <cellStyle name="Обычный 6 2 2 5" xfId="188"/>
    <cellStyle name="Обычный 6 2 2 6" xfId="415"/>
    <cellStyle name="Обычный 6 2 2 7" xfId="635"/>
    <cellStyle name="Обычный 6 2 3" xfId="82"/>
    <cellStyle name="Обычный 6 2 3 2" xfId="291"/>
    <cellStyle name="Обычный 6 2 3 2 2" xfId="518"/>
    <cellStyle name="Обычный 6 2 3 3" xfId="206"/>
    <cellStyle name="Обычный 6 2 3 4" xfId="433"/>
    <cellStyle name="Обычный 6 2 3 5" xfId="617"/>
    <cellStyle name="Обычный 6 2 4" xfId="118"/>
    <cellStyle name="Обычный 6 2 4 2" xfId="326"/>
    <cellStyle name="Обычный 6 2 4 2 2" xfId="553"/>
    <cellStyle name="Обычный 6 2 4 3" xfId="172"/>
    <cellStyle name="Обычный 6 2 4 4" xfId="399"/>
    <cellStyle name="Обычный 6 2 4 5" xfId="653"/>
    <cellStyle name="Обычный 6 2 5" xfId="65"/>
    <cellStyle name="Обычный 6 2 5 2" xfId="257"/>
    <cellStyle name="Обычный 6 2 5 3" xfId="484"/>
    <cellStyle name="Обычный 6 2 6" xfId="139"/>
    <cellStyle name="Обычный 6 2 7" xfId="366"/>
    <cellStyle name="Обычный 6 2 8" xfId="600"/>
    <cellStyle name="Обычный 6 3" xfId="26"/>
    <cellStyle name="Обычный 6 3 2" xfId="90"/>
    <cellStyle name="Обычный 6 3 2 2" xfId="299"/>
    <cellStyle name="Обычный 6 3 2 2 2" xfId="526"/>
    <cellStyle name="Обычный 6 3 2 3" xfId="214"/>
    <cellStyle name="Обычный 6 3 2 4" xfId="441"/>
    <cellStyle name="Обычный 6 3 2 5" xfId="625"/>
    <cellStyle name="Обычный 6 3 3" xfId="113"/>
    <cellStyle name="Обычный 6 3 3 2" xfId="334"/>
    <cellStyle name="Обычный 6 3 3 3" xfId="561"/>
    <cellStyle name="Обычный 6 3 3 4" xfId="648"/>
    <cellStyle name="Обычный 6 3 4" xfId="55"/>
    <cellStyle name="Обычный 6 3 4 2" xfId="248"/>
    <cellStyle name="Обычный 6 3 4 3" xfId="475"/>
    <cellStyle name="Обычный 6 3 5" xfId="163"/>
    <cellStyle name="Обычный 6 3 6" xfId="390"/>
    <cellStyle name="Обычный 6 3 7" xfId="590"/>
    <cellStyle name="Обычный 6 4" xfId="38"/>
    <cellStyle name="Обычный 6 4 2" xfId="102"/>
    <cellStyle name="Обычный 6 4 2 2" xfId="311"/>
    <cellStyle name="Обычный 6 4 2 2 2" xfId="538"/>
    <cellStyle name="Обычный 6 4 2 3" xfId="226"/>
    <cellStyle name="Обычный 6 4 2 4" xfId="453"/>
    <cellStyle name="Обычный 6 4 3" xfId="157"/>
    <cellStyle name="Обычный 6 4 3 2" xfId="346"/>
    <cellStyle name="Обычный 6 4 3 2 2" xfId="573"/>
    <cellStyle name="Обычный 6 4 3 3" xfId="384"/>
    <cellStyle name="Обычный 6 4 4" xfId="242"/>
    <cellStyle name="Обычный 6 4 4 2" xfId="469"/>
    <cellStyle name="Обычный 6 4 5" xfId="141"/>
    <cellStyle name="Обычный 6 4 6" xfId="368"/>
    <cellStyle name="Обычный 6 4 7" xfId="637"/>
    <cellStyle name="Обычный 6 5" xfId="40"/>
    <cellStyle name="Обычный 6 5 2" xfId="72"/>
    <cellStyle name="Обычный 6 5 2 2" xfId="348"/>
    <cellStyle name="Обычный 6 5 2 3" xfId="575"/>
    <cellStyle name="Обычный 6 5 3" xfId="263"/>
    <cellStyle name="Обычный 6 5 3 2" xfId="490"/>
    <cellStyle name="Обычный 6 5 4" xfId="178"/>
    <cellStyle name="Обычный 6 5 5" xfId="405"/>
    <cellStyle name="Обычный 6 5 6" xfId="607"/>
    <cellStyle name="Обычный 6 6" xfId="42"/>
    <cellStyle name="Обычный 6 6 2" xfId="107"/>
    <cellStyle name="Обычный 6 6 2 2" xfId="350"/>
    <cellStyle name="Обычный 6 6 2 3" xfId="577"/>
    <cellStyle name="Обычный 6 6 3" xfId="281"/>
    <cellStyle name="Обычный 6 6 3 2" xfId="508"/>
    <cellStyle name="Обычный 6 6 4" xfId="196"/>
    <cellStyle name="Обычный 6 6 5" xfId="423"/>
    <cellStyle name="Обычный 6 6 6" xfId="642"/>
    <cellStyle name="Обычный 6 7" xfId="48"/>
    <cellStyle name="Обычный 6 7 2" xfId="316"/>
    <cellStyle name="Обычный 6 7 2 2" xfId="543"/>
    <cellStyle name="Обычный 6 7 3" xfId="146"/>
    <cellStyle name="Обычный 6 7 4" xfId="373"/>
    <cellStyle name="Обычный 6 8" xfId="231"/>
    <cellStyle name="Обычный 6 8 2" xfId="458"/>
    <cellStyle name="Обычный 6 9" xfId="129"/>
    <cellStyle name="Обычный 7" xfId="13"/>
    <cellStyle name="Обычный 7 10" xfId="361"/>
    <cellStyle name="Обычный 7 11" xfId="584"/>
    <cellStyle name="Обычный 7 2" xfId="19"/>
    <cellStyle name="Обычный 7 2 2" xfId="37"/>
    <cellStyle name="Обычный 7 2 2 2" xfId="101"/>
    <cellStyle name="Обычный 7 2 2 2 2" xfId="310"/>
    <cellStyle name="Обычный 7 2 2 2 2 2" xfId="537"/>
    <cellStyle name="Обычный 7 2 2 2 3" xfId="225"/>
    <cellStyle name="Обычный 7 2 2 2 4" xfId="452"/>
    <cellStyle name="Обычный 7 2 2 3" xfId="345"/>
    <cellStyle name="Обычный 7 2 2 3 2" xfId="572"/>
    <cellStyle name="Обычный 7 2 2 4" xfId="258"/>
    <cellStyle name="Обычный 7 2 2 4 2" xfId="485"/>
    <cellStyle name="Обычный 7 2 2 5" xfId="173"/>
    <cellStyle name="Обычный 7 2 2 6" xfId="400"/>
    <cellStyle name="Обычный 7 2 2 7" xfId="636"/>
    <cellStyle name="Обычный 7 2 3" xfId="83"/>
    <cellStyle name="Обычный 7 2 3 2" xfId="274"/>
    <cellStyle name="Обычный 7 2 3 2 2" xfId="501"/>
    <cellStyle name="Обычный 7 2 3 3" xfId="189"/>
    <cellStyle name="Обычный 7 2 3 4" xfId="416"/>
    <cellStyle name="Обычный 7 2 3 5" xfId="618"/>
    <cellStyle name="Обычный 7 2 4" xfId="66"/>
    <cellStyle name="Обычный 7 2 4 2" xfId="292"/>
    <cellStyle name="Обычный 7 2 4 2 2" xfId="519"/>
    <cellStyle name="Обычный 7 2 4 3" xfId="207"/>
    <cellStyle name="Обычный 7 2 4 4" xfId="434"/>
    <cellStyle name="Обычный 7 2 5" xfId="152"/>
    <cellStyle name="Обычный 7 2 5 2" xfId="327"/>
    <cellStyle name="Обычный 7 2 5 2 2" xfId="554"/>
    <cellStyle name="Обычный 7 2 5 3" xfId="379"/>
    <cellStyle name="Обычный 7 2 6" xfId="237"/>
    <cellStyle name="Обычный 7 2 6 2" xfId="464"/>
    <cellStyle name="Обычный 7 2 7" xfId="140"/>
    <cellStyle name="Обычный 7 2 8" xfId="367"/>
    <cellStyle name="Обычный 7 2 9" xfId="601"/>
    <cellStyle name="Обычный 7 3" xfId="31"/>
    <cellStyle name="Обычный 7 3 2" xfId="95"/>
    <cellStyle name="Обычный 7 3 2 2" xfId="304"/>
    <cellStyle name="Обычный 7 3 2 2 2" xfId="531"/>
    <cellStyle name="Обычный 7 3 2 3" xfId="219"/>
    <cellStyle name="Обычный 7 3 2 4" xfId="446"/>
    <cellStyle name="Обычный 7 3 2 5" xfId="630"/>
    <cellStyle name="Обычный 7 3 3" xfId="60"/>
    <cellStyle name="Обычный 7 3 3 2" xfId="339"/>
    <cellStyle name="Обычный 7 3 3 3" xfId="566"/>
    <cellStyle name="Обычный 7 3 4" xfId="253"/>
    <cellStyle name="Обычный 7 3 4 2" xfId="480"/>
    <cellStyle name="Обычный 7 3 5" xfId="168"/>
    <cellStyle name="Обычный 7 3 6" xfId="395"/>
    <cellStyle name="Обычный 7 3 7" xfId="595"/>
    <cellStyle name="Обычный 7 4" xfId="39"/>
    <cellStyle name="Обычный 7 4 2" xfId="77"/>
    <cellStyle name="Обычный 7 4 2 2" xfId="347"/>
    <cellStyle name="Обычный 7 4 2 3" xfId="574"/>
    <cellStyle name="Обычный 7 4 3" xfId="243"/>
    <cellStyle name="Обычный 7 4 3 2" xfId="470"/>
    <cellStyle name="Обычный 7 4 4" xfId="158"/>
    <cellStyle name="Обычный 7 4 5" xfId="385"/>
    <cellStyle name="Обычный 7 4 6" xfId="612"/>
    <cellStyle name="Обычный 7 5" xfId="49"/>
    <cellStyle name="Обычный 7 5 2" xfId="268"/>
    <cellStyle name="Обычный 7 5 2 2" xfId="495"/>
    <cellStyle name="Обычный 7 5 3" xfId="183"/>
    <cellStyle name="Обычный 7 5 4" xfId="410"/>
    <cellStyle name="Обычный 7 6" xfId="201"/>
    <cellStyle name="Обычный 7 6 2" xfId="286"/>
    <cellStyle name="Обычный 7 6 2 2" xfId="513"/>
    <cellStyle name="Обычный 7 6 3" xfId="428"/>
    <cellStyle name="Обычный 7 7" xfId="151"/>
    <cellStyle name="Обычный 7 7 2" xfId="321"/>
    <cellStyle name="Обычный 7 7 2 2" xfId="548"/>
    <cellStyle name="Обычный 7 7 3" xfId="378"/>
    <cellStyle name="Обычный 7 8" xfId="236"/>
    <cellStyle name="Обычный 7 8 2" xfId="463"/>
    <cellStyle name="Обычный 7 9" xfId="13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40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.7109375" style="1" customWidth="1"/>
    <col min="6" max="7" width="9.140625" style="1"/>
    <col min="8" max="8" width="16.140625" style="1" customWidth="1"/>
    <col min="9" max="9" width="4" style="1" customWidth="1"/>
    <col min="10" max="10" width="13.57031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1"/>
      <c r="L1" s="101"/>
      <c r="M1" s="101"/>
      <c r="N1" s="101"/>
    </row>
    <row r="2" spans="1:18" ht="42" customHeight="1">
      <c r="A2" s="247" t="s">
        <v>177</v>
      </c>
      <c r="B2" s="247"/>
      <c r="C2" s="247"/>
      <c r="D2" s="247"/>
      <c r="E2" s="247"/>
      <c r="F2" s="247"/>
      <c r="G2" s="247"/>
      <c r="H2" s="247"/>
      <c r="I2" s="247"/>
      <c r="J2" s="247"/>
      <c r="K2" s="101"/>
      <c r="L2" s="101"/>
      <c r="M2" s="101"/>
      <c r="N2" s="10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1"/>
      <c r="L3" s="101"/>
      <c r="M3" s="101"/>
      <c r="N3" s="101"/>
    </row>
    <row r="4" spans="1:18">
      <c r="A4" s="1" t="s">
        <v>0</v>
      </c>
      <c r="E4" s="108">
        <v>45292</v>
      </c>
      <c r="K4" s="101"/>
      <c r="L4" s="101"/>
      <c r="M4" s="101"/>
      <c r="N4" s="101"/>
    </row>
    <row r="5" spans="1:18">
      <c r="A5" s="1" t="s">
        <v>1</v>
      </c>
      <c r="E5" s="108">
        <v>45657</v>
      </c>
      <c r="K5" s="101"/>
      <c r="L5" s="101"/>
      <c r="M5" s="101"/>
      <c r="N5" s="101"/>
    </row>
    <row r="6" spans="1:18" ht="12" customHeight="1">
      <c r="E6" s="3"/>
      <c r="K6" s="101"/>
      <c r="L6" s="101"/>
      <c r="M6" s="101"/>
      <c r="N6" s="101"/>
    </row>
    <row r="7" spans="1:18">
      <c r="A7" s="11" t="s">
        <v>32</v>
      </c>
      <c r="K7" s="101"/>
      <c r="L7" s="101"/>
      <c r="M7" s="101"/>
      <c r="N7" s="101"/>
    </row>
    <row r="8" spans="1:18" ht="18.75" customHeight="1" outlineLevel="1">
      <c r="A8" s="241" t="s">
        <v>2</v>
      </c>
      <c r="B8" s="242"/>
      <c r="C8" s="242"/>
      <c r="D8" s="242"/>
      <c r="E8" s="242"/>
      <c r="F8" s="242"/>
      <c r="G8" s="242"/>
      <c r="H8" s="242"/>
      <c r="I8" s="243"/>
      <c r="J8" s="17">
        <f t="shared" ref="J8:J24" si="0">VLOOKUP(O8,АО,3,FALSE)</f>
        <v>0</v>
      </c>
      <c r="K8" s="101"/>
      <c r="L8" s="248"/>
      <c r="M8" s="101"/>
      <c r="N8" s="101"/>
      <c r="O8" s="62" t="s">
        <v>80</v>
      </c>
      <c r="R8" s="16"/>
    </row>
    <row r="9" spans="1:18" ht="18.75" customHeight="1" outlineLevel="1">
      <c r="A9" s="241" t="s">
        <v>3</v>
      </c>
      <c r="B9" s="242"/>
      <c r="C9" s="242"/>
      <c r="D9" s="242"/>
      <c r="E9" s="242"/>
      <c r="F9" s="242"/>
      <c r="G9" s="242"/>
      <c r="H9" s="242"/>
      <c r="I9" s="243"/>
      <c r="J9" s="17">
        <f t="shared" si="0"/>
        <v>0</v>
      </c>
      <c r="K9" s="101"/>
      <c r="L9" s="248"/>
      <c r="M9" s="101"/>
      <c r="N9" s="101"/>
      <c r="O9" s="62" t="s">
        <v>81</v>
      </c>
    </row>
    <row r="10" spans="1:18" ht="18.75" customHeight="1" outlineLevel="1">
      <c r="A10" s="241" t="s">
        <v>4</v>
      </c>
      <c r="B10" s="242"/>
      <c r="C10" s="242"/>
      <c r="D10" s="242"/>
      <c r="E10" s="242"/>
      <c r="F10" s="242"/>
      <c r="G10" s="242"/>
      <c r="H10" s="242"/>
      <c r="I10" s="243"/>
      <c r="J10" s="17">
        <f t="shared" si="0"/>
        <v>163647.66</v>
      </c>
      <c r="K10" s="101"/>
      <c r="L10" s="248"/>
      <c r="M10" s="101"/>
      <c r="N10" s="101"/>
      <c r="O10" s="62" t="s">
        <v>82</v>
      </c>
    </row>
    <row r="11" spans="1:18" outlineLevel="1">
      <c r="A11" s="241" t="s">
        <v>5</v>
      </c>
      <c r="B11" s="242"/>
      <c r="C11" s="242"/>
      <c r="D11" s="242"/>
      <c r="E11" s="242"/>
      <c r="F11" s="242"/>
      <c r="G11" s="242"/>
      <c r="H11" s="242"/>
      <c r="I11" s="243"/>
      <c r="J11" s="17">
        <f t="shared" si="0"/>
        <v>4198873.1099999994</v>
      </c>
      <c r="K11" s="101"/>
      <c r="L11" s="248"/>
      <c r="M11" s="101"/>
      <c r="N11" s="101"/>
      <c r="O11" s="62" t="s">
        <v>83</v>
      </c>
    </row>
    <row r="12" spans="1:18" ht="18.75" customHeight="1" outlineLevel="1">
      <c r="A12" s="241" t="s">
        <v>6</v>
      </c>
      <c r="B12" s="242"/>
      <c r="C12" s="242"/>
      <c r="D12" s="242"/>
      <c r="E12" s="242"/>
      <c r="F12" s="242"/>
      <c r="G12" s="242"/>
      <c r="H12" s="242"/>
      <c r="I12" s="243"/>
      <c r="J12" s="17">
        <f t="shared" si="0"/>
        <v>2577923.5299999998</v>
      </c>
      <c r="K12" s="101"/>
      <c r="L12" s="248"/>
      <c r="M12" s="101"/>
      <c r="N12" s="101"/>
      <c r="O12" s="62" t="s">
        <v>84</v>
      </c>
    </row>
    <row r="13" spans="1:18" ht="18.75" customHeight="1" outlineLevel="1">
      <c r="A13" s="241" t="s">
        <v>7</v>
      </c>
      <c r="B13" s="242"/>
      <c r="C13" s="242"/>
      <c r="D13" s="242"/>
      <c r="E13" s="242"/>
      <c r="F13" s="242"/>
      <c r="G13" s="242"/>
      <c r="H13" s="242"/>
      <c r="I13" s="243"/>
      <c r="J13" s="17">
        <f t="shared" si="0"/>
        <v>832110</v>
      </c>
      <c r="K13" s="101"/>
      <c r="L13" s="248"/>
      <c r="M13" s="101"/>
      <c r="N13" s="101"/>
      <c r="O13" s="62" t="s">
        <v>85</v>
      </c>
    </row>
    <row r="14" spans="1:18" ht="18.75" customHeight="1" outlineLevel="1">
      <c r="A14" s="241" t="s">
        <v>8</v>
      </c>
      <c r="B14" s="242"/>
      <c r="C14" s="242"/>
      <c r="D14" s="242"/>
      <c r="E14" s="242"/>
      <c r="F14" s="242"/>
      <c r="G14" s="242"/>
      <c r="H14" s="242"/>
      <c r="I14" s="243"/>
      <c r="J14" s="17">
        <f t="shared" si="0"/>
        <v>788839.58</v>
      </c>
      <c r="K14" s="101"/>
      <c r="L14" s="248"/>
      <c r="M14" s="101"/>
      <c r="N14" s="101"/>
      <c r="O14" s="62" t="s">
        <v>86</v>
      </c>
    </row>
    <row r="15" spans="1:18" ht="18.75" customHeight="1" outlineLevel="1">
      <c r="A15" s="241" t="s">
        <v>9</v>
      </c>
      <c r="B15" s="242"/>
      <c r="C15" s="242"/>
      <c r="D15" s="242"/>
      <c r="E15" s="242"/>
      <c r="F15" s="242"/>
      <c r="G15" s="242"/>
      <c r="H15" s="242"/>
      <c r="I15" s="243"/>
      <c r="J15" s="17">
        <f t="shared" si="0"/>
        <v>4312833.82</v>
      </c>
      <c r="K15" s="101"/>
      <c r="L15" s="248"/>
      <c r="M15" s="101"/>
      <c r="N15" s="101"/>
      <c r="O15" s="62" t="s">
        <v>87</v>
      </c>
    </row>
    <row r="16" spans="1:18" ht="18.75" customHeight="1" outlineLevel="1">
      <c r="A16" s="241" t="s">
        <v>10</v>
      </c>
      <c r="B16" s="242"/>
      <c r="C16" s="242"/>
      <c r="D16" s="242"/>
      <c r="E16" s="242"/>
      <c r="F16" s="242"/>
      <c r="G16" s="242"/>
      <c r="H16" s="242"/>
      <c r="I16" s="243"/>
      <c r="J16" s="17">
        <f t="shared" si="0"/>
        <v>4312833.82</v>
      </c>
      <c r="K16" s="101"/>
      <c r="L16" s="248"/>
      <c r="M16" s="101"/>
      <c r="N16" s="101"/>
      <c r="O16" s="62" t="s">
        <v>88</v>
      </c>
    </row>
    <row r="17" spans="1:23" ht="18.75" customHeight="1" outlineLevel="1">
      <c r="A17" s="241" t="s">
        <v>11</v>
      </c>
      <c r="B17" s="242"/>
      <c r="C17" s="242"/>
      <c r="D17" s="242"/>
      <c r="E17" s="242"/>
      <c r="F17" s="242"/>
      <c r="G17" s="242"/>
      <c r="H17" s="242"/>
      <c r="I17" s="243"/>
      <c r="J17" s="17">
        <f t="shared" si="0"/>
        <v>0</v>
      </c>
      <c r="K17" s="101"/>
      <c r="L17" s="248"/>
      <c r="M17" s="101"/>
      <c r="N17" s="101"/>
      <c r="O17" s="62" t="s">
        <v>89</v>
      </c>
    </row>
    <row r="18" spans="1:23" ht="18.75" customHeight="1" outlineLevel="1">
      <c r="A18" s="241" t="s">
        <v>12</v>
      </c>
      <c r="B18" s="242"/>
      <c r="C18" s="242"/>
      <c r="D18" s="242"/>
      <c r="E18" s="242"/>
      <c r="F18" s="242"/>
      <c r="G18" s="242"/>
      <c r="H18" s="242"/>
      <c r="I18" s="243"/>
      <c r="J18" s="17">
        <f t="shared" si="0"/>
        <v>0</v>
      </c>
      <c r="K18" s="101"/>
      <c r="L18" s="248"/>
      <c r="M18" s="101"/>
      <c r="N18" s="101"/>
      <c r="O18" s="62" t="s">
        <v>90</v>
      </c>
    </row>
    <row r="19" spans="1:23" ht="18.75" customHeight="1" outlineLevel="1">
      <c r="A19" s="241" t="s">
        <v>13</v>
      </c>
      <c r="B19" s="242"/>
      <c r="C19" s="242"/>
      <c r="D19" s="242"/>
      <c r="E19" s="242"/>
      <c r="F19" s="242"/>
      <c r="G19" s="242"/>
      <c r="H19" s="242"/>
      <c r="I19" s="243"/>
      <c r="J19" s="17">
        <f t="shared" si="0"/>
        <v>0</v>
      </c>
      <c r="K19" s="101"/>
      <c r="L19" s="248"/>
      <c r="M19" s="101"/>
      <c r="N19" s="101"/>
      <c r="O19" s="62" t="s">
        <v>91</v>
      </c>
    </row>
    <row r="20" spans="1:23" ht="18.75" customHeight="1" outlineLevel="1">
      <c r="A20" s="241" t="s">
        <v>14</v>
      </c>
      <c r="B20" s="242"/>
      <c r="C20" s="242"/>
      <c r="D20" s="242"/>
      <c r="E20" s="242"/>
      <c r="F20" s="242"/>
      <c r="G20" s="242"/>
      <c r="H20" s="242"/>
      <c r="I20" s="243"/>
      <c r="J20" s="17">
        <f t="shared" si="0"/>
        <v>0</v>
      </c>
      <c r="K20" s="101"/>
      <c r="L20" s="248"/>
      <c r="M20" s="101"/>
      <c r="N20" s="101"/>
      <c r="O20" s="62" t="s">
        <v>92</v>
      </c>
    </row>
    <row r="21" spans="1:23" ht="18.75" customHeight="1" outlineLevel="1">
      <c r="A21" s="241" t="s">
        <v>15</v>
      </c>
      <c r="B21" s="242"/>
      <c r="C21" s="242"/>
      <c r="D21" s="242"/>
      <c r="E21" s="242"/>
      <c r="F21" s="242"/>
      <c r="G21" s="242"/>
      <c r="H21" s="242"/>
      <c r="I21" s="243"/>
      <c r="J21" s="17">
        <f t="shared" si="0"/>
        <v>4312833.82</v>
      </c>
      <c r="K21" s="101"/>
      <c r="L21" s="248"/>
      <c r="M21" s="101"/>
      <c r="N21" s="101"/>
      <c r="O21" s="62" t="s">
        <v>93</v>
      </c>
    </row>
    <row r="22" spans="1:23" ht="18.75" customHeight="1" outlineLevel="1">
      <c r="A22" s="241" t="s">
        <v>16</v>
      </c>
      <c r="B22" s="242"/>
      <c r="C22" s="242"/>
      <c r="D22" s="242"/>
      <c r="E22" s="242"/>
      <c r="F22" s="242"/>
      <c r="G22" s="242"/>
      <c r="H22" s="242"/>
      <c r="I22" s="243"/>
      <c r="J22" s="17">
        <f t="shared" si="0"/>
        <v>0</v>
      </c>
      <c r="K22" s="101"/>
      <c r="L22" s="248"/>
      <c r="M22" s="101"/>
      <c r="N22" s="101"/>
      <c r="O22" s="62" t="s">
        <v>94</v>
      </c>
    </row>
    <row r="23" spans="1:23" ht="18.75" customHeight="1" outlineLevel="1">
      <c r="A23" s="241" t="s">
        <v>17</v>
      </c>
      <c r="B23" s="242"/>
      <c r="C23" s="242"/>
      <c r="D23" s="242"/>
      <c r="E23" s="242"/>
      <c r="F23" s="242"/>
      <c r="G23" s="242"/>
      <c r="H23" s="242"/>
      <c r="I23" s="243"/>
      <c r="J23" s="17">
        <f t="shared" si="0"/>
        <v>0</v>
      </c>
      <c r="K23" s="101"/>
      <c r="L23" s="248"/>
      <c r="M23" s="101"/>
      <c r="N23" s="101"/>
      <c r="O23" s="62" t="s">
        <v>95</v>
      </c>
    </row>
    <row r="24" spans="1:23" ht="18.75" customHeight="1" outlineLevel="1">
      <c r="A24" s="241" t="s">
        <v>18</v>
      </c>
      <c r="B24" s="242"/>
      <c r="C24" s="242"/>
      <c r="D24" s="242"/>
      <c r="E24" s="242"/>
      <c r="F24" s="242"/>
      <c r="G24" s="242"/>
      <c r="H24" s="242"/>
      <c r="I24" s="243"/>
      <c r="J24" s="17">
        <f t="shared" si="0"/>
        <v>49686.949999999255</v>
      </c>
      <c r="K24" s="101"/>
      <c r="L24" s="248"/>
      <c r="M24" s="101"/>
      <c r="N24" s="101"/>
      <c r="O24" s="62" t="s">
        <v>96</v>
      </c>
    </row>
    <row r="25" spans="1:23">
      <c r="A25" s="4"/>
      <c r="K25" s="101"/>
      <c r="L25" s="101"/>
      <c r="M25" s="101"/>
      <c r="N25" s="101"/>
    </row>
    <row r="26" spans="1:23">
      <c r="A26" s="11" t="s">
        <v>31</v>
      </c>
      <c r="K26" s="101"/>
      <c r="L26" s="101"/>
      <c r="M26" s="101"/>
      <c r="N26" s="101"/>
    </row>
    <row r="27" spans="1:23" ht="92.25" customHeight="1" outlineLevel="1">
      <c r="A27" s="240" t="s">
        <v>19</v>
      </c>
      <c r="B27" s="240"/>
      <c r="C27" s="240"/>
      <c r="D27" s="240"/>
      <c r="E27" s="240"/>
      <c r="F27" s="240" t="s">
        <v>20</v>
      </c>
      <c r="G27" s="240"/>
      <c r="H27" s="5" t="s">
        <v>56</v>
      </c>
      <c r="I27" s="240" t="s">
        <v>21</v>
      </c>
      <c r="J27" s="240"/>
      <c r="K27" s="101"/>
      <c r="L27" s="249"/>
      <c r="M27" s="101"/>
      <c r="N27" s="101"/>
      <c r="W27" s="1" t="e">
        <f>INDEX(ПТО!$A$44:$B$58,SMALL(IF(ПТО!$L$44=ПТО!L44:L58,ROW(ПТО!$A$44:$B$58)-32,""),ROW()-27))</f>
        <v>#VALUE!</v>
      </c>
    </row>
    <row r="28" spans="1:23" ht="43.5" customHeight="1" outlineLevel="1">
      <c r="A28" s="231" t="str">
        <f>ПТО!A44</f>
        <v>Работы, выполняемые для надлежащего содержания внутридомовых инженерных систем и конструктивных элементов дома</v>
      </c>
      <c r="B28" s="231"/>
      <c r="C28" s="231"/>
      <c r="D28" s="231"/>
      <c r="E28" s="231"/>
      <c r="F28" s="229">
        <f>VLOOKUP(A28,ПТО!$A$44:$D$58,2,FALSE)</f>
        <v>822124.68</v>
      </c>
      <c r="G28" s="229"/>
      <c r="H28" s="6" t="str">
        <f>VLOOKUP(A28,ПТО!$A$44:$D$58,3,FALSE)</f>
        <v>Ежемесячно</v>
      </c>
      <c r="I28" s="230">
        <f>VLOOKUP(A28,ПТО!$A$44:$D$58,4,FALSE)</f>
        <v>12</v>
      </c>
      <c r="J28" s="230"/>
      <c r="K28" s="101"/>
      <c r="L28" s="249"/>
      <c r="M28" s="101"/>
      <c r="N28" s="101"/>
      <c r="O28" s="23" t="str">
        <f t="shared" ref="O28:O77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31" t="str">
        <f>ПТО!A45</f>
        <v>Работы по содержанию лифта (лифтов)</v>
      </c>
      <c r="B29" s="231"/>
      <c r="C29" s="231"/>
      <c r="D29" s="231"/>
      <c r="E29" s="231"/>
      <c r="F29" s="229">
        <f>VLOOKUP(A29,ПТО!$A$44:$D$58,2,FALSE)</f>
        <v>299559.60000000003</v>
      </c>
      <c r="G29" s="229"/>
      <c r="H29" s="35" t="str">
        <f>VLOOKUP(A29,ПТО!$A$44:$D$58,3,FALSE)</f>
        <v>Ежемесячно</v>
      </c>
      <c r="I29" s="230">
        <f>VLOOKUP(A29,ПТО!$A$44:$D$58,4,FALSE)</f>
        <v>12</v>
      </c>
      <c r="J29" s="230"/>
      <c r="K29" s="101"/>
      <c r="L29" s="249"/>
      <c r="M29" s="101"/>
      <c r="N29" s="101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31" t="str">
        <f>ПТО!A46</f>
        <v xml:space="preserve">Работы по содержанию земельного участка </v>
      </c>
      <c r="B30" s="231"/>
      <c r="C30" s="231"/>
      <c r="D30" s="231"/>
      <c r="E30" s="231"/>
      <c r="F30" s="229">
        <f>VLOOKUP(A30,ПТО!$A$44:$D$58,2,FALSE)</f>
        <v>341165.1</v>
      </c>
      <c r="G30" s="229"/>
      <c r="H30" s="35" t="str">
        <f>VLOOKUP(A30,ПТО!$A$44:$D$58,3,FALSE)</f>
        <v>В соответствии с графиком</v>
      </c>
      <c r="I30" s="230">
        <f>VLOOKUP(A30,ПТО!$A$44:$D$58,4,FALSE)</f>
        <v>12</v>
      </c>
      <c r="J30" s="230"/>
      <c r="K30" s="101"/>
      <c r="L30" s="249"/>
      <c r="M30" s="101"/>
      <c r="N30" s="101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31" t="str">
        <f>ПТО!A47</f>
        <v>Работы, выполняемые для надлежащего содержания электрооборудования дома</v>
      </c>
      <c r="B31" s="231"/>
      <c r="C31" s="231"/>
      <c r="D31" s="231"/>
      <c r="E31" s="231"/>
      <c r="F31" s="229">
        <f>VLOOKUP(A31,ПТО!$A$44:$D$58,2,FALSE)</f>
        <v>196377.96</v>
      </c>
      <c r="G31" s="229"/>
      <c r="H31" s="35" t="str">
        <f>VLOOKUP(A31,ПТО!$A$44:$D$58,3,FALSE)</f>
        <v>Ежемесячно</v>
      </c>
      <c r="I31" s="230">
        <f>VLOOKUP(A31,ПТО!$A$44:$D$58,4,FALSE)</f>
        <v>12</v>
      </c>
      <c r="J31" s="230"/>
      <c r="K31" s="101"/>
      <c r="L31" s="249"/>
      <c r="M31" s="101"/>
      <c r="N31" s="101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231">
        <f>ПТО!A48</f>
        <v>0</v>
      </c>
      <c r="B32" s="231"/>
      <c r="C32" s="231"/>
      <c r="D32" s="231"/>
      <c r="E32" s="231"/>
      <c r="F32" s="229" t="e">
        <f>VLOOKUP(A32,ПТО!$A$44:$D$58,2,FALSE)</f>
        <v>#N/A</v>
      </c>
      <c r="G32" s="229"/>
      <c r="H32" s="35" t="e">
        <f>VLOOKUP(A32,ПТО!$A$44:$D$58,3,FALSE)</f>
        <v>#N/A</v>
      </c>
      <c r="I32" s="230" t="e">
        <f>VLOOKUP(A32,ПТО!$A$44:$D$58,4,FALSE)</f>
        <v>#N/A</v>
      </c>
      <c r="J32" s="230"/>
      <c r="K32" s="101"/>
      <c r="L32" s="249"/>
      <c r="M32" s="101"/>
      <c r="N32" s="101"/>
      <c r="O32" s="23">
        <f t="shared" si="1"/>
        <v>0</v>
      </c>
      <c r="R32" s="1" t="s">
        <v>70</v>
      </c>
    </row>
    <row r="33" spans="1:18" ht="42" customHeight="1" outlineLevel="1">
      <c r="A33" s="231" t="str">
        <f>ПТО!A49</f>
        <v>Обеспечение устранения аварий на внутридомовых инженерных системах в многоквартирном доме</v>
      </c>
      <c r="B33" s="231"/>
      <c r="C33" s="231"/>
      <c r="D33" s="231"/>
      <c r="E33" s="231"/>
      <c r="F33" s="229">
        <f>VLOOKUP(A33,ПТО!$A$44:$D$58,2,FALSE)</f>
        <v>83211</v>
      </c>
      <c r="G33" s="229"/>
      <c r="H33" s="35" t="str">
        <f>VLOOKUP(A33,ПТО!$A$44:$D$58,3,FALSE)</f>
        <v>Круглосуточно</v>
      </c>
      <c r="I33" s="230">
        <f>VLOOKUP(A33,ПТО!$A$44:$D$58,4,FALSE)</f>
        <v>12</v>
      </c>
      <c r="J33" s="230"/>
      <c r="K33" s="101"/>
      <c r="L33" s="249"/>
      <c r="M33" s="101"/>
      <c r="N33" s="10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31" t="str">
        <f>ПТО!A50</f>
        <v>Работы по содержанию помещений, входящих в состав общего имущества в многоквартирном доме</v>
      </c>
      <c r="B34" s="231"/>
      <c r="C34" s="231"/>
      <c r="D34" s="231"/>
      <c r="E34" s="231"/>
      <c r="F34" s="229">
        <f>VLOOKUP(A34,ПТО!$A$44:$D$58,2,FALSE)</f>
        <v>416055</v>
      </c>
      <c r="G34" s="229"/>
      <c r="H34" s="35" t="str">
        <f>VLOOKUP(A34,ПТО!$A$44:$D$58,3,FALSE)</f>
        <v>В соответствии с графиком</v>
      </c>
      <c r="I34" s="230">
        <f>VLOOKUP(A34,ПТО!$A$44:$D$58,4,FALSE)</f>
        <v>12</v>
      </c>
      <c r="J34" s="230"/>
      <c r="K34" s="101"/>
      <c r="L34" s="249"/>
      <c r="M34" s="101"/>
      <c r="N34" s="10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31">
        <f>ПТО!A51</f>
        <v>0</v>
      </c>
      <c r="B35" s="231"/>
      <c r="C35" s="231"/>
      <c r="D35" s="231"/>
      <c r="E35" s="231"/>
      <c r="F35" s="229" t="e">
        <f>VLOOKUP(A35,ПТО!$A$44:$D$58,2,FALSE)</f>
        <v>#N/A</v>
      </c>
      <c r="G35" s="229"/>
      <c r="H35" s="35" t="e">
        <f>VLOOKUP(A35,ПТО!$A$44:$D$58,3,FALSE)</f>
        <v>#N/A</v>
      </c>
      <c r="I35" s="230" t="e">
        <f>VLOOKUP(A35,ПТО!$A$44:$D$58,4,FALSE)</f>
        <v>#N/A</v>
      </c>
      <c r="J35" s="230"/>
      <c r="K35" s="101"/>
      <c r="L35" s="249"/>
      <c r="M35" s="107"/>
      <c r="N35" s="101"/>
      <c r="O35" s="23">
        <f t="shared" si="1"/>
        <v>0</v>
      </c>
      <c r="R35" s="1" t="s">
        <v>70</v>
      </c>
    </row>
    <row r="36" spans="1:18" ht="51" customHeight="1" outlineLevel="1">
      <c r="A36" s="231" t="str">
        <f>ПТО!A52</f>
        <v>Работы по обеспечению пожарной безопасности</v>
      </c>
      <c r="B36" s="231"/>
      <c r="C36" s="231"/>
      <c r="D36" s="231"/>
      <c r="E36" s="231"/>
      <c r="F36" s="229">
        <f>VLOOKUP(A36,ПТО!$A$44:$D$58,2,FALSE)</f>
        <v>174743.1</v>
      </c>
      <c r="G36" s="229"/>
      <c r="H36" s="35" t="str">
        <f>VLOOKUP(A36,ПТО!$A$44:$D$58,3,FALSE)</f>
        <v>Ежемесячно</v>
      </c>
      <c r="I36" s="230">
        <f>VLOOKUP(A36,ПТО!$A$44:$D$58,4,FALSE)</f>
        <v>12</v>
      </c>
      <c r="J36" s="230"/>
      <c r="K36" s="101"/>
      <c r="L36" s="249"/>
      <c r="M36" s="107"/>
      <c r="N36" s="101"/>
      <c r="O36" s="23" t="str">
        <f t="shared" si="1"/>
        <v>Работы по обеспечению пожарной безопасности</v>
      </c>
      <c r="R36" s="1" t="s">
        <v>70</v>
      </c>
    </row>
    <row r="37" spans="1:18" ht="51" hidden="1" customHeight="1" outlineLevel="1">
      <c r="A37" s="231">
        <f>ПТО!A53</f>
        <v>0</v>
      </c>
      <c r="B37" s="231"/>
      <c r="C37" s="231"/>
      <c r="D37" s="231"/>
      <c r="E37" s="231"/>
      <c r="F37" s="229" t="e">
        <f>VLOOKUP(A37,ПТО!$A$44:$D$58,2,FALSE)</f>
        <v>#N/A</v>
      </c>
      <c r="G37" s="229"/>
      <c r="H37" s="35" t="e">
        <f>VLOOKUP(A37,ПТО!$A$44:$D$58,3,FALSE)</f>
        <v>#N/A</v>
      </c>
      <c r="I37" s="230" t="e">
        <f>VLOOKUP(A37,ПТО!$A$44:$D$58,4,FALSE)</f>
        <v>#N/A</v>
      </c>
      <c r="J37" s="230"/>
      <c r="K37" s="101"/>
      <c r="L37" s="249"/>
      <c r="M37" s="107"/>
      <c r="N37" s="101"/>
      <c r="O37" s="23">
        <f t="shared" si="1"/>
        <v>0</v>
      </c>
      <c r="R37" s="1" t="s">
        <v>70</v>
      </c>
    </row>
    <row r="38" spans="1:18" ht="51" hidden="1" customHeight="1" outlineLevel="1">
      <c r="A38" s="231">
        <f>ПТО!A54</f>
        <v>0</v>
      </c>
      <c r="B38" s="231"/>
      <c r="C38" s="231"/>
      <c r="D38" s="231"/>
      <c r="E38" s="231"/>
      <c r="F38" s="229" t="e">
        <f>VLOOKUP(A38,ПТО!$A$44:$D$58,2,FALSE)</f>
        <v>#N/A</v>
      </c>
      <c r="G38" s="229"/>
      <c r="H38" s="35" t="e">
        <f>VLOOKUP(A38,ПТО!$A$44:$D$58,3,FALSE)</f>
        <v>#N/A</v>
      </c>
      <c r="I38" s="230" t="e">
        <f>VLOOKUP(A38,ПТО!$A$44:$D$58,4,FALSE)</f>
        <v>#N/A</v>
      </c>
      <c r="J38" s="230"/>
      <c r="K38" s="101"/>
      <c r="L38" s="249"/>
      <c r="M38" s="107"/>
      <c r="N38" s="101"/>
      <c r="O38" s="23">
        <f t="shared" si="1"/>
        <v>0</v>
      </c>
      <c r="R38" s="1" t="s">
        <v>70</v>
      </c>
    </row>
    <row r="39" spans="1:18" ht="51" hidden="1" customHeight="1" outlineLevel="1">
      <c r="A39" s="231">
        <f>ПТО!A55</f>
        <v>0</v>
      </c>
      <c r="B39" s="231"/>
      <c r="C39" s="231"/>
      <c r="D39" s="231"/>
      <c r="E39" s="231"/>
      <c r="F39" s="229" t="e">
        <f>VLOOKUP(A39,ПТО!$A$44:$D$58,2,FALSE)</f>
        <v>#N/A</v>
      </c>
      <c r="G39" s="229"/>
      <c r="H39" s="35" t="e">
        <f>VLOOKUP(A39,ПТО!$A$44:$D$58,3,FALSE)</f>
        <v>#N/A</v>
      </c>
      <c r="I39" s="230" t="e">
        <f>VLOOKUP(A39,ПТО!$A$44:$D$58,4,FALSE)</f>
        <v>#N/A</v>
      </c>
      <c r="J39" s="230"/>
      <c r="K39" s="101"/>
      <c r="L39" s="249"/>
      <c r="M39" s="107"/>
      <c r="N39" s="101"/>
      <c r="O39" s="23">
        <f t="shared" si="1"/>
        <v>0</v>
      </c>
      <c r="R39" s="1" t="s">
        <v>70</v>
      </c>
    </row>
    <row r="40" spans="1:18" ht="51" hidden="1" customHeight="1" outlineLevel="1">
      <c r="A40" s="231">
        <f>ПТО!A56</f>
        <v>0</v>
      </c>
      <c r="B40" s="231"/>
      <c r="C40" s="231"/>
      <c r="D40" s="231"/>
      <c r="E40" s="231"/>
      <c r="F40" s="229" t="e">
        <f>VLOOKUP(A40,ПТО!$A$44:$D$58,2,FALSE)</f>
        <v>#N/A</v>
      </c>
      <c r="G40" s="229"/>
      <c r="H40" s="35" t="e">
        <f>VLOOKUP(A40,ПТО!$A$44:$D$58,3,FALSE)</f>
        <v>#N/A</v>
      </c>
      <c r="I40" s="230" t="e">
        <f>VLOOKUP(A40,ПТО!$A$44:$D$58,4,FALSE)</f>
        <v>#N/A</v>
      </c>
      <c r="J40" s="230"/>
      <c r="K40" s="101"/>
      <c r="L40" s="249"/>
      <c r="M40" s="107"/>
      <c r="N40" s="101"/>
      <c r="O40" s="23">
        <f t="shared" si="1"/>
        <v>0</v>
      </c>
      <c r="R40" s="1" t="s">
        <v>70</v>
      </c>
    </row>
    <row r="41" spans="1:18" ht="51" hidden="1" customHeight="1" outlineLevel="1">
      <c r="A41" s="231">
        <f>ПТО!A57</f>
        <v>0</v>
      </c>
      <c r="B41" s="231"/>
      <c r="C41" s="231"/>
      <c r="D41" s="231"/>
      <c r="E41" s="231"/>
      <c r="F41" s="229" t="e">
        <f>VLOOKUP(A41,ПТО!$A$44:$D$58,2,FALSE)</f>
        <v>#N/A</v>
      </c>
      <c r="G41" s="229"/>
      <c r="H41" s="35" t="e">
        <f>VLOOKUP(A41,ПТО!$A$44:$D$58,3,FALSE)</f>
        <v>#N/A</v>
      </c>
      <c r="I41" s="230" t="e">
        <f>VLOOKUP(A41,ПТО!$A$44:$D$58,4,FALSE)</f>
        <v>#N/A</v>
      </c>
      <c r="J41" s="230"/>
      <c r="K41" s="101"/>
      <c r="L41" s="249"/>
      <c r="M41" s="107"/>
      <c r="N41" s="101"/>
      <c r="O41" s="23">
        <f t="shared" si="1"/>
        <v>0</v>
      </c>
      <c r="R41" s="1" t="s">
        <v>70</v>
      </c>
    </row>
    <row r="42" spans="1:18" ht="51" hidden="1" customHeight="1" outlineLevel="1">
      <c r="A42" s="231">
        <f>ПТО!A58</f>
        <v>0</v>
      </c>
      <c r="B42" s="231"/>
      <c r="C42" s="231"/>
      <c r="D42" s="231"/>
      <c r="E42" s="231"/>
      <c r="F42" s="229" t="e">
        <f>VLOOKUP(A42,ПТО!$A$44:$D$58,2,FALSE)</f>
        <v>#N/A</v>
      </c>
      <c r="G42" s="229"/>
      <c r="H42" s="35" t="e">
        <f>VLOOKUP(A42,ПТО!$A$44:$D$58,3,FALSE)</f>
        <v>#N/A</v>
      </c>
      <c r="I42" s="230" t="e">
        <f>VLOOKUP(A42,ПТО!$A$44:$D$58,4,FALSE)</f>
        <v>#N/A</v>
      </c>
      <c r="J42" s="230"/>
      <c r="K42" s="101"/>
      <c r="L42" s="249"/>
      <c r="M42" s="107"/>
      <c r="N42" s="101"/>
      <c r="O42" s="23">
        <f t="shared" si="1"/>
        <v>0</v>
      </c>
      <c r="R42" s="1" t="s">
        <v>70</v>
      </c>
    </row>
    <row r="43" spans="1:18" ht="51" customHeight="1" outlineLevel="1">
      <c r="A43" s="231" t="str">
        <f>ПТО!A2</f>
        <v>Техническое обслуживание охранной сигнализации.</v>
      </c>
      <c r="B43" s="231"/>
      <c r="C43" s="231"/>
      <c r="D43" s="231"/>
      <c r="E43" s="231"/>
      <c r="F43" s="229">
        <f>VLOOKUP(A43,ПТО!$A$2:$D$42,4,FALSE)</f>
        <v>25360</v>
      </c>
      <c r="G43" s="229"/>
      <c r="H43" s="19" t="str">
        <f>VLOOKUP(A43,ПТО!$A$2:$D$37,2,FALSE)</f>
        <v>ежемесячно</v>
      </c>
      <c r="I43" s="230">
        <f>VLOOKUP(A43,ПТО!$A$2:$D$37,3,FALSE)</f>
        <v>12</v>
      </c>
      <c r="J43" s="230"/>
      <c r="K43" s="101"/>
      <c r="L43" s="249"/>
      <c r="M43" s="107"/>
      <c r="N43" s="101"/>
      <c r="O43" s="23" t="str">
        <f t="shared" si="1"/>
        <v>Техническое обслуживание охранной сигнализации.</v>
      </c>
      <c r="R43" s="22" t="s">
        <v>71</v>
      </c>
    </row>
    <row r="44" spans="1:18" ht="51" customHeight="1" outlineLevel="1">
      <c r="A44" s="231" t="str">
        <f>ПТО!A3</f>
        <v>Техническое обслуживание системы видеонаблюдения.</v>
      </c>
      <c r="B44" s="231"/>
      <c r="C44" s="231"/>
      <c r="D44" s="231"/>
      <c r="E44" s="231"/>
      <c r="F44" s="229">
        <f>VLOOKUP(A44,ПТО!$A$2:$D$42,4,FALSE)</f>
        <v>6440</v>
      </c>
      <c r="G44" s="229"/>
      <c r="H44" s="132" t="str">
        <f>VLOOKUP(A44,ПТО!$A$2:$D$37,2,FALSE)</f>
        <v>ежемесячно</v>
      </c>
      <c r="I44" s="230">
        <f>VLOOKUP(A44,ПТО!$A$2:$D$37,3,FALSE)</f>
        <v>1</v>
      </c>
      <c r="J44" s="230"/>
      <c r="K44" s="101"/>
      <c r="L44" s="249"/>
      <c r="M44" s="107"/>
      <c r="N44" s="101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231" t="str">
        <f>ПТО!A4</f>
        <v>Техническое обслуживание системы контроля затопления подвальных помещений (1-2 квартал).</v>
      </c>
      <c r="B45" s="231"/>
      <c r="C45" s="231"/>
      <c r="D45" s="231"/>
      <c r="E45" s="231"/>
      <c r="F45" s="229">
        <f>VLOOKUP(A45,ПТО!$A$2:$D$42,4,FALSE)</f>
        <v>3600</v>
      </c>
      <c r="G45" s="229"/>
      <c r="H45" s="132" t="str">
        <f>VLOOKUP(A45,ПТО!$A$2:$D$37,2,FALSE)</f>
        <v>ежемесячно</v>
      </c>
      <c r="I45" s="230">
        <f>VLOOKUP(A45,ПТО!$A$2:$D$37,3,FALSE)</f>
        <v>6</v>
      </c>
      <c r="J45" s="230"/>
      <c r="K45" s="101"/>
      <c r="L45" s="249"/>
      <c r="M45" s="107"/>
      <c r="N45" s="101"/>
      <c r="O45" s="23" t="str">
        <f t="shared" si="1"/>
        <v>Техническое обслуживание системы контроля затопления подвальных помещений (1-2 квартал).</v>
      </c>
      <c r="R45" s="22" t="s">
        <v>71</v>
      </c>
    </row>
    <row r="46" spans="1:18" ht="51" customHeight="1" outlineLevel="1">
      <c r="A46" s="231" t="str">
        <f>ПТО!A5</f>
        <v>Техническое обслуживание системы контроля затопления подвальных помещений (3-4 квартал).</v>
      </c>
      <c r="B46" s="231"/>
      <c r="C46" s="231"/>
      <c r="D46" s="231"/>
      <c r="E46" s="231"/>
      <c r="F46" s="229">
        <f>VLOOKUP(A46,ПТО!$A$2:$D$42,4,FALSE)</f>
        <v>3600</v>
      </c>
      <c r="G46" s="229"/>
      <c r="H46" s="132" t="str">
        <f>VLOOKUP(A46,ПТО!$A$2:$D$37,2,FALSE)</f>
        <v>ежемесячно</v>
      </c>
      <c r="I46" s="230">
        <f>VLOOKUP(A46,ПТО!$A$2:$D$37,3,FALSE)</f>
        <v>6</v>
      </c>
      <c r="J46" s="230"/>
      <c r="K46" s="101"/>
      <c r="L46" s="249"/>
      <c r="M46" s="107"/>
      <c r="N46" s="101"/>
      <c r="O46" s="23" t="str">
        <f t="shared" si="1"/>
        <v>Техническое обслуживание системы контроля затопления подвальных помещений (3-4 квартал).</v>
      </c>
      <c r="R46" s="22" t="s">
        <v>71</v>
      </c>
    </row>
    <row r="47" spans="1:18" ht="51" customHeight="1" outlineLevel="1">
      <c r="A47" s="231" t="str">
        <f>ПТО!A6</f>
        <v>Механизированная уборка и вывоз снега с придомовой территории.</v>
      </c>
      <c r="B47" s="231"/>
      <c r="C47" s="231"/>
      <c r="D47" s="231"/>
      <c r="E47" s="231"/>
      <c r="F47" s="229">
        <f>VLOOKUP(A47,ПТО!$A$2:$D$42,4,FALSE)</f>
        <v>79200</v>
      </c>
      <c r="G47" s="229"/>
      <c r="H47" s="132" t="str">
        <f>VLOOKUP(A47,ПТО!$A$2:$D$37,2,FALSE)</f>
        <v>разово</v>
      </c>
      <c r="I47" s="230">
        <f>VLOOKUP(A47,ПТО!$A$2:$D$37,3,FALSE)</f>
        <v>1</v>
      </c>
      <c r="J47" s="230"/>
      <c r="K47" s="101"/>
      <c r="L47" s="249"/>
      <c r="M47" s="107"/>
      <c r="N47" s="101"/>
      <c r="O47" s="23" t="str">
        <f t="shared" si="1"/>
        <v>Механизированная уборка и вывоз снега с придомовой территории.</v>
      </c>
      <c r="R47" s="22" t="s">
        <v>71</v>
      </c>
    </row>
    <row r="48" spans="1:18" ht="51" customHeight="1" outlineLevel="1">
      <c r="A48" s="231" t="str">
        <f>ПТО!A7</f>
        <v>Сварочные работы на стояке ГВС (кв. №352).</v>
      </c>
      <c r="B48" s="231"/>
      <c r="C48" s="231"/>
      <c r="D48" s="231"/>
      <c r="E48" s="231"/>
      <c r="F48" s="229">
        <f>VLOOKUP(A48,ПТО!$A$2:$D$42,4,FALSE)</f>
        <v>3600</v>
      </c>
      <c r="G48" s="229"/>
      <c r="H48" s="132" t="str">
        <f>VLOOKUP(A48,ПТО!$A$2:$D$37,2,FALSE)</f>
        <v>разово</v>
      </c>
      <c r="I48" s="230">
        <f>VLOOKUP(A48,ПТО!$A$2:$D$37,3,FALSE)</f>
        <v>1</v>
      </c>
      <c r="J48" s="230"/>
      <c r="K48" s="101"/>
      <c r="L48" s="249"/>
      <c r="M48" s="107"/>
      <c r="N48" s="101"/>
      <c r="O48" s="23" t="str">
        <f t="shared" si="1"/>
        <v>Сварочные работы на стояке ГВС (кв. №352).</v>
      </c>
      <c r="R48" s="22" t="s">
        <v>71</v>
      </c>
    </row>
    <row r="49" spans="1:18" ht="51" customHeight="1" outlineLevel="1">
      <c r="A49" s="231" t="str">
        <f>ПТО!A8</f>
        <v>Диагностика насосной станции холодного водоснабжения.</v>
      </c>
      <c r="B49" s="231"/>
      <c r="C49" s="231"/>
      <c r="D49" s="231"/>
      <c r="E49" s="231"/>
      <c r="F49" s="229">
        <f>VLOOKUP(A49,ПТО!$A$2:$D$42,4,FALSE)</f>
        <v>3250</v>
      </c>
      <c r="G49" s="229"/>
      <c r="H49" s="132" t="str">
        <f>VLOOKUP(A49,ПТО!$A$2:$D$37,2,FALSE)</f>
        <v>разово</v>
      </c>
      <c r="I49" s="230">
        <f>VLOOKUP(A49,ПТО!$A$2:$D$37,3,FALSE)</f>
        <v>1</v>
      </c>
      <c r="J49" s="230"/>
      <c r="K49" s="101"/>
      <c r="L49" s="249"/>
      <c r="M49" s="107"/>
      <c r="N49" s="101"/>
      <c r="O49" s="23" t="str">
        <f t="shared" si="1"/>
        <v>Диагностика насосной станции холодного водоснабжения.</v>
      </c>
      <c r="R49" s="22" t="s">
        <v>71</v>
      </c>
    </row>
    <row r="50" spans="1:18" ht="51" customHeight="1" outlineLevel="1">
      <c r="A50" s="231" t="str">
        <f>ПТО!A9</f>
        <v>Диагностика и ремонт системы видеонаблюдения, приобретение блока питания.</v>
      </c>
      <c r="B50" s="231"/>
      <c r="C50" s="231"/>
      <c r="D50" s="231"/>
      <c r="E50" s="231"/>
      <c r="F50" s="229">
        <f>VLOOKUP(A50,ПТО!$A$2:$D$42,4,FALSE)</f>
        <v>4300</v>
      </c>
      <c r="G50" s="229"/>
      <c r="H50" s="132" t="str">
        <f>VLOOKUP(A50,ПТО!$A$2:$D$37,2,FALSE)</f>
        <v>разово</v>
      </c>
      <c r="I50" s="230">
        <f>VLOOKUP(A50,ПТО!$A$2:$D$37,3,FALSE)</f>
        <v>1</v>
      </c>
      <c r="J50" s="230"/>
      <c r="K50" s="101"/>
      <c r="L50" s="249"/>
      <c r="M50" s="107"/>
      <c r="N50" s="101"/>
      <c r="O50" s="23" t="str">
        <f t="shared" si="1"/>
        <v>Диагностика и ремонт системы видеонаблюдения, приобретение блока питания.</v>
      </c>
      <c r="R50" s="22" t="s">
        <v>71</v>
      </c>
    </row>
    <row r="51" spans="1:18" ht="51" customHeight="1" outlineLevel="1">
      <c r="A51" s="231" t="str">
        <f>ПТО!A10</f>
        <v>Ремонт насосной станции ХВС (замена торцевого уплотнителя насоса).</v>
      </c>
      <c r="B51" s="231"/>
      <c r="C51" s="231"/>
      <c r="D51" s="231"/>
      <c r="E51" s="231"/>
      <c r="F51" s="229">
        <f>VLOOKUP(A51,ПТО!$A$2:$D$42,4,FALSE)</f>
        <v>16170</v>
      </c>
      <c r="G51" s="229"/>
      <c r="H51" s="132" t="str">
        <f>VLOOKUP(A51,ПТО!$A$2:$D$37,2,FALSE)</f>
        <v>разово</v>
      </c>
      <c r="I51" s="230">
        <f>VLOOKUP(A51,ПТО!$A$2:$D$37,3,FALSE)</f>
        <v>1</v>
      </c>
      <c r="J51" s="230"/>
      <c r="K51" s="101"/>
      <c r="L51" s="249"/>
      <c r="M51" s="107"/>
      <c r="N51" s="101"/>
      <c r="O51" s="23" t="str">
        <f t="shared" si="1"/>
        <v>Ремонт насосной станции ХВС (замена торцевого уплотнителя насоса).</v>
      </c>
      <c r="R51" s="22" t="s">
        <v>71</v>
      </c>
    </row>
    <row r="52" spans="1:18" ht="51" customHeight="1" outlineLevel="1">
      <c r="A52" s="231" t="str">
        <f>ПТО!A11</f>
        <v>Сварочные работы на стояке ГВС (кв. №359).</v>
      </c>
      <c r="B52" s="231"/>
      <c r="C52" s="231"/>
      <c r="D52" s="231"/>
      <c r="E52" s="231"/>
      <c r="F52" s="229">
        <f>VLOOKUP(A52,ПТО!$A$2:$D$42,4,FALSE)</f>
        <v>5400</v>
      </c>
      <c r="G52" s="229"/>
      <c r="H52" s="132" t="str">
        <f>VLOOKUP(A52,ПТО!$A$2:$D$37,2,FALSE)</f>
        <v>разово</v>
      </c>
      <c r="I52" s="230">
        <f>VLOOKUP(A52,ПТО!$A$2:$D$37,3,FALSE)</f>
        <v>1</v>
      </c>
      <c r="J52" s="230"/>
      <c r="K52" s="101"/>
      <c r="L52" s="249"/>
      <c r="M52" s="107"/>
      <c r="N52" s="101"/>
      <c r="O52" s="23" t="str">
        <f t="shared" si="1"/>
        <v>Сварочные работы на стояке ГВС (кв. №359).</v>
      </c>
      <c r="R52" s="22" t="s">
        <v>71</v>
      </c>
    </row>
    <row r="53" spans="1:18" ht="51" customHeight="1" outlineLevel="1">
      <c r="A53" s="231" t="str">
        <f>ПТО!A12</f>
        <v xml:space="preserve">Приобретение и установка светильников над подъездом (2 шт., 2 подъезд). </v>
      </c>
      <c r="B53" s="231"/>
      <c r="C53" s="231"/>
      <c r="D53" s="231"/>
      <c r="E53" s="231"/>
      <c r="F53" s="229">
        <f>VLOOKUP(A53,ПТО!$A$2:$D$42,4,FALSE)</f>
        <v>3200</v>
      </c>
      <c r="G53" s="229"/>
      <c r="H53" s="132" t="str">
        <f>VLOOKUP(A53,ПТО!$A$2:$D$37,2,FALSE)</f>
        <v>разово</v>
      </c>
      <c r="I53" s="230">
        <f>VLOOKUP(A53,ПТО!$A$2:$D$37,3,FALSE)</f>
        <v>1</v>
      </c>
      <c r="J53" s="230"/>
      <c r="K53" s="101"/>
      <c r="L53" s="249"/>
      <c r="M53" s="107"/>
      <c r="N53" s="101"/>
      <c r="O53" s="23" t="str">
        <f t="shared" si="1"/>
        <v xml:space="preserve">Приобретение и установка светильников над подъездом (2 шт., 2 подъезд). </v>
      </c>
      <c r="R53" s="22" t="s">
        <v>71</v>
      </c>
    </row>
    <row r="54" spans="1:18" ht="51" customHeight="1" outlineLevel="1">
      <c r="A54" s="231" t="str">
        <f>ПТО!A13</f>
        <v xml:space="preserve">Приобретение и установка светильника на лестнице. </v>
      </c>
      <c r="B54" s="231"/>
      <c r="C54" s="231"/>
      <c r="D54" s="231"/>
      <c r="E54" s="231"/>
      <c r="F54" s="229">
        <f>VLOOKUP(A54,ПТО!$A$2:$D$42,4,FALSE)</f>
        <v>1700</v>
      </c>
      <c r="G54" s="229"/>
      <c r="H54" s="132" t="str">
        <f>VLOOKUP(A54,ПТО!$A$2:$D$37,2,FALSE)</f>
        <v>разово</v>
      </c>
      <c r="I54" s="230">
        <f>VLOOKUP(A54,ПТО!$A$2:$D$37,3,FALSE)</f>
        <v>1</v>
      </c>
      <c r="J54" s="230"/>
      <c r="K54" s="101"/>
      <c r="L54" s="249"/>
      <c r="M54" s="107"/>
      <c r="N54" s="101"/>
      <c r="O54" s="23" t="str">
        <f t="shared" si="1"/>
        <v xml:space="preserve">Приобретение и установка светильника на лестнице. </v>
      </c>
      <c r="R54" s="22" t="s">
        <v>71</v>
      </c>
    </row>
    <row r="55" spans="1:18" ht="51" customHeight="1" outlineLevel="1">
      <c r="A55" s="231" t="str">
        <f>ПТО!A14</f>
        <v>Благоустройство придомовой территории (приобретение и доставка рассады).</v>
      </c>
      <c r="B55" s="231"/>
      <c r="C55" s="231"/>
      <c r="D55" s="231"/>
      <c r="E55" s="231"/>
      <c r="F55" s="229">
        <f>VLOOKUP(A55,ПТО!$A$2:$D$42,4,FALSE)</f>
        <v>8215</v>
      </c>
      <c r="G55" s="229"/>
      <c r="H55" s="132" t="str">
        <f>VLOOKUP(A55,ПТО!$A$2:$D$37,2,FALSE)</f>
        <v>разово</v>
      </c>
      <c r="I55" s="230">
        <f>VLOOKUP(A55,ПТО!$A$2:$D$37,3,FALSE)</f>
        <v>1</v>
      </c>
      <c r="J55" s="230"/>
      <c r="K55" s="101"/>
      <c r="L55" s="249"/>
      <c r="M55" s="107"/>
      <c r="N55" s="101"/>
      <c r="O55" s="23" t="str">
        <f t="shared" si="1"/>
        <v>Благоустройство придомовой территории (приобретение и доставка рассады).</v>
      </c>
      <c r="R55" s="22" t="s">
        <v>71</v>
      </c>
    </row>
    <row r="56" spans="1:18" ht="51" customHeight="1" outlineLevel="1">
      <c r="A56" s="231" t="str">
        <f>ПТО!A15</f>
        <v>Благоустройство придомовой территории (приобретение и доставка перегноя).</v>
      </c>
      <c r="B56" s="231"/>
      <c r="C56" s="231"/>
      <c r="D56" s="231"/>
      <c r="E56" s="231"/>
      <c r="F56" s="229">
        <f>VLOOKUP(A56,ПТО!$A$2:$D$42,4,FALSE)</f>
        <v>2500</v>
      </c>
      <c r="G56" s="229"/>
      <c r="H56" s="132" t="str">
        <f>VLOOKUP(A56,ПТО!$A$2:$D$37,2,FALSE)</f>
        <v>разово</v>
      </c>
      <c r="I56" s="230">
        <f>VLOOKUP(A56,ПТО!$A$2:$D$37,3,FALSE)</f>
        <v>1</v>
      </c>
      <c r="J56" s="230"/>
      <c r="K56" s="101"/>
      <c r="L56" s="249"/>
      <c r="M56" s="107"/>
      <c r="N56" s="101"/>
      <c r="O56" s="23" t="str">
        <f t="shared" si="1"/>
        <v>Благоустройство придомовой территории (приобретение и доставка перегноя).</v>
      </c>
      <c r="R56" s="22" t="s">
        <v>71</v>
      </c>
    </row>
    <row r="57" spans="1:18" ht="51" customHeight="1" outlineLevel="1">
      <c r="A57" s="231" t="str">
        <f>ПТО!A16</f>
        <v>Благоустройство придомовой территории (приобретение опрыскивателя для обработки кустарников).</v>
      </c>
      <c r="B57" s="231"/>
      <c r="C57" s="231"/>
      <c r="D57" s="231"/>
      <c r="E57" s="231"/>
      <c r="F57" s="229">
        <f>VLOOKUP(A57,ПТО!$A$2:$D$42,4,FALSE)</f>
        <v>1120</v>
      </c>
      <c r="G57" s="229"/>
      <c r="H57" s="132" t="str">
        <f>VLOOKUP(A57,ПТО!$A$2:$D$37,2,FALSE)</f>
        <v>разово</v>
      </c>
      <c r="I57" s="230">
        <f>VLOOKUP(A57,ПТО!$A$2:$D$37,3,FALSE)</f>
        <v>1</v>
      </c>
      <c r="J57" s="230"/>
      <c r="K57" s="101"/>
      <c r="L57" s="249"/>
      <c r="M57" s="107"/>
      <c r="N57" s="101"/>
      <c r="O57" s="23" t="str">
        <f t="shared" si="1"/>
        <v>Благоустройство придомовой территории (приобретение опрыскивателя для обработки кустарников).</v>
      </c>
      <c r="R57" s="22" t="s">
        <v>71</v>
      </c>
    </row>
    <row r="58" spans="1:18" ht="51" customHeight="1" outlineLevel="1">
      <c r="A58" s="231" t="str">
        <f>ПТО!A17</f>
        <v>Сварочные работы на стояке ГВС в подвале (подъезд №2).</v>
      </c>
      <c r="B58" s="231"/>
      <c r="C58" s="231"/>
      <c r="D58" s="231"/>
      <c r="E58" s="231"/>
      <c r="F58" s="229">
        <f>VLOOKUP(A58,ПТО!$A$2:$D$42,4,FALSE)</f>
        <v>3600</v>
      </c>
      <c r="G58" s="229"/>
      <c r="H58" s="132" t="str">
        <f>VLOOKUP(A58,ПТО!$A$2:$D$37,2,FALSE)</f>
        <v>разово</v>
      </c>
      <c r="I58" s="230">
        <f>VLOOKUP(A58,ПТО!$A$2:$D$37,3,FALSE)</f>
        <v>1</v>
      </c>
      <c r="J58" s="230"/>
      <c r="K58" s="101"/>
      <c r="L58" s="249"/>
      <c r="M58" s="107"/>
      <c r="N58" s="101"/>
      <c r="O58" s="23" t="str">
        <f t="shared" si="1"/>
        <v>Сварочные работы на стояке ГВС в подвале (подъезд №2).</v>
      </c>
      <c r="R58" s="22" t="s">
        <v>71</v>
      </c>
    </row>
    <row r="59" spans="1:18" ht="51" customHeight="1" outlineLevel="1">
      <c r="A59" s="231" t="str">
        <f>ПТО!A18</f>
        <v>Приобретение источника питания и аккумуляторной батареи системы пожарной сигнализации.</v>
      </c>
      <c r="B59" s="231"/>
      <c r="C59" s="231"/>
      <c r="D59" s="231"/>
      <c r="E59" s="231"/>
      <c r="F59" s="229">
        <f>VLOOKUP(A59,ПТО!$A$2:$D$42,4,FALSE)</f>
        <v>11130</v>
      </c>
      <c r="G59" s="229"/>
      <c r="H59" s="132" t="str">
        <f>VLOOKUP(A59,ПТО!$A$2:$D$37,2,FALSE)</f>
        <v>разово</v>
      </c>
      <c r="I59" s="230">
        <f>VLOOKUP(A59,ПТО!$A$2:$D$37,3,FALSE)</f>
        <v>1</v>
      </c>
      <c r="J59" s="230"/>
      <c r="K59" s="101"/>
      <c r="L59" s="249"/>
      <c r="M59" s="107"/>
      <c r="N59" s="101"/>
      <c r="O59" s="23" t="str">
        <f t="shared" si="1"/>
        <v>Приобретение источника питания и аккумуляторной батареи системы пожарной сигнализации.</v>
      </c>
      <c r="R59" s="22" t="s">
        <v>71</v>
      </c>
    </row>
    <row r="60" spans="1:18" ht="51" customHeight="1" outlineLevel="1">
      <c r="A60" s="231" t="str">
        <f>ПТО!A19</f>
        <v>Приобретение лифтового оборудования (блок управления и ролик каретки).</v>
      </c>
      <c r="B60" s="231"/>
      <c r="C60" s="231"/>
      <c r="D60" s="231"/>
      <c r="E60" s="231"/>
      <c r="F60" s="229">
        <f>VLOOKUP(A60,ПТО!$A$2:$D$42,4,FALSE)</f>
        <v>27800</v>
      </c>
      <c r="G60" s="229"/>
      <c r="H60" s="132" t="str">
        <f>VLOOKUP(A60,ПТО!$A$2:$D$37,2,FALSE)</f>
        <v>разово</v>
      </c>
      <c r="I60" s="230">
        <f>VLOOKUP(A60,ПТО!$A$2:$D$37,3,FALSE)</f>
        <v>1</v>
      </c>
      <c r="J60" s="230"/>
      <c r="K60" s="101"/>
      <c r="L60" s="249"/>
      <c r="M60" s="107"/>
      <c r="N60" s="101"/>
      <c r="O60" s="23" t="str">
        <f t="shared" si="1"/>
        <v>Приобретение лифтового оборудования (блок управления и ролик каретки).</v>
      </c>
      <c r="R60" s="22" t="s">
        <v>71</v>
      </c>
    </row>
    <row r="61" spans="1:18" ht="51" customHeight="1" outlineLevel="1">
      <c r="A61" s="231" t="str">
        <f>ПТО!A20</f>
        <v>Приобретение и замена светодиодных светильников уличного освещения детской площадки.</v>
      </c>
      <c r="B61" s="231"/>
      <c r="C61" s="231"/>
      <c r="D61" s="231"/>
      <c r="E61" s="231"/>
      <c r="F61" s="229">
        <f>VLOOKUP(A61,ПТО!$A$2:$D$42,4,FALSE)</f>
        <v>31527</v>
      </c>
      <c r="G61" s="229"/>
      <c r="H61" s="132" t="str">
        <f>VLOOKUP(A61,ПТО!$A$2:$D$37,2,FALSE)</f>
        <v>разово</v>
      </c>
      <c r="I61" s="230">
        <f>VLOOKUP(A61,ПТО!$A$2:$D$37,3,FALSE)</f>
        <v>1</v>
      </c>
      <c r="J61" s="230"/>
      <c r="K61" s="101"/>
      <c r="L61" s="249"/>
      <c r="M61" s="107"/>
      <c r="N61" s="101"/>
      <c r="O61" s="23" t="str">
        <f t="shared" si="1"/>
        <v>Приобретение и замена светодиодных светильников уличного освещения детской площадки.</v>
      </c>
      <c r="R61" s="22" t="s">
        <v>71</v>
      </c>
    </row>
    <row r="62" spans="1:18" ht="51" customHeight="1" outlineLevel="1">
      <c r="A62" s="231" t="str">
        <f>ПТО!A21</f>
        <v>Изготовление и приобретение трафарета цифр.</v>
      </c>
      <c r="B62" s="231"/>
      <c r="C62" s="231"/>
      <c r="D62" s="231"/>
      <c r="E62" s="231"/>
      <c r="F62" s="229">
        <f>VLOOKUP(A62,ПТО!$A$2:$D$42,4,FALSE)</f>
        <v>4800</v>
      </c>
      <c r="G62" s="229"/>
      <c r="H62" s="132" t="str">
        <f>VLOOKUP(A62,ПТО!$A$2:$D$37,2,FALSE)</f>
        <v>разово</v>
      </c>
      <c r="I62" s="230">
        <f>VLOOKUP(A62,ПТО!$A$2:$D$37,3,FALSE)</f>
        <v>1</v>
      </c>
      <c r="J62" s="230"/>
      <c r="K62" s="101"/>
      <c r="L62" s="249"/>
      <c r="M62" s="107"/>
      <c r="N62" s="101"/>
      <c r="O62" s="23" t="str">
        <f t="shared" si="1"/>
        <v>Изготовление и приобретение трафарета цифр.</v>
      </c>
      <c r="R62" s="22" t="s">
        <v>71</v>
      </c>
    </row>
    <row r="63" spans="1:18" ht="51" customHeight="1" outlineLevel="1">
      <c r="A63" s="231" t="str">
        <f>ПТО!A22</f>
        <v>Приобретение опрыскивателя с помпой.</v>
      </c>
      <c r="B63" s="231"/>
      <c r="C63" s="231"/>
      <c r="D63" s="231"/>
      <c r="E63" s="231"/>
      <c r="F63" s="229">
        <f>VLOOKUP(A63,ПТО!$A$2:$D$42,4,FALSE)</f>
        <v>461</v>
      </c>
      <c r="G63" s="229"/>
      <c r="H63" s="132" t="str">
        <f>VLOOKUP(A63,ПТО!$A$2:$D$37,2,FALSE)</f>
        <v>разово</v>
      </c>
      <c r="I63" s="230">
        <f>VLOOKUP(A63,ПТО!$A$2:$D$37,3,FALSE)</f>
        <v>1</v>
      </c>
      <c r="J63" s="230"/>
      <c r="K63" s="101"/>
      <c r="L63" s="249"/>
      <c r="M63" s="107"/>
      <c r="N63" s="101"/>
      <c r="O63" s="23" t="str">
        <f t="shared" si="1"/>
        <v>Приобретение опрыскивателя с помпой.</v>
      </c>
      <c r="R63" s="22" t="s">
        <v>71</v>
      </c>
    </row>
    <row r="64" spans="1:18" ht="51" customHeight="1" outlineLevel="1">
      <c r="A64" s="231" t="str">
        <f>ПТО!A23</f>
        <v>Ремонт подъездов (лифтовые холлы).</v>
      </c>
      <c r="B64" s="231"/>
      <c r="C64" s="231"/>
      <c r="D64" s="231"/>
      <c r="E64" s="231"/>
      <c r="F64" s="229">
        <f>VLOOKUP(A64,ПТО!$A$2:$D$42,4,FALSE)</f>
        <v>1284326</v>
      </c>
      <c r="G64" s="229"/>
      <c r="H64" s="132" t="str">
        <f>VLOOKUP(A64,ПТО!$A$2:$D$37,2,FALSE)</f>
        <v>разово</v>
      </c>
      <c r="I64" s="230">
        <f>VLOOKUP(A64,ПТО!$A$2:$D$37,3,FALSE)</f>
        <v>1</v>
      </c>
      <c r="J64" s="230"/>
      <c r="K64" s="101"/>
      <c r="L64" s="249"/>
      <c r="M64" s="107"/>
      <c r="N64" s="101"/>
      <c r="O64" s="23" t="str">
        <f t="shared" si="1"/>
        <v>Ремонт подъездов (лифтовые холлы).</v>
      </c>
      <c r="R64" s="22" t="s">
        <v>71</v>
      </c>
    </row>
    <row r="65" spans="1:16384" ht="51" customHeight="1" outlineLevel="1">
      <c r="A65" s="231" t="str">
        <f>ПТО!A24</f>
        <v>Приобретение и замена акустического светильника (кв. 444).</v>
      </c>
      <c r="B65" s="231"/>
      <c r="C65" s="231"/>
      <c r="D65" s="231"/>
      <c r="E65" s="231"/>
      <c r="F65" s="229">
        <f>VLOOKUP(A65,ПТО!$A$2:$D$42,4,FALSE)</f>
        <v>1700</v>
      </c>
      <c r="G65" s="229"/>
      <c r="H65" s="132" t="str">
        <f>VLOOKUP(A65,ПТО!$A$2:$D$37,2,FALSE)</f>
        <v>разово</v>
      </c>
      <c r="I65" s="230">
        <f>VLOOKUP(A65,ПТО!$A$2:$D$37,3,FALSE)</f>
        <v>1</v>
      </c>
      <c r="J65" s="230"/>
      <c r="K65" s="101"/>
      <c r="L65" s="249"/>
      <c r="M65" s="107"/>
      <c r="N65" s="101"/>
      <c r="O65" s="23" t="str">
        <f t="shared" si="1"/>
        <v>Приобретение и замена акустического светильника (кв. 444).</v>
      </c>
      <c r="R65" s="22" t="s">
        <v>71</v>
      </c>
    </row>
    <row r="66" spans="1:16384" ht="51" customHeight="1" outlineLevel="1">
      <c r="A66" s="231" t="str">
        <f>ПТО!A25</f>
        <v>Приобретение и установка стендов для объявлений (2 шт.).</v>
      </c>
      <c r="B66" s="231"/>
      <c r="C66" s="231"/>
      <c r="D66" s="231"/>
      <c r="E66" s="231"/>
      <c r="F66" s="229">
        <f>VLOOKUP(A66,ПТО!$A$2:$D$42,4,FALSE)</f>
        <v>7800</v>
      </c>
      <c r="G66" s="229"/>
      <c r="H66" s="132" t="str">
        <f>VLOOKUP(A66,ПТО!$A$2:$D$37,2,FALSE)</f>
        <v>разово</v>
      </c>
      <c r="I66" s="230">
        <f>VLOOKUP(A66,ПТО!$A$2:$D$37,3,FALSE)</f>
        <v>1</v>
      </c>
      <c r="J66" s="230"/>
      <c r="K66" s="101"/>
      <c r="L66" s="249"/>
      <c r="M66" s="107"/>
      <c r="N66" s="101"/>
      <c r="O66" s="23" t="str">
        <f t="shared" si="1"/>
        <v>Приобретение и установка стендов для объявлений (2 шт.).</v>
      </c>
      <c r="R66" s="22" t="s">
        <v>71</v>
      </c>
    </row>
    <row r="67" spans="1:16384" ht="51" customHeight="1" outlineLevel="1">
      <c r="A67" s="231" t="str">
        <f>ПТО!A26</f>
        <v>Пусконаладочные работы прибора учета ВСХН Д50.</v>
      </c>
      <c r="B67" s="231"/>
      <c r="C67" s="231"/>
      <c r="D67" s="231"/>
      <c r="E67" s="231"/>
      <c r="F67" s="229">
        <f>VLOOKUP(A67,ПТО!$A$2:$D$42,4,FALSE)</f>
        <v>6960</v>
      </c>
      <c r="G67" s="229"/>
      <c r="H67" s="132" t="str">
        <f>VLOOKUP(A67,ПТО!$A$2:$D$37,2,FALSE)</f>
        <v>разово</v>
      </c>
      <c r="I67" s="230">
        <f>VLOOKUP(A67,ПТО!$A$2:$D$37,3,FALSE)</f>
        <v>1</v>
      </c>
      <c r="J67" s="230"/>
      <c r="K67" s="101"/>
      <c r="L67" s="249"/>
      <c r="M67" s="107"/>
      <c r="N67" s="101"/>
      <c r="O67" s="23" t="str">
        <f t="shared" si="1"/>
        <v>Пусконаладочные работы прибора учета ВСХН Д50.</v>
      </c>
      <c r="R67" s="22" t="s">
        <v>71</v>
      </c>
    </row>
    <row r="68" spans="1:16384" ht="51" customHeight="1" outlineLevel="1">
      <c r="A68" s="231" t="str">
        <f>ПТО!A27</f>
        <v>Приобретение и замена АКБ системы охранной сигнализации.</v>
      </c>
      <c r="B68" s="231"/>
      <c r="C68" s="231"/>
      <c r="D68" s="231"/>
      <c r="E68" s="231"/>
      <c r="F68" s="229">
        <f>VLOOKUP(A68,ПТО!$A$2:$D$42,4,FALSE)</f>
        <v>2217</v>
      </c>
      <c r="G68" s="229"/>
      <c r="H68" s="132" t="str">
        <f>VLOOKUP(A68,ПТО!$A$2:$D$37,2,FALSE)</f>
        <v>разово</v>
      </c>
      <c r="I68" s="230">
        <f>VLOOKUP(A68,ПТО!$A$2:$D$37,3,FALSE)</f>
        <v>1</v>
      </c>
      <c r="J68" s="230"/>
      <c r="K68" s="101"/>
      <c r="L68" s="249"/>
      <c r="M68" s="107"/>
      <c r="N68" s="101"/>
      <c r="O68" s="23" t="str">
        <f t="shared" si="1"/>
        <v>Приобретение и замена АКБ системы охранной сигнализации.</v>
      </c>
      <c r="R68" s="22" t="s">
        <v>71</v>
      </c>
    </row>
    <row r="69" spans="1:16384" ht="51" customHeight="1" outlineLevel="1">
      <c r="A69" s="231" t="str">
        <f>ПТО!A28</f>
        <v>Сварочные работы на стояке ГВС (кв. 258).</v>
      </c>
      <c r="B69" s="231"/>
      <c r="C69" s="231"/>
      <c r="D69" s="231"/>
      <c r="E69" s="231"/>
      <c r="F69" s="229">
        <f>VLOOKUP(A69,ПТО!$A$2:$D$42,4,FALSE)</f>
        <v>5400</v>
      </c>
      <c r="G69" s="229"/>
      <c r="H69" s="132" t="str">
        <f>VLOOKUP(A69,ПТО!$A$2:$D$37,2,FALSE)</f>
        <v>разово</v>
      </c>
      <c r="I69" s="230">
        <f>VLOOKUP(A69,ПТО!$A$2:$D$37,3,FALSE)</f>
        <v>1</v>
      </c>
      <c r="J69" s="230"/>
      <c r="K69" s="101"/>
      <c r="L69" s="249"/>
      <c r="M69" s="107"/>
      <c r="N69" s="101"/>
      <c r="O69" s="23" t="str">
        <f t="shared" si="1"/>
        <v>Сварочные работы на стояке ГВС (кв. 258).</v>
      </c>
      <c r="R69" s="22" t="s">
        <v>71</v>
      </c>
    </row>
    <row r="70" spans="1:16384" ht="51" customHeight="1" outlineLevel="1">
      <c r="A70" s="231" t="str">
        <f>ПТО!A29</f>
        <v>Приобретение дверных доводчиков (10 шт.) и дверных ручек (10 шт.).</v>
      </c>
      <c r="B70" s="231"/>
      <c r="C70" s="231"/>
      <c r="D70" s="231"/>
      <c r="E70" s="231"/>
      <c r="F70" s="229">
        <f>VLOOKUP(A70,ПТО!$A$2:$D$42,4,FALSE)</f>
        <v>22990</v>
      </c>
      <c r="G70" s="229"/>
      <c r="H70" s="132" t="str">
        <f>VLOOKUP(A70,ПТО!$A$2:$D$37,2,FALSE)</f>
        <v>разово</v>
      </c>
      <c r="I70" s="230">
        <f>VLOOKUP(A70,ПТО!$A$2:$D$37,3,FALSE)</f>
        <v>1</v>
      </c>
      <c r="J70" s="230"/>
      <c r="K70" s="101"/>
      <c r="L70" s="249"/>
      <c r="M70" s="107"/>
      <c r="N70" s="101"/>
      <c r="O70" s="23" t="str">
        <f t="shared" si="1"/>
        <v>Приобретение дверных доводчиков (10 шт.) и дверных ручек (10 шт.).</v>
      </c>
      <c r="R70" s="22" t="s">
        <v>71</v>
      </c>
    </row>
    <row r="71" spans="1:16384" ht="51" customHeight="1" outlineLevel="1">
      <c r="A71" s="231" t="str">
        <f>ПТО!A30</f>
        <v>Приобретение и замена светильников наружного освещения (4 шт.).</v>
      </c>
      <c r="B71" s="231"/>
      <c r="C71" s="231"/>
      <c r="D71" s="231"/>
      <c r="E71" s="231"/>
      <c r="F71" s="229">
        <f>VLOOKUP(A71,ПТО!$A$2:$D$42,4,FALSE)</f>
        <v>10622</v>
      </c>
      <c r="G71" s="229"/>
      <c r="H71" s="132" t="str">
        <f>VLOOKUP(A71,ПТО!$A$2:$D$37,2,FALSE)</f>
        <v>разово</v>
      </c>
      <c r="I71" s="230">
        <f>VLOOKUP(A71,ПТО!$A$2:$D$37,3,FALSE)</f>
        <v>1</v>
      </c>
      <c r="J71" s="230"/>
      <c r="K71" s="107"/>
      <c r="L71" s="249"/>
      <c r="M71" s="107"/>
      <c r="N71" s="107"/>
      <c r="O71" s="23" t="str">
        <f t="shared" si="1"/>
        <v>Приобретение и замена светильников наружного освещения (4 шт.).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customHeight="1" outlineLevel="1">
      <c r="A72" s="231" t="str">
        <f>ПТО!A31</f>
        <v>Приобретение подшипника 6205 2RS/C3 в лифт (1 подъезд, 2 шт.).</v>
      </c>
      <c r="B72" s="231"/>
      <c r="C72" s="231"/>
      <c r="D72" s="231"/>
      <c r="E72" s="231"/>
      <c r="F72" s="229">
        <f>VLOOKUP(A72,ПТО!$A$2:$D$42,4,FALSE)</f>
        <v>570</v>
      </c>
      <c r="G72" s="229"/>
      <c r="H72" s="132" t="str">
        <f>VLOOKUP(A72,ПТО!$A$2:$D$37,2,FALSE)</f>
        <v>разово</v>
      </c>
      <c r="I72" s="230">
        <f>VLOOKUP(A72,ПТО!$A$2:$D$37,3,FALSE)</f>
        <v>1</v>
      </c>
      <c r="J72" s="230"/>
      <c r="K72" s="101"/>
      <c r="L72" s="249"/>
      <c r="M72" s="107"/>
      <c r="N72" s="101"/>
      <c r="O72" s="23" t="str">
        <f t="shared" si="1"/>
        <v>Приобретение подшипника 6205 2RS/C3 в лифт (1 подъезд, 2 шт.).</v>
      </c>
      <c r="R72" s="22" t="s">
        <v>71</v>
      </c>
    </row>
    <row r="73" spans="1:16384" ht="51" customHeight="1" outlineLevel="1">
      <c r="A73" s="231" t="str">
        <f>ПТО!A32</f>
        <v>Приобретение кнопочного модуля в лифт (1 подъезд).</v>
      </c>
      <c r="B73" s="231"/>
      <c r="C73" s="231"/>
      <c r="D73" s="231"/>
      <c r="E73" s="231"/>
      <c r="F73" s="229">
        <f>VLOOKUP(A73,ПТО!$A$2:$D$42,4,FALSE)</f>
        <v>1832</v>
      </c>
      <c r="G73" s="229"/>
      <c r="H73" s="132" t="str">
        <f>VLOOKUP(A73,ПТО!$A$2:$D$37,2,FALSE)</f>
        <v>разово</v>
      </c>
      <c r="I73" s="230">
        <f>VLOOKUP(A73,ПТО!$A$2:$D$37,3,FALSE)</f>
        <v>1</v>
      </c>
      <c r="J73" s="230"/>
      <c r="K73" s="101"/>
      <c r="L73" s="124"/>
      <c r="M73" s="107"/>
      <c r="N73" s="101"/>
      <c r="O73" s="23" t="str">
        <f t="shared" si="1"/>
        <v>Приобретение кнопочного модуля в лифт (1 подъезд).</v>
      </c>
      <c r="R73" s="22" t="s">
        <v>71</v>
      </c>
    </row>
    <row r="74" spans="1:16384" ht="51" customHeight="1" outlineLevel="1">
      <c r="A74" s="231" t="str">
        <f>ПТО!A33</f>
        <v>Приобретение компенсаторов (4 шт.) на стояки отопления (кв.371 и 374).</v>
      </c>
      <c r="B74" s="231"/>
      <c r="C74" s="231"/>
      <c r="D74" s="231"/>
      <c r="E74" s="231"/>
      <c r="F74" s="229">
        <f>VLOOKUP(A74,ПТО!$A$2:$D$42,4,FALSE)</f>
        <v>21600</v>
      </c>
      <c r="G74" s="229"/>
      <c r="H74" s="132" t="str">
        <f>VLOOKUP(A74,ПТО!$A$2:$D$37,2,FALSE)</f>
        <v>разово</v>
      </c>
      <c r="I74" s="230">
        <f>VLOOKUP(A74,ПТО!$A$2:$D$37,3,FALSE)</f>
        <v>1</v>
      </c>
      <c r="J74" s="230"/>
      <c r="K74" s="101"/>
      <c r="L74" s="124"/>
      <c r="M74" s="107"/>
      <c r="N74" s="101"/>
      <c r="O74" s="23" t="str">
        <f t="shared" si="1"/>
        <v>Приобретение компенсаторов (4 шт.) на стояки отопления (кв.371 и 374).</v>
      </c>
      <c r="R74" s="22" t="s">
        <v>71</v>
      </c>
    </row>
    <row r="75" spans="1:16384" ht="51" customHeight="1" outlineLevel="1">
      <c r="A75" s="231" t="str">
        <f>ПТО!A34</f>
        <v>Диагностика, ремонт и приобретение блока питания системы видеонаблюдения.</v>
      </c>
      <c r="B75" s="231"/>
      <c r="C75" s="231"/>
      <c r="D75" s="231"/>
      <c r="E75" s="231"/>
      <c r="F75" s="229">
        <f>VLOOKUP(A75,ПТО!$A$2:$D$42,4,FALSE)</f>
        <v>5100</v>
      </c>
      <c r="G75" s="229"/>
      <c r="H75" s="132" t="str">
        <f>VLOOKUP(A75,ПТО!$A$2:$D$37,2,FALSE)</f>
        <v>разово</v>
      </c>
      <c r="I75" s="230">
        <f>VLOOKUP(A75,ПТО!$A$2:$D$37,3,FALSE)</f>
        <v>1</v>
      </c>
      <c r="J75" s="230"/>
      <c r="K75" s="101"/>
      <c r="L75" s="124"/>
      <c r="M75" s="107"/>
      <c r="N75" s="101"/>
      <c r="O75" s="23" t="str">
        <f t="shared" si="1"/>
        <v>Диагностика, ремонт и приобретение блока питания системы видеонаблюдения.</v>
      </c>
      <c r="R75" s="22" t="s">
        <v>71</v>
      </c>
    </row>
    <row r="76" spans="1:16384" ht="51" customHeight="1" outlineLevel="1">
      <c r="A76" s="231" t="str">
        <f>ПТО!A35</f>
        <v>Услуги сети интернет для удаленного доступа системы видеонаблюдения.</v>
      </c>
      <c r="B76" s="231"/>
      <c r="C76" s="231"/>
      <c r="D76" s="231"/>
      <c r="E76" s="231"/>
      <c r="F76" s="229">
        <f>VLOOKUP(A76,ПТО!$A$2:$D$42,4,FALSE)</f>
        <v>2000</v>
      </c>
      <c r="G76" s="229"/>
      <c r="H76" s="132" t="str">
        <f>VLOOKUP(A76,ПТО!$A$2:$D$37,2,FALSE)</f>
        <v>ежемесячно</v>
      </c>
      <c r="I76" s="230">
        <f>VLOOKUP(A76,ПТО!$A$2:$D$37,3,FALSE)</f>
        <v>2</v>
      </c>
      <c r="J76" s="230"/>
      <c r="K76" s="101"/>
      <c r="L76" s="124"/>
      <c r="M76" s="107"/>
      <c r="N76" s="101"/>
      <c r="O76" s="23" t="str">
        <f t="shared" si="1"/>
        <v>Услуги сети интернет для удаленного доступа системы видеонаблюдения.</v>
      </c>
      <c r="R76" s="22" t="s">
        <v>71</v>
      </c>
    </row>
    <row r="77" spans="1:16384" ht="51" customHeight="1" outlineLevel="1">
      <c r="A77" s="231" t="str">
        <f>ПТО!A36</f>
        <v>Сварочные работы на стояке (I) отопления (кв. 413).</v>
      </c>
      <c r="B77" s="231"/>
      <c r="C77" s="231"/>
      <c r="D77" s="231"/>
      <c r="E77" s="231"/>
      <c r="F77" s="229">
        <f>VLOOKUP(A77,ПТО!$A$2:$D$42,4,FALSE)</f>
        <v>7200</v>
      </c>
      <c r="G77" s="229"/>
      <c r="H77" s="132" t="str">
        <f>VLOOKUP(A77,ПТО!$A$2:$D$37,2,FALSE)</f>
        <v>разово</v>
      </c>
      <c r="I77" s="230">
        <f>VLOOKUP(A77,ПТО!$A$2:$D$37,3,FALSE)</f>
        <v>1</v>
      </c>
      <c r="J77" s="230"/>
      <c r="K77" s="101"/>
      <c r="L77" s="124"/>
      <c r="M77" s="107"/>
      <c r="N77" s="101"/>
      <c r="O77" s="23" t="str">
        <f t="shared" si="1"/>
        <v>Сварочные работы на стояке (I) отопления (кв. 413).</v>
      </c>
      <c r="R77" s="22" t="s">
        <v>71</v>
      </c>
    </row>
    <row r="78" spans="1:16384" ht="51" customHeight="1" outlineLevel="1">
      <c r="A78" s="231" t="str">
        <f>ПТО!A37</f>
        <v>Приобретение маршрутизатора для системы видеонаблюдения.</v>
      </c>
      <c r="B78" s="231"/>
      <c r="C78" s="231"/>
      <c r="D78" s="231"/>
      <c r="E78" s="231"/>
      <c r="F78" s="229">
        <f>VLOOKUP(A78,ПТО!$A$2:$D$42,4,FALSE)</f>
        <v>2799</v>
      </c>
      <c r="G78" s="229"/>
      <c r="H78" s="132" t="str">
        <f>VLOOKUP(A78,ПТО!$A$2:$D$37,2,FALSE)</f>
        <v>разово</v>
      </c>
      <c r="I78" s="230">
        <f>VLOOKUP(A78,ПТО!$A$2:$D$37,3,FALSE)</f>
        <v>1</v>
      </c>
      <c r="J78" s="230"/>
      <c r="K78" s="101"/>
      <c r="L78" s="131"/>
      <c r="M78" s="107"/>
      <c r="N78" s="101"/>
      <c r="O78" s="23" t="str">
        <f t="shared" ref="O78:O84" si="2">A78</f>
        <v>Приобретение маршрутизатора для системы видеонаблюдения.</v>
      </c>
      <c r="R78" s="22" t="s">
        <v>71</v>
      </c>
    </row>
    <row r="79" spans="1:16384" ht="51" customHeight="1" outlineLevel="1">
      <c r="A79" s="231" t="str">
        <f>ПТО!A38</f>
        <v>Сварочные работы на стояке отопления (кв. 330).</v>
      </c>
      <c r="B79" s="231"/>
      <c r="C79" s="231"/>
      <c r="D79" s="231"/>
      <c r="E79" s="231"/>
      <c r="F79" s="229">
        <f>VLOOKUP(A79,ПТО!$A$2:$D$42,4,FALSE)</f>
        <v>7200</v>
      </c>
      <c r="G79" s="229"/>
      <c r="H79" s="130" t="str">
        <f>VLOOKUP(A79,ПТО!$A$2:$D$40,2,FALSE)</f>
        <v>разово</v>
      </c>
      <c r="I79" s="230">
        <f>VLOOKUP(A79,ПТО!$A$2:$D$40,3,FALSE)</f>
        <v>1</v>
      </c>
      <c r="J79" s="230"/>
      <c r="K79" s="101"/>
      <c r="L79" s="131"/>
      <c r="M79" s="107"/>
      <c r="N79" s="101"/>
      <c r="O79" s="23" t="str">
        <f t="shared" si="2"/>
        <v>Сварочные работы на стояке отопления (кв. 330).</v>
      </c>
      <c r="R79" s="22" t="s">
        <v>71</v>
      </c>
    </row>
    <row r="80" spans="1:16384" ht="51" customHeight="1" outlineLevel="1">
      <c r="A80" s="231" t="str">
        <f>ПТО!A39</f>
        <v>Сварочные работы на стояке (II) отопления (кв. 413).</v>
      </c>
      <c r="B80" s="231"/>
      <c r="C80" s="231"/>
      <c r="D80" s="231"/>
      <c r="E80" s="231"/>
      <c r="F80" s="229">
        <f>VLOOKUP(A80,ПТО!$A$2:$D$42,4,FALSE)</f>
        <v>5400</v>
      </c>
      <c r="G80" s="229"/>
      <c r="H80" s="130" t="str">
        <f>VLOOKUP(A80,ПТО!$A$2:$D$40,2,FALSE)</f>
        <v>разово</v>
      </c>
      <c r="I80" s="230">
        <f>VLOOKUP(A80,ПТО!$A$2:$D$40,3,FALSE)</f>
        <v>1</v>
      </c>
      <c r="J80" s="230"/>
      <c r="K80" s="101"/>
      <c r="L80" s="131"/>
      <c r="M80" s="107"/>
      <c r="N80" s="101"/>
      <c r="O80" s="23" t="str">
        <f t="shared" si="2"/>
        <v>Сварочные работы на стояке (II) отопления (кв. 413).</v>
      </c>
      <c r="R80" s="22" t="s">
        <v>71</v>
      </c>
    </row>
    <row r="81" spans="1:18" ht="51" customHeight="1" outlineLevel="1">
      <c r="A81" s="231" t="str">
        <f>ПТО!A40</f>
        <v>Ремонт и настройка системы видеонаблюдения (с приобретением дополнительного оборудования).</v>
      </c>
      <c r="B81" s="231"/>
      <c r="C81" s="231"/>
      <c r="D81" s="231"/>
      <c r="E81" s="231"/>
      <c r="F81" s="229">
        <f>VLOOKUP(A81,ПТО!$A$2:$D$42,4,FALSE)</f>
        <v>15163</v>
      </c>
      <c r="G81" s="229"/>
      <c r="H81" s="130" t="str">
        <f>VLOOKUP(A81,ПТО!$A$2:$D$40,2,FALSE)</f>
        <v>разово</v>
      </c>
      <c r="I81" s="230">
        <f>VLOOKUP(A81,ПТО!$A$2:$D$40,3,FALSE)</f>
        <v>1</v>
      </c>
      <c r="J81" s="230"/>
      <c r="K81" s="101"/>
      <c r="L81" s="131"/>
      <c r="M81" s="107"/>
      <c r="N81" s="101"/>
      <c r="O81" s="23" t="str">
        <f t="shared" si="2"/>
        <v>Ремонт и настройка системы видеонаблюдения (с приобретением дополнительного оборудования).</v>
      </c>
      <c r="R81" s="22" t="s">
        <v>71</v>
      </c>
    </row>
    <row r="82" spans="1:18" ht="51" hidden="1" customHeight="1" outlineLevel="1">
      <c r="A82" s="231">
        <f>ПТО!A41</f>
        <v>0</v>
      </c>
      <c r="B82" s="231"/>
      <c r="C82" s="231"/>
      <c r="D82" s="231"/>
      <c r="E82" s="231"/>
      <c r="F82" s="229" t="e">
        <f>VLOOKUP(A82,ПТО!$A$2:$D$42,4,FALSE)</f>
        <v>#N/A</v>
      </c>
      <c r="G82" s="229"/>
      <c r="H82" s="130" t="e">
        <f>VLOOKUP(A82,ПТО!$A$2:$D$36,2,FALSE)</f>
        <v>#N/A</v>
      </c>
      <c r="I82" s="230" t="e">
        <f>VLOOKUP(A82,ПТО!$A$2:$D$40,3,FALSE)</f>
        <v>#N/A</v>
      </c>
      <c r="J82" s="230"/>
      <c r="K82" s="101"/>
      <c r="L82" s="131"/>
      <c r="M82" s="107"/>
      <c r="N82" s="101"/>
      <c r="O82" s="23">
        <f t="shared" si="2"/>
        <v>0</v>
      </c>
      <c r="R82" s="22" t="s">
        <v>71</v>
      </c>
    </row>
    <row r="83" spans="1:18" ht="51" hidden="1" customHeight="1" outlineLevel="1">
      <c r="A83" s="231">
        <f>ПТО!A42</f>
        <v>0</v>
      </c>
      <c r="B83" s="231"/>
      <c r="C83" s="231"/>
      <c r="D83" s="231"/>
      <c r="E83" s="231"/>
      <c r="F83" s="229" t="e">
        <f>VLOOKUP(A83,ПТО!$A$2:$D$42,4,FALSE)</f>
        <v>#N/A</v>
      </c>
      <c r="G83" s="229"/>
      <c r="H83" s="130" t="e">
        <f>VLOOKUP(A83,ПТО!$A$2:$D$36,2,FALSE)</f>
        <v>#N/A</v>
      </c>
      <c r="I83" s="230" t="e">
        <f>VLOOKUP(A83,ПТО!$A$2:$D$40,3,FALSE)</f>
        <v>#N/A</v>
      </c>
      <c r="J83" s="230"/>
      <c r="K83" s="101"/>
      <c r="L83" s="131"/>
      <c r="M83" s="107"/>
      <c r="N83" s="101"/>
      <c r="O83" s="23">
        <f t="shared" si="2"/>
        <v>0</v>
      </c>
      <c r="R83" s="22" t="s">
        <v>71</v>
      </c>
    </row>
    <row r="84" spans="1:18" ht="51" hidden="1" customHeight="1" outlineLevel="1">
      <c r="A84" s="231">
        <f>ПТО!A43</f>
        <v>0</v>
      </c>
      <c r="B84" s="231"/>
      <c r="C84" s="231"/>
      <c r="D84" s="231"/>
      <c r="E84" s="231"/>
      <c r="F84" s="229" t="e">
        <f>VLOOKUP(A84,ПТО!$A$2:$D$42,4,FALSE)</f>
        <v>#N/A</v>
      </c>
      <c r="G84" s="229"/>
      <c r="H84" s="130" t="e">
        <f>VLOOKUP(A84,ПТО!$A$2:$D$36,2,FALSE)</f>
        <v>#N/A</v>
      </c>
      <c r="I84" s="230" t="e">
        <f>VLOOKUP(A84,ПТО!$A$2:$D$40,3,FALSE)</f>
        <v>#N/A</v>
      </c>
      <c r="J84" s="230"/>
      <c r="K84" s="101"/>
      <c r="L84" s="131"/>
      <c r="M84" s="107"/>
      <c r="N84" s="101"/>
      <c r="O84" s="23">
        <f t="shared" si="2"/>
        <v>0</v>
      </c>
      <c r="R84" s="22" t="s">
        <v>71</v>
      </c>
    </row>
    <row r="85" spans="1:18">
      <c r="A85" s="96" t="s">
        <v>172</v>
      </c>
      <c r="K85" s="101"/>
      <c r="L85" s="101"/>
      <c r="M85" s="101"/>
      <c r="N85" s="101"/>
    </row>
    <row r="86" spans="1:18">
      <c r="A86" s="12" t="s">
        <v>30</v>
      </c>
      <c r="K86" s="101"/>
      <c r="L86" s="101"/>
      <c r="M86" s="101"/>
      <c r="N86" s="101"/>
    </row>
    <row r="87" spans="1:18" ht="18.75" customHeight="1" outlineLevel="1">
      <c r="A87" s="250" t="s">
        <v>26</v>
      </c>
      <c r="B87" s="250"/>
      <c r="C87" s="250"/>
      <c r="D87" s="250"/>
      <c r="E87" s="250"/>
      <c r="F87" s="250"/>
      <c r="G87" s="250"/>
      <c r="H87" s="250"/>
      <c r="I87" s="250"/>
      <c r="J87" s="8">
        <f>VLOOKUP(O87,АО,3,FALSE)</f>
        <v>0</v>
      </c>
      <c r="K87" s="101"/>
      <c r="L87" s="252"/>
      <c r="M87" s="101"/>
      <c r="N87" s="101"/>
      <c r="O87" s="62" t="s">
        <v>97</v>
      </c>
    </row>
    <row r="88" spans="1:18" ht="18.75" customHeight="1" outlineLevel="1">
      <c r="A88" s="250" t="s">
        <v>27</v>
      </c>
      <c r="B88" s="250"/>
      <c r="C88" s="250"/>
      <c r="D88" s="250"/>
      <c r="E88" s="250"/>
      <c r="F88" s="250"/>
      <c r="G88" s="250"/>
      <c r="H88" s="250"/>
      <c r="I88" s="250"/>
      <c r="J88" s="8">
        <f>VLOOKUP(O88,АО,3,FALSE)</f>
        <v>0</v>
      </c>
      <c r="K88" s="101"/>
      <c r="L88" s="252"/>
      <c r="M88" s="101"/>
      <c r="N88" s="101"/>
      <c r="O88" s="62" t="s">
        <v>98</v>
      </c>
    </row>
    <row r="89" spans="1:18" ht="21.75" customHeight="1" outlineLevel="1">
      <c r="A89" s="250" t="s">
        <v>28</v>
      </c>
      <c r="B89" s="250"/>
      <c r="C89" s="250"/>
      <c r="D89" s="250"/>
      <c r="E89" s="250"/>
      <c r="F89" s="250"/>
      <c r="G89" s="250"/>
      <c r="H89" s="250"/>
      <c r="I89" s="250"/>
      <c r="J89" s="8">
        <f>VLOOKUP(O89,АО,3,FALSE)</f>
        <v>0</v>
      </c>
      <c r="K89" s="101"/>
      <c r="L89" s="252"/>
      <c r="M89" s="101"/>
      <c r="N89" s="101"/>
      <c r="O89" s="62" t="s">
        <v>99</v>
      </c>
    </row>
    <row r="90" spans="1:18" ht="18.75" customHeight="1" outlineLevel="1">
      <c r="A90" s="250" t="s">
        <v>29</v>
      </c>
      <c r="B90" s="250"/>
      <c r="C90" s="250"/>
      <c r="D90" s="250"/>
      <c r="E90" s="250"/>
      <c r="F90" s="250"/>
      <c r="G90" s="250"/>
      <c r="H90" s="250"/>
      <c r="I90" s="250"/>
      <c r="J90" s="89">
        <f>VLOOKUP(O90,АО,3,FALSE)</f>
        <v>0</v>
      </c>
      <c r="K90" s="101"/>
      <c r="L90" s="252"/>
      <c r="M90" s="101"/>
      <c r="N90" s="101"/>
      <c r="O90" s="62" t="s">
        <v>100</v>
      </c>
    </row>
    <row r="91" spans="1:18">
      <c r="A91" s="106" t="s">
        <v>172</v>
      </c>
      <c r="B91" s="7"/>
      <c r="C91" s="7"/>
      <c r="D91" s="7"/>
      <c r="E91" s="7"/>
      <c r="F91" s="7"/>
      <c r="G91" s="7"/>
      <c r="H91" s="7"/>
      <c r="I91" s="7"/>
      <c r="J91" s="7"/>
      <c r="K91" s="101"/>
      <c r="L91" s="101"/>
      <c r="M91" s="101"/>
      <c r="N91" s="101"/>
    </row>
    <row r="92" spans="1:18">
      <c r="A92" s="11" t="s">
        <v>33</v>
      </c>
      <c r="K92" s="101"/>
      <c r="L92" s="101"/>
      <c r="M92" s="101"/>
      <c r="N92" s="101"/>
    </row>
    <row r="93" spans="1:18" outlineLevel="1">
      <c r="A93" s="232" t="s">
        <v>2</v>
      </c>
      <c r="B93" s="232"/>
      <c r="C93" s="232"/>
      <c r="D93" s="232"/>
      <c r="E93" s="232"/>
      <c r="F93" s="232"/>
      <c r="G93" s="232"/>
      <c r="H93" s="232"/>
      <c r="I93" s="232"/>
      <c r="J93" s="89">
        <f t="shared" ref="J93:J102" si="3">VLOOKUP(O93,АО,3,FALSE)</f>
        <v>0</v>
      </c>
      <c r="K93" s="101"/>
      <c r="L93" s="238"/>
      <c r="M93" s="101"/>
      <c r="N93" s="101"/>
      <c r="O93" s="62" t="s">
        <v>101</v>
      </c>
    </row>
    <row r="94" spans="1:18" outlineLevel="1">
      <c r="A94" s="232" t="s">
        <v>3</v>
      </c>
      <c r="B94" s="232"/>
      <c r="C94" s="232"/>
      <c r="D94" s="232"/>
      <c r="E94" s="232"/>
      <c r="F94" s="232"/>
      <c r="G94" s="232"/>
      <c r="H94" s="232"/>
      <c r="I94" s="232"/>
      <c r="J94" s="89">
        <f t="shared" si="3"/>
        <v>0</v>
      </c>
      <c r="K94" s="101"/>
      <c r="L94" s="238"/>
      <c r="M94" s="101"/>
      <c r="N94" s="101"/>
      <c r="O94" s="62" t="s">
        <v>102</v>
      </c>
    </row>
    <row r="95" spans="1:18" outlineLevel="1">
      <c r="A95" s="244" t="s">
        <v>4</v>
      </c>
      <c r="B95" s="245"/>
      <c r="C95" s="245"/>
      <c r="D95" s="245"/>
      <c r="E95" s="245"/>
      <c r="F95" s="245"/>
      <c r="G95" s="245"/>
      <c r="H95" s="245"/>
      <c r="I95" s="246"/>
      <c r="J95" s="89">
        <f t="shared" si="3"/>
        <v>0</v>
      </c>
      <c r="K95" s="101"/>
      <c r="L95" s="238"/>
      <c r="M95" s="101"/>
      <c r="N95" s="101"/>
      <c r="O95" s="62" t="s">
        <v>103</v>
      </c>
    </row>
    <row r="96" spans="1:18" outlineLevel="1">
      <c r="A96" s="244" t="s">
        <v>16</v>
      </c>
      <c r="B96" s="245"/>
      <c r="C96" s="245"/>
      <c r="D96" s="245"/>
      <c r="E96" s="245"/>
      <c r="F96" s="245"/>
      <c r="G96" s="245"/>
      <c r="H96" s="245"/>
      <c r="I96" s="246"/>
      <c r="J96" s="89">
        <f t="shared" si="3"/>
        <v>0</v>
      </c>
      <c r="K96" s="101"/>
      <c r="L96" s="238"/>
      <c r="M96" s="101"/>
      <c r="N96" s="101"/>
      <c r="O96" s="62" t="s">
        <v>104</v>
      </c>
    </row>
    <row r="97" spans="1:15" outlineLevel="1">
      <c r="A97" s="244" t="s">
        <v>17</v>
      </c>
      <c r="B97" s="245"/>
      <c r="C97" s="245"/>
      <c r="D97" s="245"/>
      <c r="E97" s="245"/>
      <c r="F97" s="245"/>
      <c r="G97" s="245"/>
      <c r="H97" s="245"/>
      <c r="I97" s="246"/>
      <c r="J97" s="89">
        <f t="shared" si="3"/>
        <v>0</v>
      </c>
      <c r="K97" s="101"/>
      <c r="L97" s="238"/>
      <c r="M97" s="101"/>
      <c r="N97" s="101"/>
      <c r="O97" s="62" t="s">
        <v>105</v>
      </c>
    </row>
    <row r="98" spans="1:15" outlineLevel="1">
      <c r="A98" s="244" t="s">
        <v>18</v>
      </c>
      <c r="B98" s="245"/>
      <c r="C98" s="245"/>
      <c r="D98" s="245"/>
      <c r="E98" s="245"/>
      <c r="F98" s="245"/>
      <c r="G98" s="245"/>
      <c r="H98" s="245"/>
      <c r="I98" s="246"/>
      <c r="J98" s="89">
        <f t="shared" si="3"/>
        <v>0</v>
      </c>
      <c r="K98" s="101"/>
      <c r="L98" s="238"/>
      <c r="M98" s="101"/>
      <c r="N98" s="101"/>
      <c r="O98" s="62" t="s">
        <v>106</v>
      </c>
    </row>
    <row r="99" spans="1:15" ht="18.75" customHeight="1" outlineLevel="1">
      <c r="A99" s="244" t="s">
        <v>26</v>
      </c>
      <c r="B99" s="245"/>
      <c r="C99" s="245"/>
      <c r="D99" s="245"/>
      <c r="E99" s="245"/>
      <c r="F99" s="245"/>
      <c r="G99" s="245"/>
      <c r="H99" s="245"/>
      <c r="I99" s="246"/>
      <c r="J99" s="8">
        <f t="shared" si="3"/>
        <v>0</v>
      </c>
      <c r="K99" s="101"/>
      <c r="L99" s="238"/>
      <c r="M99" s="101"/>
      <c r="N99" s="101"/>
      <c r="O99" s="62" t="s">
        <v>107</v>
      </c>
    </row>
    <row r="100" spans="1:15" ht="18.75" customHeight="1" outlineLevel="1">
      <c r="A100" s="244" t="s">
        <v>27</v>
      </c>
      <c r="B100" s="245"/>
      <c r="C100" s="245"/>
      <c r="D100" s="245"/>
      <c r="E100" s="245"/>
      <c r="F100" s="245"/>
      <c r="G100" s="245"/>
      <c r="H100" s="245"/>
      <c r="I100" s="246"/>
      <c r="J100" s="8">
        <f t="shared" si="3"/>
        <v>0</v>
      </c>
      <c r="K100" s="101"/>
      <c r="L100" s="238"/>
      <c r="M100" s="101"/>
      <c r="N100" s="101"/>
      <c r="O100" s="62" t="s">
        <v>108</v>
      </c>
    </row>
    <row r="101" spans="1:15" ht="18.75" customHeight="1" outlineLevel="1">
      <c r="A101" s="244" t="s">
        <v>28</v>
      </c>
      <c r="B101" s="245"/>
      <c r="C101" s="245"/>
      <c r="D101" s="245"/>
      <c r="E101" s="245"/>
      <c r="F101" s="245"/>
      <c r="G101" s="245"/>
      <c r="H101" s="245"/>
      <c r="I101" s="246"/>
      <c r="J101" s="8">
        <f t="shared" si="3"/>
        <v>0</v>
      </c>
      <c r="K101" s="101"/>
      <c r="L101" s="238"/>
      <c r="M101" s="101"/>
      <c r="N101" s="101"/>
      <c r="O101" s="62" t="s">
        <v>109</v>
      </c>
    </row>
    <row r="102" spans="1:15" ht="18.75" customHeight="1" outlineLevel="1">
      <c r="A102" s="244" t="s">
        <v>29</v>
      </c>
      <c r="B102" s="245"/>
      <c r="C102" s="245"/>
      <c r="D102" s="245"/>
      <c r="E102" s="245"/>
      <c r="F102" s="245"/>
      <c r="G102" s="245"/>
      <c r="H102" s="245"/>
      <c r="I102" s="246"/>
      <c r="J102" s="89">
        <f t="shared" si="3"/>
        <v>0</v>
      </c>
      <c r="K102" s="101"/>
      <c r="L102" s="238"/>
      <c r="M102" s="101"/>
      <c r="N102" s="101"/>
      <c r="O102" s="62" t="s">
        <v>110</v>
      </c>
    </row>
    <row r="103" spans="1:15">
      <c r="A103" s="96" t="s">
        <v>172</v>
      </c>
      <c r="K103" s="101"/>
      <c r="L103" s="101"/>
      <c r="M103" s="101"/>
      <c r="N103" s="101"/>
    </row>
    <row r="104" spans="1:15">
      <c r="A104" s="11" t="s">
        <v>34</v>
      </c>
      <c r="K104" s="101"/>
      <c r="L104" s="101"/>
      <c r="M104" s="101"/>
      <c r="N104" s="101"/>
    </row>
    <row r="105" spans="1:15" ht="30.75" customHeight="1" outlineLevel="1">
      <c r="A105" s="253" t="s">
        <v>47</v>
      </c>
      <c r="B105" s="253"/>
      <c r="C105" s="253"/>
      <c r="D105" s="254" t="s">
        <v>48</v>
      </c>
      <c r="E105" s="254"/>
      <c r="F105" s="10" t="s">
        <v>49</v>
      </c>
      <c r="G105" s="253" t="s">
        <v>50</v>
      </c>
      <c r="H105" s="253"/>
      <c r="I105" s="253"/>
      <c r="J105" s="253"/>
      <c r="K105" s="101"/>
      <c r="L105" s="101"/>
      <c r="M105" s="101"/>
      <c r="N105" s="101"/>
    </row>
    <row r="106" spans="1:15" hidden="1" outlineLevel="1">
      <c r="A106" s="235">
        <f>IF(VLOOKUP("эл",АО,3,FALSE)&gt;0,"Электроснабжение",0)</f>
        <v>0</v>
      </c>
      <c r="B106" s="235"/>
      <c r="C106" s="235"/>
      <c r="D106" s="236">
        <f>IF(VLOOKUP("эл",АО,3,FALSE)&gt;0,VLOOKUP("эл",АО,3,FALSE),0)</f>
        <v>0</v>
      </c>
      <c r="E106" s="236"/>
      <c r="F106" s="13">
        <f>IF(VLOOKUP("эл",АО,3,FALSE)&gt;0,VLOOKUP("эл",АО,4,FALSE),0)</f>
        <v>0</v>
      </c>
      <c r="G106" s="237">
        <f>VLOOKUP("эл",АО,5,FALSE)</f>
        <v>0</v>
      </c>
      <c r="H106" s="236"/>
      <c r="I106" s="236"/>
      <c r="J106" s="236"/>
      <c r="K106" s="1" t="str">
        <f>VLOOKUP("эл",АО,2,FALSE)</f>
        <v>Электроснабжение</v>
      </c>
      <c r="L106" s="239"/>
    </row>
    <row r="107" spans="1:15" hidden="1" outlineLevel="2">
      <c r="A107" s="251">
        <f>IF(VLOOKUP("эл",АО,3,FALSE)&gt;0,VLOOKUP("эл1",АО,2,FALSE),0)</f>
        <v>0</v>
      </c>
      <c r="B107" s="251"/>
      <c r="C107" s="251"/>
      <c r="D107" s="251"/>
      <c r="E107" s="251"/>
      <c r="F107" s="251"/>
      <c r="G107" s="251"/>
      <c r="H107" s="251"/>
      <c r="I107" s="251"/>
      <c r="J107" s="18">
        <f t="shared" ref="J107:J113" si="4">VLOOKUP(O107,АО,3,FALSE)</f>
        <v>0</v>
      </c>
      <c r="L107" s="239"/>
      <c r="O107" s="1" t="s">
        <v>111</v>
      </c>
    </row>
    <row r="108" spans="1:15" hidden="1" outlineLevel="2">
      <c r="A108" s="251">
        <f>IF(VLOOKUP("эл",АО,3,FALSE)&gt;0,VLOOKUP("эл2",АО,2,FALSE),0)</f>
        <v>0</v>
      </c>
      <c r="B108" s="251"/>
      <c r="C108" s="251"/>
      <c r="D108" s="251"/>
      <c r="E108" s="251"/>
      <c r="F108" s="251"/>
      <c r="G108" s="251"/>
      <c r="H108" s="251"/>
      <c r="I108" s="251"/>
      <c r="J108" s="18">
        <f t="shared" si="4"/>
        <v>0</v>
      </c>
      <c r="L108" s="239"/>
      <c r="O108" s="1" t="s">
        <v>112</v>
      </c>
    </row>
    <row r="109" spans="1:15" hidden="1" outlineLevel="2">
      <c r="A109" s="251">
        <f>IF(VLOOKUP("эл",АО,3,FALSE)&gt;0,VLOOKUP("эл3",АО,2,FALSE),0)</f>
        <v>0</v>
      </c>
      <c r="B109" s="251"/>
      <c r="C109" s="251"/>
      <c r="D109" s="251"/>
      <c r="E109" s="251"/>
      <c r="F109" s="251"/>
      <c r="G109" s="251"/>
      <c r="H109" s="251"/>
      <c r="I109" s="251"/>
      <c r="J109" s="18">
        <f t="shared" si="4"/>
        <v>0</v>
      </c>
      <c r="L109" s="239"/>
      <c r="O109" s="1" t="s">
        <v>113</v>
      </c>
    </row>
    <row r="110" spans="1:15" ht="37.5" hidden="1" customHeight="1" outlineLevel="2">
      <c r="A110" s="251">
        <f>IF(VLOOKUP("эл",АО,3,FALSE)&gt;0,VLOOKUP("эл4",АО,2,FALSE),0)</f>
        <v>0</v>
      </c>
      <c r="B110" s="251"/>
      <c r="C110" s="251"/>
      <c r="D110" s="251"/>
      <c r="E110" s="251"/>
      <c r="F110" s="251"/>
      <c r="G110" s="251"/>
      <c r="H110" s="251"/>
      <c r="I110" s="251"/>
      <c r="J110" s="18">
        <f t="shared" si="4"/>
        <v>0</v>
      </c>
      <c r="L110" s="239"/>
      <c r="O110" s="1" t="s">
        <v>114</v>
      </c>
    </row>
    <row r="111" spans="1:15" hidden="1" outlineLevel="2">
      <c r="A111" s="251">
        <f>IF(VLOOKUP("эл",АО,3,FALSE)&gt;0,VLOOKUP("эл5",АО,2,FALSE),0)</f>
        <v>0</v>
      </c>
      <c r="B111" s="251"/>
      <c r="C111" s="251"/>
      <c r="D111" s="251"/>
      <c r="E111" s="251"/>
      <c r="F111" s="251"/>
      <c r="G111" s="251"/>
      <c r="H111" s="251"/>
      <c r="I111" s="251"/>
      <c r="J111" s="18">
        <f t="shared" si="4"/>
        <v>0</v>
      </c>
      <c r="L111" s="239"/>
      <c r="O111" s="1" t="s">
        <v>115</v>
      </c>
    </row>
    <row r="112" spans="1:15" ht="39" hidden="1" customHeight="1" outlineLevel="2">
      <c r="A112" s="251">
        <f>IF(VLOOKUP("эл",АО,3,FALSE)&gt;0,VLOOKUP("эл6",АО,2,FALSE),0)</f>
        <v>0</v>
      </c>
      <c r="B112" s="251"/>
      <c r="C112" s="251"/>
      <c r="D112" s="251"/>
      <c r="E112" s="251"/>
      <c r="F112" s="251"/>
      <c r="G112" s="251"/>
      <c r="H112" s="251"/>
      <c r="I112" s="251"/>
      <c r="J112" s="18">
        <f t="shared" si="4"/>
        <v>0</v>
      </c>
      <c r="L112" s="239"/>
      <c r="O112" s="1" t="s">
        <v>116</v>
      </c>
    </row>
    <row r="113" spans="1:15" ht="34.5" hidden="1" customHeight="1" outlineLevel="2">
      <c r="A113" s="251">
        <f>IF(VLOOKUP("эл",АО,3,FALSE)&gt;0,VLOOKUP("эл7",АО,2,FALSE),0)</f>
        <v>0</v>
      </c>
      <c r="B113" s="251"/>
      <c r="C113" s="251"/>
      <c r="D113" s="251"/>
      <c r="E113" s="251"/>
      <c r="F113" s="251"/>
      <c r="G113" s="251"/>
      <c r="H113" s="251"/>
      <c r="I113" s="251"/>
      <c r="J113" s="18">
        <f t="shared" si="4"/>
        <v>0</v>
      </c>
      <c r="L113" s="239"/>
      <c r="O113" s="1" t="s">
        <v>117</v>
      </c>
    </row>
    <row r="114" spans="1:15" ht="28.5" hidden="1" customHeight="1" outlineLevel="1">
      <c r="A114" s="235">
        <f>IF(VLOOKUP("хвс",АО,3,FALSE)&gt;0,"Холодное водоснабжение",0)</f>
        <v>0</v>
      </c>
      <c r="B114" s="235"/>
      <c r="C114" s="235"/>
      <c r="D114" s="236">
        <f>IF(VLOOKUP("хвс",АО,3,FALSE)&gt;0,VLOOKUP("хвс",АО,3,FALSE),0)</f>
        <v>0</v>
      </c>
      <c r="E114" s="236"/>
      <c r="F114" s="13">
        <f>IF(VLOOKUP("хвс",АО,3,FALSE)&gt;0,VLOOKUP("хвс",АО,4,FALSE),0)</f>
        <v>0</v>
      </c>
      <c r="G114" s="237">
        <f>VLOOKUP("хвс",АО,5,FALSE)</f>
        <v>0</v>
      </c>
      <c r="H114" s="236"/>
      <c r="I114" s="236"/>
      <c r="J114" s="236"/>
      <c r="L114" s="239"/>
    </row>
    <row r="115" spans="1:15" hidden="1" outlineLevel="2">
      <c r="A115" s="251">
        <f t="shared" ref="A115:A121" si="5">IF(VLOOKUP("хвс",АО,3,FALSE)&gt;0,VLOOKUP(O115,АО,2,FALSE),0)</f>
        <v>0</v>
      </c>
      <c r="B115" s="251"/>
      <c r="C115" s="251"/>
      <c r="D115" s="251"/>
      <c r="E115" s="251"/>
      <c r="F115" s="251"/>
      <c r="G115" s="251"/>
      <c r="H115" s="251"/>
      <c r="I115" s="251"/>
      <c r="J115" s="18">
        <f t="shared" ref="J115:J121" si="6">VLOOKUP(O115,АО,3,FALSE)</f>
        <v>0</v>
      </c>
      <c r="L115" s="239"/>
      <c r="O115" s="1" t="s">
        <v>120</v>
      </c>
    </row>
    <row r="116" spans="1:15" ht="18.75" hidden="1" customHeight="1" outlineLevel="2">
      <c r="A116" s="251">
        <f t="shared" si="5"/>
        <v>0</v>
      </c>
      <c r="B116" s="251"/>
      <c r="C116" s="251"/>
      <c r="D116" s="251"/>
      <c r="E116" s="251"/>
      <c r="F116" s="251"/>
      <c r="G116" s="251"/>
      <c r="H116" s="251"/>
      <c r="I116" s="251"/>
      <c r="J116" s="18">
        <f t="shared" si="6"/>
        <v>0</v>
      </c>
      <c r="L116" s="239"/>
      <c r="O116" s="1" t="s">
        <v>121</v>
      </c>
    </row>
    <row r="117" spans="1:15" ht="18.75" hidden="1" customHeight="1" outlineLevel="2">
      <c r="A117" s="251">
        <f t="shared" si="5"/>
        <v>0</v>
      </c>
      <c r="B117" s="251"/>
      <c r="C117" s="251"/>
      <c r="D117" s="251"/>
      <c r="E117" s="251"/>
      <c r="F117" s="251"/>
      <c r="G117" s="251"/>
      <c r="H117" s="251"/>
      <c r="I117" s="251"/>
      <c r="J117" s="18">
        <f t="shared" si="6"/>
        <v>0</v>
      </c>
      <c r="L117" s="239"/>
      <c r="O117" s="1" t="s">
        <v>122</v>
      </c>
    </row>
    <row r="118" spans="1:15" ht="36.75" hidden="1" customHeight="1" outlineLevel="2">
      <c r="A118" s="251">
        <f t="shared" si="5"/>
        <v>0</v>
      </c>
      <c r="B118" s="251"/>
      <c r="C118" s="251"/>
      <c r="D118" s="251"/>
      <c r="E118" s="251"/>
      <c r="F118" s="251"/>
      <c r="G118" s="251"/>
      <c r="H118" s="251"/>
      <c r="I118" s="251"/>
      <c r="J118" s="18">
        <f t="shared" si="6"/>
        <v>0</v>
      </c>
      <c r="L118" s="239"/>
      <c r="O118" s="1" t="s">
        <v>123</v>
      </c>
    </row>
    <row r="119" spans="1:15" ht="18.75" hidden="1" customHeight="1" outlineLevel="2">
      <c r="A119" s="251">
        <f t="shared" si="5"/>
        <v>0</v>
      </c>
      <c r="B119" s="251"/>
      <c r="C119" s="251"/>
      <c r="D119" s="251"/>
      <c r="E119" s="251"/>
      <c r="F119" s="251"/>
      <c r="G119" s="251"/>
      <c r="H119" s="251"/>
      <c r="I119" s="251"/>
      <c r="J119" s="18">
        <f t="shared" si="6"/>
        <v>0</v>
      </c>
      <c r="L119" s="239"/>
      <c r="O119" s="1" t="s">
        <v>124</v>
      </c>
    </row>
    <row r="120" spans="1:15" ht="37.5" hidden="1" customHeight="1" outlineLevel="2">
      <c r="A120" s="251">
        <f t="shared" si="5"/>
        <v>0</v>
      </c>
      <c r="B120" s="251"/>
      <c r="C120" s="251"/>
      <c r="D120" s="251"/>
      <c r="E120" s="251"/>
      <c r="F120" s="251"/>
      <c r="G120" s="251"/>
      <c r="H120" s="251"/>
      <c r="I120" s="251"/>
      <c r="J120" s="18">
        <f t="shared" si="6"/>
        <v>0</v>
      </c>
      <c r="L120" s="239"/>
      <c r="O120" s="1" t="s">
        <v>125</v>
      </c>
    </row>
    <row r="121" spans="1:15" ht="39.75" hidden="1" customHeight="1" outlineLevel="2">
      <c r="A121" s="251">
        <f t="shared" si="5"/>
        <v>0</v>
      </c>
      <c r="B121" s="251"/>
      <c r="C121" s="251"/>
      <c r="D121" s="251"/>
      <c r="E121" s="251"/>
      <c r="F121" s="251"/>
      <c r="G121" s="251"/>
      <c r="H121" s="251"/>
      <c r="I121" s="251"/>
      <c r="J121" s="18">
        <f t="shared" si="6"/>
        <v>0</v>
      </c>
      <c r="L121" s="239"/>
      <c r="O121" s="1" t="s">
        <v>126</v>
      </c>
    </row>
    <row r="122" spans="1:15" ht="27" hidden="1" customHeight="1" outlineLevel="1">
      <c r="A122" s="235">
        <f>IF(VLOOKUP("воо",АО,3,FALSE)&gt;0,"Водоотведение",0)</f>
        <v>0</v>
      </c>
      <c r="B122" s="235"/>
      <c r="C122" s="235"/>
      <c r="D122" s="236">
        <f>IF(VLOOKUP("воо",АО,3,FALSE)&gt;0,VLOOKUP("воо",АО,3,FALSE),0)</f>
        <v>0</v>
      </c>
      <c r="E122" s="236"/>
      <c r="F122" s="13">
        <f>IF(VLOOKUP("воо",АО,3,FALSE)&gt;0,VLOOKUP("воо",АО,4,FALSE),0)</f>
        <v>0</v>
      </c>
      <c r="G122" s="237">
        <f>VLOOKUP("воо",АО,5,FALSE)</f>
        <v>0</v>
      </c>
      <c r="H122" s="236"/>
      <c r="I122" s="236"/>
      <c r="J122" s="236"/>
      <c r="L122" s="239"/>
    </row>
    <row r="123" spans="1:15" hidden="1" outlineLevel="2">
      <c r="A123" s="232">
        <f t="shared" ref="A123:A129" si="7">IF(VLOOKUP("воо",АО,3,FALSE)&gt;0,VLOOKUP(O123,АО,2,FALSE),0)</f>
        <v>0</v>
      </c>
      <c r="B123" s="232"/>
      <c r="C123" s="232"/>
      <c r="D123" s="232"/>
      <c r="E123" s="232"/>
      <c r="F123" s="232"/>
      <c r="G123" s="232"/>
      <c r="H123" s="232"/>
      <c r="I123" s="232"/>
      <c r="J123" s="18">
        <f t="shared" ref="J123:J129" si="8">VLOOKUP(O123,АО,3,FALSE)</f>
        <v>0</v>
      </c>
      <c r="L123" s="239"/>
      <c r="O123" s="1" t="s">
        <v>128</v>
      </c>
    </row>
    <row r="124" spans="1:15" ht="18.75" hidden="1" customHeight="1" outlineLevel="2">
      <c r="A124" s="232">
        <f t="shared" si="7"/>
        <v>0</v>
      </c>
      <c r="B124" s="232"/>
      <c r="C124" s="232"/>
      <c r="D124" s="232"/>
      <c r="E124" s="232"/>
      <c r="F124" s="232"/>
      <c r="G124" s="232"/>
      <c r="H124" s="232"/>
      <c r="I124" s="232"/>
      <c r="J124" s="18">
        <f t="shared" si="8"/>
        <v>0</v>
      </c>
      <c r="L124" s="239"/>
      <c r="O124" s="1" t="s">
        <v>129</v>
      </c>
    </row>
    <row r="125" spans="1:15" ht="19.5" hidden="1" customHeight="1" outlineLevel="2">
      <c r="A125" s="232">
        <f t="shared" si="7"/>
        <v>0</v>
      </c>
      <c r="B125" s="232"/>
      <c r="C125" s="232"/>
      <c r="D125" s="232"/>
      <c r="E125" s="232"/>
      <c r="F125" s="232"/>
      <c r="G125" s="232"/>
      <c r="H125" s="232"/>
      <c r="I125" s="232"/>
      <c r="J125" s="18">
        <f t="shared" si="8"/>
        <v>0</v>
      </c>
      <c r="L125" s="239"/>
      <c r="O125" s="1" t="s">
        <v>130</v>
      </c>
    </row>
    <row r="126" spans="1:15" ht="33" hidden="1" customHeight="1" outlineLevel="2">
      <c r="A126" s="232">
        <f t="shared" si="7"/>
        <v>0</v>
      </c>
      <c r="B126" s="232"/>
      <c r="C126" s="232"/>
      <c r="D126" s="232"/>
      <c r="E126" s="232"/>
      <c r="F126" s="232"/>
      <c r="G126" s="232"/>
      <c r="H126" s="232"/>
      <c r="I126" s="232"/>
      <c r="J126" s="18">
        <f t="shared" si="8"/>
        <v>0</v>
      </c>
      <c r="L126" s="239"/>
      <c r="O126" s="1" t="s">
        <v>131</v>
      </c>
    </row>
    <row r="127" spans="1:15" ht="18.75" hidden="1" customHeight="1" outlineLevel="2">
      <c r="A127" s="232">
        <f t="shared" si="7"/>
        <v>0</v>
      </c>
      <c r="B127" s="232"/>
      <c r="C127" s="232"/>
      <c r="D127" s="232"/>
      <c r="E127" s="232"/>
      <c r="F127" s="232"/>
      <c r="G127" s="232"/>
      <c r="H127" s="232"/>
      <c r="I127" s="232"/>
      <c r="J127" s="18">
        <f t="shared" si="8"/>
        <v>0</v>
      </c>
      <c r="L127" s="239"/>
      <c r="O127" s="1" t="s">
        <v>132</v>
      </c>
    </row>
    <row r="128" spans="1:15" ht="33.75" hidden="1" customHeight="1" outlineLevel="2">
      <c r="A128" s="232">
        <f t="shared" si="7"/>
        <v>0</v>
      </c>
      <c r="B128" s="232"/>
      <c r="C128" s="232"/>
      <c r="D128" s="232"/>
      <c r="E128" s="232"/>
      <c r="F128" s="232"/>
      <c r="G128" s="232"/>
      <c r="H128" s="232"/>
      <c r="I128" s="232"/>
      <c r="J128" s="18">
        <f t="shared" si="8"/>
        <v>0</v>
      </c>
      <c r="L128" s="239"/>
      <c r="O128" s="1" t="s">
        <v>133</v>
      </c>
    </row>
    <row r="129" spans="1:15" ht="32.25" hidden="1" customHeight="1" outlineLevel="2">
      <c r="A129" s="232">
        <f t="shared" si="7"/>
        <v>0</v>
      </c>
      <c r="B129" s="232"/>
      <c r="C129" s="232"/>
      <c r="D129" s="232"/>
      <c r="E129" s="232"/>
      <c r="F129" s="232"/>
      <c r="G129" s="232"/>
      <c r="H129" s="232"/>
      <c r="I129" s="232"/>
      <c r="J129" s="18">
        <f t="shared" si="8"/>
        <v>0</v>
      </c>
      <c r="L129" s="239"/>
      <c r="O129" s="1" t="s">
        <v>134</v>
      </c>
    </row>
    <row r="130" spans="1:15" ht="32.25" hidden="1" customHeight="1" outlineLevel="1">
      <c r="A130" s="235">
        <f>IF(VLOOKUP("тко",АО,3,FALSE)&gt;0,"Обращение с ТКО",0)</f>
        <v>0</v>
      </c>
      <c r="B130" s="235"/>
      <c r="C130" s="235"/>
      <c r="D130" s="236">
        <f>IF(VLOOKUP("тко",АО,3,FALSE)&gt;0,VLOOKUP("тко",АО,3,FALSE),0)</f>
        <v>0</v>
      </c>
      <c r="E130" s="236"/>
      <c r="F130" s="13">
        <f>IF(VLOOKUP("тко",АО,3,FALSE)&gt;0,VLOOKUP("тко",АО,4,FALSE),0)</f>
        <v>0</v>
      </c>
      <c r="G130" s="237">
        <f>VLOOKUP("тко",АО,5,FALSE)</f>
        <v>0</v>
      </c>
      <c r="H130" s="236"/>
      <c r="I130" s="236"/>
      <c r="J130" s="236"/>
      <c r="L130" s="40"/>
    </row>
    <row r="131" spans="1:15" ht="32.25" hidden="1" customHeight="1" outlineLevel="2">
      <c r="A131" s="232">
        <f t="shared" ref="A131:A137" si="9">IF(VLOOKUP("тко",АО,3,FALSE)&gt;0,VLOOKUP(O131,АО,2,FALSE),0)</f>
        <v>0</v>
      </c>
      <c r="B131" s="232"/>
      <c r="C131" s="232"/>
      <c r="D131" s="232"/>
      <c r="E131" s="232"/>
      <c r="F131" s="232"/>
      <c r="G131" s="232"/>
      <c r="H131" s="232"/>
      <c r="I131" s="232"/>
      <c r="J131" s="18">
        <f t="shared" ref="J131:J137" si="10">VLOOKUP(O131,АО,3,FALSE)</f>
        <v>0</v>
      </c>
      <c r="L131" s="40"/>
      <c r="O131" s="1" t="s">
        <v>136</v>
      </c>
    </row>
    <row r="132" spans="1:15" ht="32.25" hidden="1" customHeight="1" outlineLevel="2">
      <c r="A132" s="232">
        <f t="shared" si="9"/>
        <v>0</v>
      </c>
      <c r="B132" s="232"/>
      <c r="C132" s="232"/>
      <c r="D132" s="232"/>
      <c r="E132" s="232"/>
      <c r="F132" s="232"/>
      <c r="G132" s="232"/>
      <c r="H132" s="232"/>
      <c r="I132" s="232"/>
      <c r="J132" s="18">
        <f t="shared" si="10"/>
        <v>0</v>
      </c>
      <c r="L132" s="40"/>
      <c r="O132" s="1" t="s">
        <v>137</v>
      </c>
    </row>
    <row r="133" spans="1:15" ht="32.25" hidden="1" customHeight="1" outlineLevel="2">
      <c r="A133" s="232">
        <f t="shared" si="9"/>
        <v>0</v>
      </c>
      <c r="B133" s="232"/>
      <c r="C133" s="232"/>
      <c r="D133" s="232"/>
      <c r="E133" s="232"/>
      <c r="F133" s="232"/>
      <c r="G133" s="232"/>
      <c r="H133" s="232"/>
      <c r="I133" s="232"/>
      <c r="J133" s="18">
        <f t="shared" si="10"/>
        <v>0</v>
      </c>
      <c r="L133" s="40"/>
      <c r="O133" s="1" t="s">
        <v>138</v>
      </c>
    </row>
    <row r="134" spans="1:15" ht="32.25" hidden="1" customHeight="1" outlineLevel="2">
      <c r="A134" s="232">
        <f t="shared" si="9"/>
        <v>0</v>
      </c>
      <c r="B134" s="232"/>
      <c r="C134" s="232"/>
      <c r="D134" s="232"/>
      <c r="E134" s="232"/>
      <c r="F134" s="232"/>
      <c r="G134" s="232"/>
      <c r="H134" s="232"/>
      <c r="I134" s="232"/>
      <c r="J134" s="18">
        <f t="shared" si="10"/>
        <v>0</v>
      </c>
      <c r="L134" s="40"/>
      <c r="O134" s="1" t="s">
        <v>139</v>
      </c>
    </row>
    <row r="135" spans="1:15" ht="32.25" hidden="1" customHeight="1" outlineLevel="2">
      <c r="A135" s="232">
        <f t="shared" si="9"/>
        <v>0</v>
      </c>
      <c r="B135" s="232"/>
      <c r="C135" s="232"/>
      <c r="D135" s="232"/>
      <c r="E135" s="232"/>
      <c r="F135" s="232"/>
      <c r="G135" s="232"/>
      <c r="H135" s="232"/>
      <c r="I135" s="232"/>
      <c r="J135" s="18">
        <f t="shared" si="10"/>
        <v>0</v>
      </c>
      <c r="L135" s="40"/>
      <c r="O135" s="1" t="s">
        <v>140</v>
      </c>
    </row>
    <row r="136" spans="1:15" ht="32.25" hidden="1" customHeight="1" outlineLevel="2">
      <c r="A136" s="232">
        <f t="shared" si="9"/>
        <v>0</v>
      </c>
      <c r="B136" s="232"/>
      <c r="C136" s="232"/>
      <c r="D136" s="232"/>
      <c r="E136" s="232"/>
      <c r="F136" s="232"/>
      <c r="G136" s="232"/>
      <c r="H136" s="232"/>
      <c r="I136" s="232"/>
      <c r="J136" s="18">
        <f t="shared" si="10"/>
        <v>0</v>
      </c>
      <c r="L136" s="40"/>
      <c r="O136" s="1" t="s">
        <v>141</v>
      </c>
    </row>
    <row r="137" spans="1:15" ht="32.25" hidden="1" customHeight="1" outlineLevel="2">
      <c r="A137" s="232">
        <f t="shared" si="9"/>
        <v>0</v>
      </c>
      <c r="B137" s="232"/>
      <c r="C137" s="232"/>
      <c r="D137" s="232"/>
      <c r="E137" s="232"/>
      <c r="F137" s="232"/>
      <c r="G137" s="232"/>
      <c r="H137" s="232"/>
      <c r="I137" s="232"/>
      <c r="J137" s="18">
        <f t="shared" si="10"/>
        <v>0</v>
      </c>
      <c r="L137" s="40"/>
      <c r="O137" s="1" t="s">
        <v>142</v>
      </c>
    </row>
    <row r="138" spans="1:15" ht="32.25" hidden="1" customHeight="1" outlineLevel="1">
      <c r="A138" s="235">
        <f>IF(VLOOKUP("гвс",АО,3,FALSE)&gt;0,"Горячее водоснабжение",0)</f>
        <v>0</v>
      </c>
      <c r="B138" s="235"/>
      <c r="C138" s="235"/>
      <c r="D138" s="236">
        <f>IF(VLOOKUP("гвс",АО,3,FALSE)&gt;0,VLOOKUP("гвс",АО,3,FALSE),0)</f>
        <v>0</v>
      </c>
      <c r="E138" s="236"/>
      <c r="F138" s="13">
        <f>IF(VLOOKUP("гвс",АО,3,FALSE)&gt;0,VLOOKUP("гвс",АО,4,FALSE),0)</f>
        <v>0</v>
      </c>
      <c r="G138" s="237">
        <f>VLOOKUP("гвс",АО,5,FALSE)</f>
        <v>0</v>
      </c>
      <c r="H138" s="236"/>
      <c r="I138" s="236"/>
      <c r="J138" s="236"/>
      <c r="L138" s="40"/>
    </row>
    <row r="139" spans="1:15" ht="32.25" hidden="1" customHeight="1" outlineLevel="2">
      <c r="A139" s="232">
        <f t="shared" ref="A139:A145" si="11">IF(VLOOKUP("гвс",АО,3,FALSE)&gt;0,VLOOKUP(O139,АО,2,FALSE),0)</f>
        <v>0</v>
      </c>
      <c r="B139" s="232"/>
      <c r="C139" s="232"/>
      <c r="D139" s="232"/>
      <c r="E139" s="232"/>
      <c r="F139" s="232"/>
      <c r="G139" s="232"/>
      <c r="H139" s="232"/>
      <c r="I139" s="232"/>
      <c r="J139" s="18">
        <f t="shared" ref="J139:J145" si="12">VLOOKUP(O139,АО,3,FALSE)</f>
        <v>0</v>
      </c>
      <c r="L139" s="40"/>
      <c r="O139" s="1" t="s">
        <v>144</v>
      </c>
    </row>
    <row r="140" spans="1:15" ht="32.25" hidden="1" customHeight="1" outlineLevel="2">
      <c r="A140" s="232">
        <f t="shared" si="11"/>
        <v>0</v>
      </c>
      <c r="B140" s="232"/>
      <c r="C140" s="232"/>
      <c r="D140" s="232"/>
      <c r="E140" s="232"/>
      <c r="F140" s="232"/>
      <c r="G140" s="232"/>
      <c r="H140" s="232"/>
      <c r="I140" s="232"/>
      <c r="J140" s="18">
        <f t="shared" si="12"/>
        <v>0</v>
      </c>
      <c r="L140" s="40"/>
      <c r="O140" s="1" t="s">
        <v>145</v>
      </c>
    </row>
    <row r="141" spans="1:15" ht="32.25" hidden="1" customHeight="1" outlineLevel="2">
      <c r="A141" s="232">
        <f t="shared" si="11"/>
        <v>0</v>
      </c>
      <c r="B141" s="232"/>
      <c r="C141" s="232"/>
      <c r="D141" s="232"/>
      <c r="E141" s="232"/>
      <c r="F141" s="232"/>
      <c r="G141" s="232"/>
      <c r="H141" s="232"/>
      <c r="I141" s="232"/>
      <c r="J141" s="18">
        <f t="shared" si="12"/>
        <v>0</v>
      </c>
      <c r="L141" s="40"/>
      <c r="O141" s="1" t="s">
        <v>146</v>
      </c>
    </row>
    <row r="142" spans="1:15" ht="32.25" hidden="1" customHeight="1" outlineLevel="2">
      <c r="A142" s="232">
        <f t="shared" si="11"/>
        <v>0</v>
      </c>
      <c r="B142" s="232"/>
      <c r="C142" s="232"/>
      <c r="D142" s="232"/>
      <c r="E142" s="232"/>
      <c r="F142" s="232"/>
      <c r="G142" s="232"/>
      <c r="H142" s="232"/>
      <c r="I142" s="232"/>
      <c r="J142" s="18">
        <f t="shared" si="12"/>
        <v>0</v>
      </c>
      <c r="L142" s="40"/>
      <c r="O142" s="1" t="s">
        <v>147</v>
      </c>
    </row>
    <row r="143" spans="1:15" ht="32.25" hidden="1" customHeight="1" outlineLevel="2">
      <c r="A143" s="232">
        <f t="shared" si="11"/>
        <v>0</v>
      </c>
      <c r="B143" s="232"/>
      <c r="C143" s="232"/>
      <c r="D143" s="232"/>
      <c r="E143" s="232"/>
      <c r="F143" s="232"/>
      <c r="G143" s="232"/>
      <c r="H143" s="232"/>
      <c r="I143" s="232"/>
      <c r="J143" s="18">
        <f t="shared" si="12"/>
        <v>0</v>
      </c>
      <c r="L143" s="40"/>
      <c r="O143" s="1" t="s">
        <v>148</v>
      </c>
    </row>
    <row r="144" spans="1:15" ht="32.25" hidden="1" customHeight="1" outlineLevel="2">
      <c r="A144" s="232">
        <f t="shared" si="11"/>
        <v>0</v>
      </c>
      <c r="B144" s="232"/>
      <c r="C144" s="232"/>
      <c r="D144" s="232"/>
      <c r="E144" s="232"/>
      <c r="F144" s="232"/>
      <c r="G144" s="232"/>
      <c r="H144" s="232"/>
      <c r="I144" s="232"/>
      <c r="J144" s="18">
        <f t="shared" si="12"/>
        <v>0</v>
      </c>
      <c r="L144" s="40"/>
      <c r="O144" s="1" t="s">
        <v>149</v>
      </c>
    </row>
    <row r="145" spans="1:15" ht="32.25" hidden="1" customHeight="1" outlineLevel="2">
      <c r="A145" s="232">
        <f t="shared" si="11"/>
        <v>0</v>
      </c>
      <c r="B145" s="232"/>
      <c r="C145" s="232"/>
      <c r="D145" s="232"/>
      <c r="E145" s="232"/>
      <c r="F145" s="232"/>
      <c r="G145" s="232"/>
      <c r="H145" s="232"/>
      <c r="I145" s="232"/>
      <c r="J145" s="18">
        <f t="shared" si="12"/>
        <v>0</v>
      </c>
      <c r="L145" s="40"/>
      <c r="O145" s="1" t="s">
        <v>150</v>
      </c>
    </row>
    <row r="146" spans="1:15" ht="32.25" hidden="1" customHeight="1" outlineLevel="1">
      <c r="A146" s="235">
        <f>IF(VLOOKUP("отопление",АО,3,FALSE)&gt;0,"Отопление",0)</f>
        <v>0</v>
      </c>
      <c r="B146" s="235"/>
      <c r="C146" s="235"/>
      <c r="D146" s="236">
        <f>IF(VLOOKUP("отопление",АО,3,FALSE)&gt;0,VLOOKUP("отопление",АО,3,FALSE),0)</f>
        <v>0</v>
      </c>
      <c r="E146" s="236"/>
      <c r="F146" s="13">
        <f>IF(VLOOKUP("отопление",АО,3,FALSE)&gt;0,VLOOKUP("отопление",АО,4,FALSE),0)</f>
        <v>0</v>
      </c>
      <c r="G146" s="237">
        <f>VLOOKUP("отопление",АО,5,FALSE)</f>
        <v>0</v>
      </c>
      <c r="H146" s="236"/>
      <c r="I146" s="236"/>
      <c r="J146" s="236"/>
      <c r="L146" s="40"/>
    </row>
    <row r="147" spans="1:15" ht="32.25" hidden="1" customHeight="1" outlineLevel="2">
      <c r="A147" s="232">
        <f t="shared" ref="A147:A153" si="13">IF(VLOOKUP("отопление",АО,3,FALSE)&gt;0,VLOOKUP(O147,АО,2,FALSE),0)</f>
        <v>0</v>
      </c>
      <c r="B147" s="232"/>
      <c r="C147" s="232"/>
      <c r="D147" s="232"/>
      <c r="E147" s="232"/>
      <c r="F147" s="232"/>
      <c r="G147" s="232"/>
      <c r="H147" s="232"/>
      <c r="I147" s="232"/>
      <c r="J147" s="18">
        <f t="shared" ref="J147:J153" si="14">VLOOKUP(O147,АО,3,FALSE)</f>
        <v>0</v>
      </c>
      <c r="L147" s="40"/>
      <c r="O147" s="1" t="s">
        <v>152</v>
      </c>
    </row>
    <row r="148" spans="1:15" ht="32.25" hidden="1" customHeight="1" outlineLevel="2">
      <c r="A148" s="232">
        <f t="shared" si="13"/>
        <v>0</v>
      </c>
      <c r="B148" s="232"/>
      <c r="C148" s="232"/>
      <c r="D148" s="232"/>
      <c r="E148" s="232"/>
      <c r="F148" s="232"/>
      <c r="G148" s="232"/>
      <c r="H148" s="232"/>
      <c r="I148" s="232"/>
      <c r="J148" s="18">
        <f t="shared" si="14"/>
        <v>0</v>
      </c>
      <c r="L148" s="40"/>
      <c r="O148" s="1" t="s">
        <v>153</v>
      </c>
    </row>
    <row r="149" spans="1:15" ht="32.25" hidden="1" customHeight="1" outlineLevel="2">
      <c r="A149" s="232">
        <f t="shared" si="13"/>
        <v>0</v>
      </c>
      <c r="B149" s="232"/>
      <c r="C149" s="232"/>
      <c r="D149" s="232"/>
      <c r="E149" s="232"/>
      <c r="F149" s="232"/>
      <c r="G149" s="232"/>
      <c r="H149" s="232"/>
      <c r="I149" s="232"/>
      <c r="J149" s="18">
        <f t="shared" si="14"/>
        <v>0</v>
      </c>
      <c r="L149" s="40"/>
      <c r="O149" s="1" t="s">
        <v>154</v>
      </c>
    </row>
    <row r="150" spans="1:15" ht="32.25" hidden="1" customHeight="1" outlineLevel="2">
      <c r="A150" s="232">
        <f t="shared" si="13"/>
        <v>0</v>
      </c>
      <c r="B150" s="232"/>
      <c r="C150" s="232"/>
      <c r="D150" s="232"/>
      <c r="E150" s="232"/>
      <c r="F150" s="232"/>
      <c r="G150" s="232"/>
      <c r="H150" s="232"/>
      <c r="I150" s="232"/>
      <c r="J150" s="18">
        <f t="shared" si="14"/>
        <v>0</v>
      </c>
      <c r="L150" s="40"/>
      <c r="O150" s="1" t="s">
        <v>155</v>
      </c>
    </row>
    <row r="151" spans="1:15" ht="32.25" hidden="1" customHeight="1" outlineLevel="2">
      <c r="A151" s="232">
        <f t="shared" si="13"/>
        <v>0</v>
      </c>
      <c r="B151" s="232"/>
      <c r="C151" s="232"/>
      <c r="D151" s="232"/>
      <c r="E151" s="232"/>
      <c r="F151" s="232"/>
      <c r="G151" s="232"/>
      <c r="H151" s="232"/>
      <c r="I151" s="232"/>
      <c r="J151" s="18">
        <f t="shared" si="14"/>
        <v>0</v>
      </c>
      <c r="L151" s="40"/>
      <c r="O151" s="1" t="s">
        <v>156</v>
      </c>
    </row>
    <row r="152" spans="1:15" ht="32.25" hidden="1" customHeight="1" outlineLevel="2">
      <c r="A152" s="232">
        <f t="shared" si="13"/>
        <v>0</v>
      </c>
      <c r="B152" s="232"/>
      <c r="C152" s="232"/>
      <c r="D152" s="232"/>
      <c r="E152" s="232"/>
      <c r="F152" s="232"/>
      <c r="G152" s="232"/>
      <c r="H152" s="232"/>
      <c r="I152" s="232"/>
      <c r="J152" s="18">
        <f t="shared" si="14"/>
        <v>0</v>
      </c>
      <c r="L152" s="40"/>
      <c r="O152" s="1" t="s">
        <v>157</v>
      </c>
    </row>
    <row r="153" spans="1:15" ht="32.25" hidden="1" customHeight="1" outlineLevel="2">
      <c r="A153" s="232">
        <f t="shared" si="13"/>
        <v>0</v>
      </c>
      <c r="B153" s="232"/>
      <c r="C153" s="232"/>
      <c r="D153" s="232"/>
      <c r="E153" s="232"/>
      <c r="F153" s="232"/>
      <c r="G153" s="232"/>
      <c r="H153" s="232"/>
      <c r="I153" s="232"/>
      <c r="J153" s="18">
        <f t="shared" si="14"/>
        <v>0</v>
      </c>
      <c r="L153" s="40"/>
      <c r="O153" s="1" t="s">
        <v>158</v>
      </c>
    </row>
    <row r="155" spans="1:15">
      <c r="A155" s="11" t="s">
        <v>43</v>
      </c>
    </row>
    <row r="156" spans="1:15" ht="18.75" customHeight="1" outlineLevel="1">
      <c r="A156" s="232" t="s">
        <v>44</v>
      </c>
      <c r="B156" s="232"/>
      <c r="C156" s="232"/>
      <c r="D156" s="232"/>
      <c r="E156" s="232"/>
      <c r="F156" s="232"/>
      <c r="G156" s="232"/>
      <c r="H156" s="232"/>
      <c r="I156" s="232"/>
      <c r="J156" s="14">
        <f>VLOOKUP(O156,юр,3,FALSE)</f>
        <v>45</v>
      </c>
      <c r="O156" t="s">
        <v>168</v>
      </c>
    </row>
    <row r="157" spans="1:15" ht="18.75" customHeight="1" outlineLevel="1">
      <c r="A157" s="232" t="s">
        <v>45</v>
      </c>
      <c r="B157" s="232"/>
      <c r="C157" s="232"/>
      <c r="D157" s="232"/>
      <c r="E157" s="232"/>
      <c r="F157" s="232"/>
      <c r="G157" s="232"/>
      <c r="H157" s="232"/>
      <c r="I157" s="232"/>
      <c r="J157" s="14">
        <f>VLOOKUP(O157,юр,3,FALSE)</f>
        <v>21</v>
      </c>
      <c r="L157" s="15"/>
      <c r="O157" t="s">
        <v>169</v>
      </c>
    </row>
    <row r="158" spans="1:15" ht="30" customHeight="1" outlineLevel="1">
      <c r="A158" s="232" t="s">
        <v>171</v>
      </c>
      <c r="B158" s="232"/>
      <c r="C158" s="232"/>
      <c r="D158" s="232"/>
      <c r="E158" s="232"/>
      <c r="F158" s="232"/>
      <c r="G158" s="232"/>
      <c r="H158" s="232"/>
      <c r="I158" s="232"/>
      <c r="J158" s="9">
        <f>VLOOKUP(O158,юр,3,FALSE)</f>
        <v>0</v>
      </c>
      <c r="O158" t="s">
        <v>170</v>
      </c>
    </row>
    <row r="161" spans="1:14" ht="52.5" customHeight="1">
      <c r="A161" s="255" t="s">
        <v>178</v>
      </c>
      <c r="B161" s="255"/>
      <c r="C161" s="255"/>
      <c r="D161" s="255"/>
      <c r="E161" s="255"/>
      <c r="F161" s="255"/>
      <c r="G161" s="255"/>
      <c r="H161" s="255"/>
      <c r="I161" s="255"/>
      <c r="J161" s="255"/>
    </row>
    <row r="163" spans="1:14">
      <c r="A163" s="1" t="s">
        <v>0</v>
      </c>
      <c r="E163" s="3">
        <v>45292</v>
      </c>
    </row>
    <row r="164" spans="1:14">
      <c r="A164" s="1" t="s">
        <v>1</v>
      </c>
      <c r="E164" s="3">
        <v>45657</v>
      </c>
    </row>
    <row r="166" spans="1:14" ht="39.75" customHeight="1">
      <c r="A166" s="257" t="s">
        <v>189</v>
      </c>
      <c r="B166" s="257"/>
      <c r="C166" s="257"/>
      <c r="D166" s="257"/>
      <c r="E166" s="26">
        <f>ПТО!G1</f>
        <v>-1085274.3</v>
      </c>
    </row>
    <row r="167" spans="1:14" ht="34.5" customHeight="1">
      <c r="A167" s="256" t="s">
        <v>193</v>
      </c>
      <c r="B167" s="256"/>
      <c r="C167" s="256"/>
      <c r="D167" s="256"/>
      <c r="E167" s="27">
        <f>J13</f>
        <v>832110</v>
      </c>
      <c r="F167" s="21"/>
      <c r="G167" s="21"/>
      <c r="H167" s="25"/>
      <c r="I167" s="21"/>
    </row>
    <row r="168" spans="1:14">
      <c r="N168" s="1" t="e">
        <f>INDEX($O$28:$O$42,SMALL(IF(#REF!=R28:R42,ROW(O28:O52)-27,""),ROW()-133))</f>
        <v>#REF!</v>
      </c>
    </row>
    <row r="169" spans="1:14" ht="63">
      <c r="A169" s="240" t="s">
        <v>19</v>
      </c>
      <c r="B169" s="240"/>
      <c r="C169" s="240"/>
      <c r="D169" s="240"/>
      <c r="E169" s="240"/>
      <c r="F169" s="240" t="s">
        <v>20</v>
      </c>
      <c r="G169" s="240"/>
      <c r="H169" s="20" t="s">
        <v>56</v>
      </c>
      <c r="I169" s="240" t="s">
        <v>21</v>
      </c>
      <c r="J169" s="240"/>
    </row>
    <row r="170" spans="1:14" ht="29.25" customHeight="1">
      <c r="A170" s="231" t="str">
        <f t="shared" ref="A170:A175" si="15">IF(N170&gt;0,N170,0)</f>
        <v>Техническое обслуживание охранной сигнализации.</v>
      </c>
      <c r="B170" s="231"/>
      <c r="C170" s="231"/>
      <c r="D170" s="231"/>
      <c r="E170" s="231"/>
      <c r="F170" s="229">
        <f>IF(ISERROR(VLOOKUP(A170,$A$28:$J$84,6,FALSE)),0,VLOOKUP(A170,$A$28:$J$84,6,FALSE))</f>
        <v>25360</v>
      </c>
      <c r="G170" s="229"/>
      <c r="H170" s="24" t="str">
        <f>VLOOKUP(A170,$A$28:$J$84,8,FALSE)</f>
        <v>ежемесячно</v>
      </c>
      <c r="I170" s="230">
        <f>VLOOKUP(A170,$A$28:$J$84,9,FALSE)</f>
        <v>12</v>
      </c>
      <c r="J170" s="230"/>
      <c r="M170" s="22" t="s">
        <v>71</v>
      </c>
      <c r="N170" s="1" t="str">
        <f t="array" ref="N170:N204">INDEX($O$43:$O$84,SMALL(IF($M$170=R43:R84,ROW(O43:O84)-42,""),ROW()-169))</f>
        <v>Техническое обслуживание охранной сигнализации.</v>
      </c>
    </row>
    <row r="171" spans="1:14" ht="28.5" customHeight="1">
      <c r="A171" s="231" t="str">
        <f t="shared" si="15"/>
        <v>Техническое обслуживание системы видеонаблюдения.</v>
      </c>
      <c r="B171" s="231"/>
      <c r="C171" s="231"/>
      <c r="D171" s="231"/>
      <c r="E171" s="231"/>
      <c r="F171" s="229">
        <f t="shared" ref="F171:F204" si="16">IF(ISERROR(VLOOKUP(A171,$A$28:$J$84,6,FALSE)),0,VLOOKUP(A171,$A$28:$J$84,6,FALSE))</f>
        <v>6440</v>
      </c>
      <c r="G171" s="229"/>
      <c r="H171" s="133" t="str">
        <f t="shared" ref="H171:H204" si="17">VLOOKUP(A171,$A$28:$J$84,8,FALSE)</f>
        <v>ежемесячно</v>
      </c>
      <c r="I171" s="230">
        <f t="shared" ref="I171:I204" si="18">VLOOKUP(A171,$A$28:$J$84,9,FALSE)</f>
        <v>1</v>
      </c>
      <c r="J171" s="230"/>
      <c r="M171" s="22" t="s">
        <v>71</v>
      </c>
      <c r="N171" s="1" t="str">
        <v>Техническое обслуживание системы видеонаблюдения.</v>
      </c>
    </row>
    <row r="172" spans="1:14" ht="28.5" customHeight="1">
      <c r="A172" s="231" t="str">
        <f t="shared" si="15"/>
        <v>Техническое обслуживание системы контроля затопления подвальных помещений (1-2 квартал).</v>
      </c>
      <c r="B172" s="231"/>
      <c r="C172" s="231"/>
      <c r="D172" s="231"/>
      <c r="E172" s="231"/>
      <c r="F172" s="229">
        <f t="shared" si="16"/>
        <v>3600</v>
      </c>
      <c r="G172" s="229"/>
      <c r="H172" s="133" t="str">
        <f t="shared" si="17"/>
        <v>ежемесячно</v>
      </c>
      <c r="I172" s="230">
        <f t="shared" si="18"/>
        <v>6</v>
      </c>
      <c r="J172" s="230"/>
      <c r="M172" s="22" t="s">
        <v>71</v>
      </c>
      <c r="N172" s="1" t="str">
        <v>Техническое обслуживание системы контроля затопления подвальных помещений (1-2 квартал).</v>
      </c>
    </row>
    <row r="173" spans="1:14" ht="28.5" customHeight="1">
      <c r="A173" s="231" t="str">
        <f>IF(N173&gt;0,N173,0)</f>
        <v>Техническое обслуживание системы контроля затопления подвальных помещений (3-4 квартал).</v>
      </c>
      <c r="B173" s="231"/>
      <c r="C173" s="231"/>
      <c r="D173" s="231"/>
      <c r="E173" s="231"/>
      <c r="F173" s="229">
        <f t="shared" si="16"/>
        <v>3600</v>
      </c>
      <c r="G173" s="229"/>
      <c r="H173" s="133" t="str">
        <f t="shared" si="17"/>
        <v>ежемесячно</v>
      </c>
      <c r="I173" s="230">
        <f t="shared" si="18"/>
        <v>6</v>
      </c>
      <c r="J173" s="230"/>
      <c r="M173" s="22" t="s">
        <v>71</v>
      </c>
      <c r="N173" s="1" t="str">
        <v>Техническое обслуживание системы контроля затопления подвальных помещений (3-4 квартал).</v>
      </c>
    </row>
    <row r="174" spans="1:14" ht="28.5" customHeight="1">
      <c r="A174" s="231" t="str">
        <f t="shared" si="15"/>
        <v>Механизированная уборка и вывоз снега с придомовой территории.</v>
      </c>
      <c r="B174" s="231"/>
      <c r="C174" s="231"/>
      <c r="D174" s="231"/>
      <c r="E174" s="231"/>
      <c r="F174" s="229">
        <f t="shared" si="16"/>
        <v>79200</v>
      </c>
      <c r="G174" s="229"/>
      <c r="H174" s="133" t="str">
        <f t="shared" si="17"/>
        <v>разово</v>
      </c>
      <c r="I174" s="230">
        <f t="shared" si="18"/>
        <v>1</v>
      </c>
      <c r="J174" s="230"/>
      <c r="M174" s="22" t="s">
        <v>71</v>
      </c>
      <c r="N174" s="1" t="str">
        <v>Механизированная уборка и вывоз снега с придомовой территории.</v>
      </c>
    </row>
    <row r="175" spans="1:14" ht="28.5" customHeight="1">
      <c r="A175" s="231" t="str">
        <f t="shared" si="15"/>
        <v>Сварочные работы на стояке ГВС (кв. №352).</v>
      </c>
      <c r="B175" s="231"/>
      <c r="C175" s="231"/>
      <c r="D175" s="231"/>
      <c r="E175" s="231"/>
      <c r="F175" s="229">
        <f t="shared" si="16"/>
        <v>3600</v>
      </c>
      <c r="G175" s="229"/>
      <c r="H175" s="133" t="str">
        <f t="shared" si="17"/>
        <v>разово</v>
      </c>
      <c r="I175" s="230">
        <f t="shared" si="18"/>
        <v>1</v>
      </c>
      <c r="J175" s="230"/>
      <c r="M175" s="22" t="s">
        <v>71</v>
      </c>
      <c r="N175" s="1" t="str">
        <v>Сварочные работы на стояке ГВС (кв. №352).</v>
      </c>
    </row>
    <row r="176" spans="1:14" ht="28.5" customHeight="1">
      <c r="A176" s="231" t="str">
        <f t="shared" ref="A176:A199" si="19">IF(N176&gt;0,N176,0)</f>
        <v>Диагностика насосной станции холодного водоснабжения.</v>
      </c>
      <c r="B176" s="231"/>
      <c r="C176" s="231"/>
      <c r="D176" s="231"/>
      <c r="E176" s="231"/>
      <c r="F176" s="229">
        <f t="shared" si="16"/>
        <v>3250</v>
      </c>
      <c r="G176" s="229"/>
      <c r="H176" s="133" t="str">
        <f t="shared" si="17"/>
        <v>разово</v>
      </c>
      <c r="I176" s="230">
        <f t="shared" si="18"/>
        <v>1</v>
      </c>
      <c r="J176" s="230"/>
      <c r="M176" s="22" t="s">
        <v>71</v>
      </c>
      <c r="N176" s="1" t="str">
        <v>Диагностика насосной станции холодного водоснабжения.</v>
      </c>
    </row>
    <row r="177" spans="1:14" ht="28.5" customHeight="1">
      <c r="A177" s="231" t="str">
        <f t="shared" si="19"/>
        <v>Диагностика и ремонт системы видеонаблюдения, приобретение блока питания.</v>
      </c>
      <c r="B177" s="231"/>
      <c r="C177" s="231"/>
      <c r="D177" s="231"/>
      <c r="E177" s="231"/>
      <c r="F177" s="229">
        <f t="shared" si="16"/>
        <v>4300</v>
      </c>
      <c r="G177" s="229"/>
      <c r="H177" s="133" t="str">
        <f t="shared" si="17"/>
        <v>разово</v>
      </c>
      <c r="I177" s="230">
        <f t="shared" si="18"/>
        <v>1</v>
      </c>
      <c r="J177" s="230"/>
      <c r="M177" s="22" t="s">
        <v>71</v>
      </c>
      <c r="N177" s="1" t="str">
        <v>Диагностика и ремонт системы видеонаблюдения, приобретение блока питания.</v>
      </c>
    </row>
    <row r="178" spans="1:14" ht="28.5" customHeight="1">
      <c r="A178" s="231" t="str">
        <f t="shared" si="19"/>
        <v>Ремонт насосной станции ХВС (замена торцевого уплотнителя насоса).</v>
      </c>
      <c r="B178" s="231"/>
      <c r="C178" s="231"/>
      <c r="D178" s="231"/>
      <c r="E178" s="231"/>
      <c r="F178" s="229">
        <f t="shared" si="16"/>
        <v>16170</v>
      </c>
      <c r="G178" s="229"/>
      <c r="H178" s="133" t="str">
        <f t="shared" si="17"/>
        <v>разово</v>
      </c>
      <c r="I178" s="230">
        <f t="shared" si="18"/>
        <v>1</v>
      </c>
      <c r="J178" s="230"/>
      <c r="M178" s="22" t="s">
        <v>71</v>
      </c>
      <c r="N178" s="1" t="str">
        <v>Ремонт насосной станции ХВС (замена торцевого уплотнителя насоса).</v>
      </c>
    </row>
    <row r="179" spans="1:14" ht="28.5" customHeight="1">
      <c r="A179" s="231" t="str">
        <f t="shared" si="19"/>
        <v>Сварочные работы на стояке ГВС (кв. №359).</v>
      </c>
      <c r="B179" s="231"/>
      <c r="C179" s="231"/>
      <c r="D179" s="231"/>
      <c r="E179" s="231"/>
      <c r="F179" s="229">
        <f t="shared" si="16"/>
        <v>5400</v>
      </c>
      <c r="G179" s="229"/>
      <c r="H179" s="133" t="str">
        <f t="shared" si="17"/>
        <v>разово</v>
      </c>
      <c r="I179" s="230">
        <f t="shared" si="18"/>
        <v>1</v>
      </c>
      <c r="J179" s="230"/>
      <c r="M179" s="22" t="s">
        <v>71</v>
      </c>
      <c r="N179" s="1" t="str">
        <v>Сварочные работы на стояке ГВС (кв. №359).</v>
      </c>
    </row>
    <row r="180" spans="1:14" ht="28.5" customHeight="1">
      <c r="A180" s="231" t="str">
        <f t="shared" si="19"/>
        <v xml:space="preserve">Приобретение и установка светильников над подъездом (2 шт., 2 подъезд). </v>
      </c>
      <c r="B180" s="231"/>
      <c r="C180" s="231"/>
      <c r="D180" s="231"/>
      <c r="E180" s="231"/>
      <c r="F180" s="229">
        <f t="shared" si="16"/>
        <v>3200</v>
      </c>
      <c r="G180" s="229"/>
      <c r="H180" s="133" t="str">
        <f t="shared" si="17"/>
        <v>разово</v>
      </c>
      <c r="I180" s="230">
        <f t="shared" si="18"/>
        <v>1</v>
      </c>
      <c r="J180" s="230"/>
      <c r="M180" s="22" t="s">
        <v>71</v>
      </c>
      <c r="N180" s="1" t="str">
        <v xml:space="preserve">Приобретение и установка светильников над подъездом (2 шт., 2 подъезд). </v>
      </c>
    </row>
    <row r="181" spans="1:14" ht="28.5" customHeight="1">
      <c r="A181" s="231" t="str">
        <f t="shared" si="19"/>
        <v xml:space="preserve">Приобретение и установка светильника на лестнице. </v>
      </c>
      <c r="B181" s="231"/>
      <c r="C181" s="231"/>
      <c r="D181" s="231"/>
      <c r="E181" s="231"/>
      <c r="F181" s="229">
        <f t="shared" si="16"/>
        <v>1700</v>
      </c>
      <c r="G181" s="229"/>
      <c r="H181" s="133" t="str">
        <f t="shared" si="17"/>
        <v>разово</v>
      </c>
      <c r="I181" s="230">
        <f t="shared" si="18"/>
        <v>1</v>
      </c>
      <c r="J181" s="230"/>
      <c r="M181" s="22" t="s">
        <v>71</v>
      </c>
      <c r="N181" s="1" t="str">
        <v xml:space="preserve">Приобретение и установка светильника на лестнице. </v>
      </c>
    </row>
    <row r="182" spans="1:14" ht="28.5" customHeight="1">
      <c r="A182" s="231" t="str">
        <f t="shared" si="19"/>
        <v>Благоустройство придомовой территории (приобретение и доставка рассады).</v>
      </c>
      <c r="B182" s="231"/>
      <c r="C182" s="231"/>
      <c r="D182" s="231"/>
      <c r="E182" s="231"/>
      <c r="F182" s="229">
        <f t="shared" si="16"/>
        <v>8215</v>
      </c>
      <c r="G182" s="229"/>
      <c r="H182" s="133" t="str">
        <f t="shared" si="17"/>
        <v>разово</v>
      </c>
      <c r="I182" s="230">
        <f t="shared" si="18"/>
        <v>1</v>
      </c>
      <c r="J182" s="230"/>
      <c r="M182" s="22" t="s">
        <v>71</v>
      </c>
      <c r="N182" s="1" t="str">
        <v>Благоустройство придомовой территории (приобретение и доставка рассады).</v>
      </c>
    </row>
    <row r="183" spans="1:14" ht="28.5" customHeight="1">
      <c r="A183" s="231" t="str">
        <f t="shared" si="19"/>
        <v>Благоустройство придомовой территории (приобретение и доставка перегноя).</v>
      </c>
      <c r="B183" s="231"/>
      <c r="C183" s="231"/>
      <c r="D183" s="231"/>
      <c r="E183" s="231"/>
      <c r="F183" s="229">
        <f t="shared" si="16"/>
        <v>2500</v>
      </c>
      <c r="G183" s="229"/>
      <c r="H183" s="133" t="str">
        <f t="shared" si="17"/>
        <v>разово</v>
      </c>
      <c r="I183" s="230">
        <f t="shared" si="18"/>
        <v>1</v>
      </c>
      <c r="J183" s="230"/>
      <c r="M183" s="22" t="s">
        <v>71</v>
      </c>
      <c r="N183" s="1" t="str">
        <v>Благоустройство придомовой территории (приобретение и доставка перегноя).</v>
      </c>
    </row>
    <row r="184" spans="1:14" ht="28.5" customHeight="1">
      <c r="A184" s="231" t="str">
        <f t="shared" si="19"/>
        <v>Благоустройство придомовой территории (приобретение опрыскивателя для обработки кустарников).</v>
      </c>
      <c r="B184" s="231"/>
      <c r="C184" s="231"/>
      <c r="D184" s="231"/>
      <c r="E184" s="231"/>
      <c r="F184" s="229">
        <f t="shared" si="16"/>
        <v>1120</v>
      </c>
      <c r="G184" s="229"/>
      <c r="H184" s="133" t="str">
        <f t="shared" si="17"/>
        <v>разово</v>
      </c>
      <c r="I184" s="230">
        <f t="shared" si="18"/>
        <v>1</v>
      </c>
      <c r="J184" s="230"/>
      <c r="M184" s="22" t="s">
        <v>71</v>
      </c>
      <c r="N184" s="1" t="str">
        <v>Благоустройство придомовой территории (приобретение опрыскивателя для обработки кустарников).</v>
      </c>
    </row>
    <row r="185" spans="1:14" ht="28.5" customHeight="1">
      <c r="A185" s="231" t="str">
        <f t="shared" si="19"/>
        <v>Сварочные работы на стояке ГВС в подвале (подъезд №2).</v>
      </c>
      <c r="B185" s="231"/>
      <c r="C185" s="231"/>
      <c r="D185" s="231"/>
      <c r="E185" s="231"/>
      <c r="F185" s="229">
        <f t="shared" si="16"/>
        <v>3600</v>
      </c>
      <c r="G185" s="229"/>
      <c r="H185" s="133" t="str">
        <f t="shared" si="17"/>
        <v>разово</v>
      </c>
      <c r="I185" s="230">
        <f t="shared" si="18"/>
        <v>1</v>
      </c>
      <c r="J185" s="230"/>
      <c r="M185" s="22" t="s">
        <v>71</v>
      </c>
      <c r="N185" s="1" t="str">
        <v>Сварочные работы на стояке ГВС в подвале (подъезд №2).</v>
      </c>
    </row>
    <row r="186" spans="1:14" ht="28.5" customHeight="1">
      <c r="A186" s="231" t="str">
        <f t="shared" si="19"/>
        <v>Приобретение источника питания и аккумуляторной батареи системы пожарной сигнализации.</v>
      </c>
      <c r="B186" s="231"/>
      <c r="C186" s="231"/>
      <c r="D186" s="231"/>
      <c r="E186" s="231"/>
      <c r="F186" s="229">
        <f t="shared" si="16"/>
        <v>11130</v>
      </c>
      <c r="G186" s="229"/>
      <c r="H186" s="133" t="str">
        <f t="shared" si="17"/>
        <v>разово</v>
      </c>
      <c r="I186" s="230">
        <f t="shared" si="18"/>
        <v>1</v>
      </c>
      <c r="J186" s="230"/>
      <c r="M186" s="22" t="s">
        <v>71</v>
      </c>
      <c r="N186" s="1" t="str">
        <v>Приобретение источника питания и аккумуляторной батареи системы пожарной сигнализации.</v>
      </c>
    </row>
    <row r="187" spans="1:14" ht="28.5" customHeight="1">
      <c r="A187" s="231" t="str">
        <f t="shared" si="19"/>
        <v>Приобретение лифтового оборудования (блок управления и ролик каретки).</v>
      </c>
      <c r="B187" s="231"/>
      <c r="C187" s="231"/>
      <c r="D187" s="231"/>
      <c r="E187" s="231"/>
      <c r="F187" s="229">
        <f t="shared" si="16"/>
        <v>27800</v>
      </c>
      <c r="G187" s="229"/>
      <c r="H187" s="133" t="str">
        <f t="shared" si="17"/>
        <v>разово</v>
      </c>
      <c r="I187" s="230">
        <f t="shared" si="18"/>
        <v>1</v>
      </c>
      <c r="J187" s="230"/>
      <c r="M187" s="22" t="s">
        <v>71</v>
      </c>
      <c r="N187" s="1" t="str">
        <v>Приобретение лифтового оборудования (блок управления и ролик каретки).</v>
      </c>
    </row>
    <row r="188" spans="1:14" ht="28.5" customHeight="1">
      <c r="A188" s="231" t="str">
        <f t="shared" si="19"/>
        <v>Приобретение и замена светодиодных светильников уличного освещения детской площадки.</v>
      </c>
      <c r="B188" s="231"/>
      <c r="C188" s="231"/>
      <c r="D188" s="231"/>
      <c r="E188" s="231"/>
      <c r="F188" s="229">
        <f t="shared" si="16"/>
        <v>31527</v>
      </c>
      <c r="G188" s="229"/>
      <c r="H188" s="133" t="str">
        <f t="shared" si="17"/>
        <v>разово</v>
      </c>
      <c r="I188" s="230">
        <f t="shared" si="18"/>
        <v>1</v>
      </c>
      <c r="J188" s="230"/>
      <c r="M188" s="22" t="s">
        <v>71</v>
      </c>
      <c r="N188" s="1" t="str">
        <v>Приобретение и замена светодиодных светильников уличного освещения детской площадки.</v>
      </c>
    </row>
    <row r="189" spans="1:14" ht="28.5" customHeight="1">
      <c r="A189" s="231" t="str">
        <f t="shared" si="19"/>
        <v>Изготовление и приобретение трафарета цифр.</v>
      </c>
      <c r="B189" s="231"/>
      <c r="C189" s="231"/>
      <c r="D189" s="231"/>
      <c r="E189" s="231"/>
      <c r="F189" s="229">
        <f t="shared" si="16"/>
        <v>4800</v>
      </c>
      <c r="G189" s="229"/>
      <c r="H189" s="133" t="str">
        <f t="shared" si="17"/>
        <v>разово</v>
      </c>
      <c r="I189" s="230">
        <f t="shared" si="18"/>
        <v>1</v>
      </c>
      <c r="J189" s="230"/>
      <c r="M189" s="22" t="s">
        <v>71</v>
      </c>
      <c r="N189" s="1" t="str">
        <v>Изготовление и приобретение трафарета цифр.</v>
      </c>
    </row>
    <row r="190" spans="1:14" ht="28.5" customHeight="1">
      <c r="A190" s="231" t="str">
        <f t="shared" si="19"/>
        <v>Приобретение опрыскивателя с помпой.</v>
      </c>
      <c r="B190" s="231"/>
      <c r="C190" s="231"/>
      <c r="D190" s="231"/>
      <c r="E190" s="231"/>
      <c r="F190" s="229">
        <f t="shared" si="16"/>
        <v>461</v>
      </c>
      <c r="G190" s="229"/>
      <c r="H190" s="133" t="str">
        <f t="shared" si="17"/>
        <v>разово</v>
      </c>
      <c r="I190" s="230">
        <f t="shared" si="18"/>
        <v>1</v>
      </c>
      <c r="J190" s="230"/>
      <c r="M190" s="22" t="s">
        <v>71</v>
      </c>
      <c r="N190" s="1" t="str">
        <v>Приобретение опрыскивателя с помпой.</v>
      </c>
    </row>
    <row r="191" spans="1:14" ht="28.5" customHeight="1">
      <c r="A191" s="231" t="str">
        <f t="shared" si="19"/>
        <v>Ремонт подъездов (лифтовые холлы).</v>
      </c>
      <c r="B191" s="231"/>
      <c r="C191" s="231"/>
      <c r="D191" s="231"/>
      <c r="E191" s="231"/>
      <c r="F191" s="229">
        <f t="shared" si="16"/>
        <v>1284326</v>
      </c>
      <c r="G191" s="229"/>
      <c r="H191" s="133" t="str">
        <f t="shared" si="17"/>
        <v>разово</v>
      </c>
      <c r="I191" s="230">
        <f t="shared" si="18"/>
        <v>1</v>
      </c>
      <c r="J191" s="230"/>
      <c r="M191" s="22" t="s">
        <v>71</v>
      </c>
      <c r="N191" s="1" t="str">
        <v>Ремонт подъездов (лифтовые холлы).</v>
      </c>
    </row>
    <row r="192" spans="1:14" ht="28.5" customHeight="1">
      <c r="A192" s="231" t="str">
        <f t="shared" si="19"/>
        <v>Приобретение и замена акустического светильника (кв. 444).</v>
      </c>
      <c r="B192" s="231"/>
      <c r="C192" s="231"/>
      <c r="D192" s="231"/>
      <c r="E192" s="231"/>
      <c r="F192" s="229">
        <f t="shared" si="16"/>
        <v>1700</v>
      </c>
      <c r="G192" s="229"/>
      <c r="H192" s="133" t="str">
        <f t="shared" si="17"/>
        <v>разово</v>
      </c>
      <c r="I192" s="230">
        <f t="shared" si="18"/>
        <v>1</v>
      </c>
      <c r="J192" s="230"/>
      <c r="M192" s="22" t="s">
        <v>71</v>
      </c>
      <c r="N192" s="1" t="str">
        <v>Приобретение и замена акустического светильника (кв. 444).</v>
      </c>
    </row>
    <row r="193" spans="1:14" ht="28.5" customHeight="1">
      <c r="A193" s="231" t="str">
        <f t="shared" si="19"/>
        <v>Приобретение и установка стендов для объявлений (2 шт.).</v>
      </c>
      <c r="B193" s="231"/>
      <c r="C193" s="231"/>
      <c r="D193" s="231"/>
      <c r="E193" s="231"/>
      <c r="F193" s="229">
        <f t="shared" si="16"/>
        <v>7800</v>
      </c>
      <c r="G193" s="229"/>
      <c r="H193" s="133" t="str">
        <f t="shared" si="17"/>
        <v>разово</v>
      </c>
      <c r="I193" s="230">
        <f t="shared" si="18"/>
        <v>1</v>
      </c>
      <c r="J193" s="230"/>
      <c r="M193" s="22" t="s">
        <v>71</v>
      </c>
      <c r="N193" s="1" t="str">
        <v>Приобретение и установка стендов для объявлений (2 шт.).</v>
      </c>
    </row>
    <row r="194" spans="1:14" ht="28.5" customHeight="1">
      <c r="A194" s="231" t="str">
        <f t="shared" si="19"/>
        <v>Пусконаладочные работы прибора учета ВСХН Д50.</v>
      </c>
      <c r="B194" s="231"/>
      <c r="C194" s="231"/>
      <c r="D194" s="231"/>
      <c r="E194" s="231"/>
      <c r="F194" s="229">
        <f t="shared" si="16"/>
        <v>6960</v>
      </c>
      <c r="G194" s="229"/>
      <c r="H194" s="133" t="str">
        <f t="shared" si="17"/>
        <v>разово</v>
      </c>
      <c r="I194" s="230">
        <f t="shared" si="18"/>
        <v>1</v>
      </c>
      <c r="J194" s="230"/>
      <c r="M194" s="22" t="s">
        <v>71</v>
      </c>
      <c r="N194" s="1" t="str">
        <v>Пусконаладочные работы прибора учета ВСХН Д50.</v>
      </c>
    </row>
    <row r="195" spans="1:14" ht="28.5" customHeight="1">
      <c r="A195" s="231" t="str">
        <f t="shared" si="19"/>
        <v>Приобретение и замена АКБ системы охранной сигнализации.</v>
      </c>
      <c r="B195" s="231"/>
      <c r="C195" s="231"/>
      <c r="D195" s="231"/>
      <c r="E195" s="231"/>
      <c r="F195" s="229">
        <f t="shared" si="16"/>
        <v>2217</v>
      </c>
      <c r="G195" s="229"/>
      <c r="H195" s="133" t="str">
        <f t="shared" si="17"/>
        <v>разово</v>
      </c>
      <c r="I195" s="230">
        <f t="shared" si="18"/>
        <v>1</v>
      </c>
      <c r="J195" s="230"/>
      <c r="M195" s="22" t="s">
        <v>71</v>
      </c>
      <c r="N195" s="1" t="str">
        <v>Приобретение и замена АКБ системы охранной сигнализации.</v>
      </c>
    </row>
    <row r="196" spans="1:14" ht="28.5" customHeight="1">
      <c r="A196" s="231" t="str">
        <f t="shared" si="19"/>
        <v>Сварочные работы на стояке ГВС (кв. 258).</v>
      </c>
      <c r="B196" s="231"/>
      <c r="C196" s="231"/>
      <c r="D196" s="231"/>
      <c r="E196" s="231"/>
      <c r="F196" s="229">
        <f t="shared" si="16"/>
        <v>5400</v>
      </c>
      <c r="G196" s="229"/>
      <c r="H196" s="133" t="str">
        <f t="shared" si="17"/>
        <v>разово</v>
      </c>
      <c r="I196" s="230">
        <f t="shared" si="18"/>
        <v>1</v>
      </c>
      <c r="J196" s="230"/>
      <c r="M196" s="22" t="s">
        <v>71</v>
      </c>
      <c r="N196" s="1" t="str">
        <v>Сварочные работы на стояке ГВС (кв. 258).</v>
      </c>
    </row>
    <row r="197" spans="1:14" ht="28.5" customHeight="1">
      <c r="A197" s="231" t="str">
        <f t="shared" si="19"/>
        <v>Приобретение дверных доводчиков (10 шт.) и дверных ручек (10 шт.).</v>
      </c>
      <c r="B197" s="231"/>
      <c r="C197" s="231"/>
      <c r="D197" s="231"/>
      <c r="E197" s="231"/>
      <c r="F197" s="229">
        <f t="shared" si="16"/>
        <v>22990</v>
      </c>
      <c r="G197" s="229"/>
      <c r="H197" s="133" t="str">
        <f t="shared" si="17"/>
        <v>разово</v>
      </c>
      <c r="I197" s="230">
        <f t="shared" si="18"/>
        <v>1</v>
      </c>
      <c r="J197" s="230"/>
      <c r="M197" s="22" t="s">
        <v>71</v>
      </c>
      <c r="N197" s="1" t="str">
        <v>Приобретение дверных доводчиков (10 шт.) и дверных ручек (10 шт.).</v>
      </c>
    </row>
    <row r="198" spans="1:14" ht="28.5" customHeight="1">
      <c r="A198" s="231" t="str">
        <f t="shared" ref="A198" si="20">IF(N198&gt;0,N198,0)</f>
        <v>Приобретение и замена светильников наружного освещения (4 шт.).</v>
      </c>
      <c r="B198" s="231"/>
      <c r="C198" s="231"/>
      <c r="D198" s="231"/>
      <c r="E198" s="231"/>
      <c r="F198" s="229">
        <f t="shared" si="16"/>
        <v>10622</v>
      </c>
      <c r="G198" s="229"/>
      <c r="H198" s="133" t="str">
        <f t="shared" si="17"/>
        <v>разово</v>
      </c>
      <c r="I198" s="230">
        <f t="shared" si="18"/>
        <v>1</v>
      </c>
      <c r="J198" s="230"/>
      <c r="M198" s="22" t="s">
        <v>71</v>
      </c>
      <c r="N198" s="1" t="str">
        <v>Приобретение и замена светильников наружного освещения (4 шт.).</v>
      </c>
    </row>
    <row r="199" spans="1:14" ht="28.5" customHeight="1">
      <c r="A199" s="231" t="str">
        <f t="shared" si="19"/>
        <v>Приобретение подшипника 6205 2RS/C3 в лифт (1 подъезд, 2 шт.).</v>
      </c>
      <c r="B199" s="231"/>
      <c r="C199" s="231"/>
      <c r="D199" s="231"/>
      <c r="E199" s="231"/>
      <c r="F199" s="229">
        <f t="shared" si="16"/>
        <v>570</v>
      </c>
      <c r="G199" s="229"/>
      <c r="H199" s="133" t="str">
        <f t="shared" si="17"/>
        <v>разово</v>
      </c>
      <c r="I199" s="230">
        <f t="shared" si="18"/>
        <v>1</v>
      </c>
      <c r="J199" s="230"/>
      <c r="M199" s="22" t="s">
        <v>71</v>
      </c>
      <c r="N199" s="1" t="str">
        <v>Приобретение подшипника 6205 2RS/C3 в лифт (1 подъезд, 2 шт.).</v>
      </c>
    </row>
    <row r="200" spans="1:14" ht="28.5" customHeight="1">
      <c r="A200" s="231" t="str">
        <f t="shared" ref="A200:A204" si="21">IF(N200&gt;0,N200,0)</f>
        <v>Приобретение кнопочного модуля в лифт (1 подъезд).</v>
      </c>
      <c r="B200" s="231"/>
      <c r="C200" s="231"/>
      <c r="D200" s="231"/>
      <c r="E200" s="231"/>
      <c r="F200" s="229">
        <f t="shared" si="16"/>
        <v>1832</v>
      </c>
      <c r="G200" s="229"/>
      <c r="H200" s="133" t="str">
        <f t="shared" si="17"/>
        <v>разово</v>
      </c>
      <c r="I200" s="230">
        <f t="shared" si="18"/>
        <v>1</v>
      </c>
      <c r="J200" s="230"/>
      <c r="M200" s="22" t="s">
        <v>71</v>
      </c>
      <c r="N200" s="1" t="str">
        <v>Приобретение кнопочного модуля в лифт (1 подъезд).</v>
      </c>
    </row>
    <row r="201" spans="1:14" ht="28.5" customHeight="1">
      <c r="A201" s="231" t="str">
        <f t="shared" si="21"/>
        <v>Приобретение компенсаторов (4 шт.) на стояки отопления (кв.371 и 374).</v>
      </c>
      <c r="B201" s="231"/>
      <c r="C201" s="231"/>
      <c r="D201" s="231"/>
      <c r="E201" s="231"/>
      <c r="F201" s="229">
        <f t="shared" si="16"/>
        <v>21600</v>
      </c>
      <c r="G201" s="229"/>
      <c r="H201" s="133" t="str">
        <f t="shared" si="17"/>
        <v>разово</v>
      </c>
      <c r="I201" s="230">
        <f t="shared" si="18"/>
        <v>1</v>
      </c>
      <c r="J201" s="230"/>
      <c r="M201" s="22" t="s">
        <v>71</v>
      </c>
      <c r="N201" s="1" t="str">
        <v>Приобретение компенсаторов (4 шт.) на стояки отопления (кв.371 и 374).</v>
      </c>
    </row>
    <row r="202" spans="1:14" ht="28.5" customHeight="1">
      <c r="A202" s="231" t="str">
        <f t="shared" si="21"/>
        <v>Диагностика, ремонт и приобретение блока питания системы видеонаблюдения.</v>
      </c>
      <c r="B202" s="231"/>
      <c r="C202" s="231"/>
      <c r="D202" s="231"/>
      <c r="E202" s="231"/>
      <c r="F202" s="229">
        <f t="shared" si="16"/>
        <v>5100</v>
      </c>
      <c r="G202" s="229"/>
      <c r="H202" s="133" t="str">
        <f t="shared" si="17"/>
        <v>разово</v>
      </c>
      <c r="I202" s="230">
        <f t="shared" si="18"/>
        <v>1</v>
      </c>
      <c r="J202" s="230"/>
      <c r="M202" s="22" t="s">
        <v>71</v>
      </c>
      <c r="N202" s="1" t="str">
        <v>Диагностика, ремонт и приобретение блока питания системы видеонаблюдения.</v>
      </c>
    </row>
    <row r="203" spans="1:14" ht="28.5" customHeight="1">
      <c r="A203" s="231" t="str">
        <f t="shared" si="21"/>
        <v>Услуги сети интернет для удаленного доступа системы видеонаблюдения.</v>
      </c>
      <c r="B203" s="231"/>
      <c r="C203" s="231"/>
      <c r="D203" s="231"/>
      <c r="E203" s="231"/>
      <c r="F203" s="229">
        <f t="shared" si="16"/>
        <v>2000</v>
      </c>
      <c r="G203" s="229"/>
      <c r="H203" s="133" t="str">
        <f t="shared" si="17"/>
        <v>ежемесячно</v>
      </c>
      <c r="I203" s="230">
        <f t="shared" si="18"/>
        <v>2</v>
      </c>
      <c r="J203" s="230"/>
      <c r="M203" s="22" t="s">
        <v>71</v>
      </c>
      <c r="N203" s="1" t="str">
        <v>Услуги сети интернет для удаленного доступа системы видеонаблюдения.</v>
      </c>
    </row>
    <row r="204" spans="1:14" ht="28.5" customHeight="1">
      <c r="A204" s="231" t="str">
        <f t="shared" si="21"/>
        <v>Сварочные работы на стояке (I) отопления (кв. 413).</v>
      </c>
      <c r="B204" s="231"/>
      <c r="C204" s="231"/>
      <c r="D204" s="231"/>
      <c r="E204" s="231"/>
      <c r="F204" s="229">
        <f t="shared" si="16"/>
        <v>7200</v>
      </c>
      <c r="G204" s="229"/>
      <c r="H204" s="133" t="str">
        <f t="shared" si="17"/>
        <v>разово</v>
      </c>
      <c r="I204" s="230">
        <f t="shared" si="18"/>
        <v>1</v>
      </c>
      <c r="J204" s="230"/>
      <c r="M204" s="22" t="s">
        <v>71</v>
      </c>
      <c r="N204" s="1" t="str">
        <v>Сварочные работы на стояке (I) отопления (кв. 413).</v>
      </c>
    </row>
    <row r="205" spans="1:14" ht="28.5" customHeight="1">
      <c r="A205" s="231" t="str">
        <f t="shared" ref="A205:A210" si="22">IF(N205&gt;0,N205,0)</f>
        <v>Приобретение маршрутизатора для системы видеонаблюдения.</v>
      </c>
      <c r="B205" s="231"/>
      <c r="C205" s="231"/>
      <c r="D205" s="231"/>
      <c r="E205" s="231"/>
      <c r="F205" s="229">
        <f t="shared" ref="F205:F210" si="23">IF(ISERROR(VLOOKUP(A205,$A$28:$J$84,6,FALSE)),0,VLOOKUP(A205,$A$28:$J$84,6,FALSE))</f>
        <v>2799</v>
      </c>
      <c r="G205" s="229"/>
      <c r="H205" s="133" t="str">
        <f t="shared" ref="H205:H210" si="24">VLOOKUP(A205,$A$28:$J$84,8,FALSE)</f>
        <v>разово</v>
      </c>
      <c r="I205" s="230">
        <f t="shared" ref="I205:I210" si="25">VLOOKUP(A205,$A$28:$J$84,9,FALSE)</f>
        <v>1</v>
      </c>
      <c r="J205" s="230"/>
      <c r="M205" s="22" t="s">
        <v>71</v>
      </c>
      <c r="N205" s="1" t="str">
        <f t="array" ref="N205:N210">INDEX($O$43:$O$84,SMALL(IF($M$170=R43:R84,ROW(O43:O84)-42,""),ROW()-169))</f>
        <v>Приобретение маршрутизатора для системы видеонаблюдения.</v>
      </c>
    </row>
    <row r="206" spans="1:14" ht="28.5" customHeight="1">
      <c r="A206" s="231" t="str">
        <f t="shared" si="22"/>
        <v>Сварочные работы на стояке отопления (кв. 330).</v>
      </c>
      <c r="B206" s="231"/>
      <c r="C206" s="231"/>
      <c r="D206" s="231"/>
      <c r="E206" s="231"/>
      <c r="F206" s="229">
        <f t="shared" si="23"/>
        <v>7200</v>
      </c>
      <c r="G206" s="229"/>
      <c r="H206" s="133" t="str">
        <f t="shared" si="24"/>
        <v>разово</v>
      </c>
      <c r="I206" s="230">
        <f t="shared" si="25"/>
        <v>1</v>
      </c>
      <c r="J206" s="230"/>
      <c r="M206" s="22" t="s">
        <v>71</v>
      </c>
      <c r="N206" s="1" t="str">
        <v>Сварочные работы на стояке отопления (кв. 330).</v>
      </c>
    </row>
    <row r="207" spans="1:14" ht="28.5" customHeight="1">
      <c r="A207" s="231" t="str">
        <f t="shared" si="22"/>
        <v>Сварочные работы на стояке (II) отопления (кв. 413).</v>
      </c>
      <c r="B207" s="231"/>
      <c r="C207" s="231"/>
      <c r="D207" s="231"/>
      <c r="E207" s="231"/>
      <c r="F207" s="229">
        <f t="shared" si="23"/>
        <v>5400</v>
      </c>
      <c r="G207" s="229"/>
      <c r="H207" s="133" t="str">
        <f t="shared" si="24"/>
        <v>разово</v>
      </c>
      <c r="I207" s="230">
        <f t="shared" si="25"/>
        <v>1</v>
      </c>
      <c r="J207" s="230"/>
      <c r="M207" s="22" t="s">
        <v>71</v>
      </c>
      <c r="N207" s="1" t="str">
        <v>Сварочные работы на стояке (II) отопления (кв. 413).</v>
      </c>
    </row>
    <row r="208" spans="1:14" ht="28.5" customHeight="1">
      <c r="A208" s="231" t="str">
        <f t="shared" si="22"/>
        <v>Ремонт и настройка системы видеонаблюдения (с приобретением дополнительного оборудования).</v>
      </c>
      <c r="B208" s="231"/>
      <c r="C208" s="231"/>
      <c r="D208" s="231"/>
      <c r="E208" s="231"/>
      <c r="F208" s="229">
        <f t="shared" si="23"/>
        <v>15163</v>
      </c>
      <c r="G208" s="229"/>
      <c r="H208" s="133" t="str">
        <f t="shared" si="24"/>
        <v>разово</v>
      </c>
      <c r="I208" s="230">
        <f t="shared" si="25"/>
        <v>1</v>
      </c>
      <c r="J208" s="230"/>
      <c r="M208" s="22" t="s">
        <v>71</v>
      </c>
      <c r="N208" s="1" t="str">
        <v>Ремонт и настройка системы видеонаблюдения (с приобретением дополнительного оборудования).</v>
      </c>
    </row>
    <row r="209" spans="1:14" ht="11.25" hidden="1" customHeight="1">
      <c r="A209" s="231">
        <f t="shared" si="22"/>
        <v>0</v>
      </c>
      <c r="B209" s="231"/>
      <c r="C209" s="231"/>
      <c r="D209" s="231"/>
      <c r="E209" s="231"/>
      <c r="F209" s="229">
        <f t="shared" si="23"/>
        <v>0</v>
      </c>
      <c r="G209" s="229"/>
      <c r="H209" s="133" t="e">
        <f t="shared" si="24"/>
        <v>#N/A</v>
      </c>
      <c r="I209" s="230" t="e">
        <f t="shared" si="25"/>
        <v>#N/A</v>
      </c>
      <c r="J209" s="230"/>
      <c r="M209" s="22" t="s">
        <v>71</v>
      </c>
      <c r="N209" s="1">
        <v>0</v>
      </c>
    </row>
    <row r="210" spans="1:14" ht="11.25" hidden="1" customHeight="1">
      <c r="A210" s="231">
        <f t="shared" si="22"/>
        <v>0</v>
      </c>
      <c r="B210" s="231"/>
      <c r="C210" s="231"/>
      <c r="D210" s="231"/>
      <c r="E210" s="231"/>
      <c r="F210" s="229">
        <f t="shared" si="23"/>
        <v>0</v>
      </c>
      <c r="G210" s="229"/>
      <c r="H210" s="133" t="e">
        <f t="shared" si="24"/>
        <v>#N/A</v>
      </c>
      <c r="I210" s="230" t="e">
        <f t="shared" si="25"/>
        <v>#N/A</v>
      </c>
      <c r="J210" s="230"/>
      <c r="M210" s="22" t="s">
        <v>71</v>
      </c>
      <c r="N210" s="1">
        <v>0</v>
      </c>
    </row>
    <row r="211" spans="1:14" ht="11.25" customHeight="1">
      <c r="A211" s="125"/>
      <c r="B211" s="125"/>
      <c r="C211" s="125"/>
      <c r="D211" s="125"/>
      <c r="E211" s="125"/>
      <c r="F211" s="126"/>
      <c r="G211" s="126"/>
      <c r="H211" s="126"/>
      <c r="I211" s="127"/>
      <c r="J211" s="127"/>
      <c r="M211" s="22"/>
    </row>
    <row r="212" spans="1:14" ht="11.25" customHeight="1">
      <c r="A212" s="125"/>
      <c r="B212" s="125"/>
      <c r="C212" s="125"/>
      <c r="D212" s="125"/>
      <c r="E212" s="125"/>
      <c r="F212" s="126"/>
      <c r="G212" s="126"/>
      <c r="H212" s="126"/>
      <c r="I212" s="127"/>
      <c r="J212" s="127"/>
      <c r="M212" s="22"/>
    </row>
    <row r="213" spans="1:14" ht="11.25" customHeight="1">
      <c r="A213" s="125"/>
      <c r="B213" s="125"/>
      <c r="C213" s="125"/>
      <c r="D213" s="125"/>
      <c r="E213" s="125"/>
      <c r="F213" s="126"/>
      <c r="G213" s="126"/>
      <c r="H213" s="126"/>
      <c r="I213" s="127"/>
      <c r="J213" s="127"/>
      <c r="M213" s="22"/>
    </row>
    <row r="214" spans="1:14" ht="13.5" customHeight="1">
      <c r="A214" s="96" t="s">
        <v>172</v>
      </c>
    </row>
    <row r="215" spans="1:14" ht="13.5" customHeight="1">
      <c r="A215" s="96" t="s">
        <v>172</v>
      </c>
    </row>
    <row r="216" spans="1:14" ht="36.75" customHeight="1">
      <c r="A216" s="257" t="s">
        <v>192</v>
      </c>
      <c r="B216" s="257"/>
      <c r="C216" s="257"/>
      <c r="D216" s="257"/>
      <c r="E216" s="26">
        <f>SUM(F170:G208)</f>
        <v>1657852</v>
      </c>
    </row>
    <row r="217" spans="1:14" ht="51.75" customHeight="1">
      <c r="A217" s="257" t="s">
        <v>191</v>
      </c>
      <c r="B217" s="257"/>
      <c r="C217" s="257"/>
      <c r="D217" s="257"/>
      <c r="E217" s="26">
        <f>E216+E166-E167</f>
        <v>-259532.30000000005</v>
      </c>
    </row>
    <row r="218" spans="1:14">
      <c r="A218" s="96" t="s">
        <v>172</v>
      </c>
    </row>
    <row r="219" spans="1:14" ht="62.25" customHeight="1">
      <c r="A219" s="234" t="s">
        <v>190</v>
      </c>
      <c r="B219" s="234"/>
      <c r="C219" s="234"/>
      <c r="D219" s="234"/>
      <c r="E219" s="234"/>
      <c r="F219" s="234"/>
      <c r="G219" s="234"/>
      <c r="H219" s="234"/>
      <c r="I219" s="234"/>
      <c r="J219" s="234"/>
    </row>
    <row r="220" spans="1:14">
      <c r="A220" s="233" t="str">
        <f>ПТО!F12</f>
        <v xml:space="preserve">  -  поверка (замена) манометров и термометров</v>
      </c>
      <c r="B220" s="233"/>
      <c r="C220" s="233"/>
      <c r="D220" s="233"/>
      <c r="E220" s="233"/>
      <c r="F220" s="233"/>
      <c r="G220" s="233"/>
      <c r="H220" s="41">
        <f>ПТО!G12</f>
        <v>1200</v>
      </c>
      <c r="I220" s="42" t="s">
        <v>73</v>
      </c>
    </row>
    <row r="221" spans="1:14" ht="18.75" customHeight="1">
      <c r="A221" s="233" t="str">
        <f>ПТО!F13</f>
        <v xml:space="preserve">  -  техническое обслуживание охранной сигнализации</v>
      </c>
      <c r="B221" s="233"/>
      <c r="C221" s="233"/>
      <c r="D221" s="233"/>
      <c r="E221" s="233"/>
      <c r="F221" s="233"/>
      <c r="G221" s="233"/>
      <c r="H221" s="41">
        <f>ПТО!G13</f>
        <v>24500</v>
      </c>
      <c r="I221" s="42" t="s">
        <v>73</v>
      </c>
    </row>
    <row r="222" spans="1:14" ht="18.75" customHeight="1">
      <c r="A222" s="233" t="str">
        <f>ПТО!F14</f>
        <v xml:space="preserve">  -  техническое обслуживание системы контроля затопления подвальных помещений</v>
      </c>
      <c r="B222" s="233"/>
      <c r="C222" s="233"/>
      <c r="D222" s="233"/>
      <c r="E222" s="233"/>
      <c r="F222" s="233"/>
      <c r="G222" s="233"/>
      <c r="H222" s="41">
        <f>ПТО!G14</f>
        <v>7200</v>
      </c>
      <c r="I222" s="42" t="s">
        <v>73</v>
      </c>
    </row>
    <row r="223" spans="1:14" ht="18.75" customHeight="1">
      <c r="A223" s="233" t="str">
        <f>ПТО!F15</f>
        <v xml:space="preserve">  -  установка доводчиков (10 шт.)</v>
      </c>
      <c r="B223" s="233"/>
      <c r="C223" s="233"/>
      <c r="D223" s="233"/>
      <c r="E223" s="233"/>
      <c r="F223" s="233"/>
      <c r="G223" s="233"/>
      <c r="H223" s="41">
        <f>ПТО!G15</f>
        <v>25000</v>
      </c>
      <c r="I223" s="42" t="s">
        <v>73</v>
      </c>
    </row>
    <row r="224" spans="1:14" ht="18.75" customHeight="1">
      <c r="A224" s="233" t="str">
        <f>ПТО!F16</f>
        <v xml:space="preserve">  -  установка ручек и замков на двери в местах общего пользования (15 шт.)</v>
      </c>
      <c r="B224" s="233"/>
      <c r="C224" s="233"/>
      <c r="D224" s="233"/>
      <c r="E224" s="233"/>
      <c r="F224" s="233"/>
      <c r="G224" s="233"/>
      <c r="H224" s="41">
        <f>ПТО!G16</f>
        <v>30000</v>
      </c>
      <c r="I224" s="44" t="s">
        <v>73</v>
      </c>
    </row>
    <row r="225" spans="1:9" ht="18.75" customHeight="1">
      <c r="A225" s="233" t="str">
        <f>ПТО!F17</f>
        <v xml:space="preserve">  -  гидроизоляция балконов на 2 этаже (1 и 2 подъезды)</v>
      </c>
      <c r="B225" s="233"/>
      <c r="C225" s="233"/>
      <c r="D225" s="233"/>
      <c r="E225" s="233"/>
      <c r="F225" s="233"/>
      <c r="G225" s="233"/>
      <c r="H225" s="41">
        <f>ПТО!G17</f>
        <v>40000</v>
      </c>
      <c r="I225" s="42" t="s">
        <v>73</v>
      </c>
    </row>
    <row r="226" spans="1:9">
      <c r="A226" s="233" t="str">
        <f>ПТО!F18</f>
        <v xml:space="preserve">  -  ремонт и покраска двери в лифт (1 подъезд)</v>
      </c>
      <c r="B226" s="233"/>
      <c r="C226" s="233"/>
      <c r="D226" s="233"/>
      <c r="E226" s="233"/>
      <c r="F226" s="233"/>
      <c r="G226" s="233"/>
      <c r="H226" s="41">
        <f>ПТО!G18</f>
        <v>30000</v>
      </c>
      <c r="I226" s="42" t="s">
        <v>73</v>
      </c>
    </row>
    <row r="227" spans="1:9">
      <c r="A227" s="233" t="str">
        <f>ПТО!F19</f>
        <v xml:space="preserve">  -  покраска ограждения на кровле</v>
      </c>
      <c r="B227" s="233"/>
      <c r="C227" s="233"/>
      <c r="D227" s="233"/>
      <c r="E227" s="233"/>
      <c r="F227" s="233"/>
      <c r="G227" s="233"/>
      <c r="H227" s="41">
        <f>ПТО!G19</f>
        <v>30000</v>
      </c>
      <c r="I227" s="42" t="s">
        <v>73</v>
      </c>
    </row>
    <row r="228" spans="1:9">
      <c r="A228" s="233" t="str">
        <f>ПТО!F20</f>
        <v xml:space="preserve">  -  механизированная уборка и вывоз снега с придомовой территории</v>
      </c>
      <c r="B228" s="233"/>
      <c r="C228" s="233"/>
      <c r="D228" s="233"/>
      <c r="E228" s="233"/>
      <c r="F228" s="233"/>
      <c r="G228" s="233"/>
      <c r="H228" s="41">
        <f>ПТО!G20</f>
        <v>90000</v>
      </c>
      <c r="I228" s="42" t="s">
        <v>73</v>
      </c>
    </row>
    <row r="229" spans="1:9" hidden="1">
      <c r="A229" s="233">
        <f>ПТО!F21</f>
        <v>0</v>
      </c>
      <c r="B229" s="233"/>
      <c r="C229" s="233"/>
      <c r="D229" s="233"/>
      <c r="E229" s="233"/>
      <c r="F229" s="233"/>
      <c r="G229" s="233"/>
      <c r="H229" s="41">
        <f>ПТО!G21</f>
        <v>0</v>
      </c>
      <c r="I229" s="42" t="s">
        <v>73</v>
      </c>
    </row>
    <row r="230" spans="1:9" hidden="1">
      <c r="A230" s="233">
        <f>ПТО!F22</f>
        <v>0</v>
      </c>
      <c r="B230" s="233"/>
      <c r="C230" s="233"/>
      <c r="D230" s="233"/>
      <c r="E230" s="233"/>
      <c r="F230" s="233"/>
      <c r="G230" s="233"/>
      <c r="H230" s="41">
        <f>ПТО!G22</f>
        <v>0</v>
      </c>
      <c r="I230" s="42" t="s">
        <v>73</v>
      </c>
    </row>
    <row r="231" spans="1:9" hidden="1">
      <c r="A231" s="233">
        <f>ПТО!F23</f>
        <v>0</v>
      </c>
      <c r="B231" s="233"/>
      <c r="C231" s="233"/>
      <c r="D231" s="233"/>
      <c r="E231" s="233"/>
      <c r="F231" s="233"/>
      <c r="G231" s="233"/>
      <c r="H231" s="41">
        <f>ПТО!G23</f>
        <v>0</v>
      </c>
      <c r="I231" s="42" t="s">
        <v>73</v>
      </c>
    </row>
    <row r="232" spans="1:9" hidden="1">
      <c r="A232" s="233">
        <f>ПТО!F24</f>
        <v>0</v>
      </c>
      <c r="B232" s="233"/>
      <c r="C232" s="233"/>
      <c r="D232" s="233"/>
      <c r="E232" s="233"/>
      <c r="F232" s="233"/>
      <c r="G232" s="233"/>
      <c r="H232" s="41">
        <f>ПТО!G24</f>
        <v>0</v>
      </c>
      <c r="I232" s="42" t="s">
        <v>73</v>
      </c>
    </row>
    <row r="233" spans="1:9" hidden="1">
      <c r="A233" s="233">
        <f>ПТО!F25</f>
        <v>0</v>
      </c>
      <c r="B233" s="233"/>
      <c r="C233" s="233"/>
      <c r="D233" s="233"/>
      <c r="E233" s="233"/>
      <c r="F233" s="233"/>
      <c r="G233" s="233"/>
      <c r="H233" s="41">
        <f>ПТО!G25</f>
        <v>0</v>
      </c>
      <c r="I233" s="42" t="s">
        <v>73</v>
      </c>
    </row>
    <row r="234" spans="1:9" hidden="1">
      <c r="A234" s="233">
        <f>ПТО!F26</f>
        <v>0</v>
      </c>
      <c r="B234" s="233"/>
      <c r="C234" s="233"/>
      <c r="D234" s="233"/>
      <c r="E234" s="233"/>
      <c r="F234" s="233"/>
      <c r="G234" s="233"/>
      <c r="H234" s="41">
        <f>ПТО!G26</f>
        <v>0</v>
      </c>
      <c r="I234" s="42" t="s">
        <v>73</v>
      </c>
    </row>
    <row r="235" spans="1:9" hidden="1">
      <c r="A235" s="233">
        <f>ПТО!F27</f>
        <v>0</v>
      </c>
      <c r="B235" s="233"/>
      <c r="C235" s="233"/>
      <c r="D235" s="233"/>
      <c r="E235" s="233"/>
      <c r="F235" s="233"/>
      <c r="G235" s="233"/>
      <c r="H235" s="41">
        <f>ПТО!G27</f>
        <v>0</v>
      </c>
      <c r="I235" s="42" t="s">
        <v>73</v>
      </c>
    </row>
    <row r="236" spans="1:9" hidden="1">
      <c r="A236" s="233">
        <f>ПТО!F28</f>
        <v>0</v>
      </c>
      <c r="B236" s="233"/>
      <c r="C236" s="233"/>
      <c r="D236" s="233"/>
      <c r="E236" s="233"/>
      <c r="F236" s="233"/>
      <c r="G236" s="233"/>
      <c r="H236" s="41">
        <f>ПТО!G28</f>
        <v>0</v>
      </c>
      <c r="I236" s="42" t="s">
        <v>73</v>
      </c>
    </row>
    <row r="237" spans="1:9" hidden="1">
      <c r="A237" s="233">
        <f>ПТО!F29</f>
        <v>0</v>
      </c>
      <c r="B237" s="233"/>
      <c r="C237" s="233"/>
      <c r="D237" s="233"/>
      <c r="E237" s="233"/>
      <c r="F237" s="233"/>
      <c r="G237" s="233"/>
      <c r="H237" s="41">
        <f>ПТО!G29</f>
        <v>0</v>
      </c>
      <c r="I237" s="42" t="s">
        <v>73</v>
      </c>
    </row>
    <row r="238" spans="1:9" hidden="1">
      <c r="A238" s="233">
        <f>ПТО!F30</f>
        <v>0</v>
      </c>
      <c r="B238" s="233"/>
      <c r="C238" s="233"/>
      <c r="D238" s="233"/>
      <c r="E238" s="233"/>
      <c r="F238" s="233"/>
      <c r="G238" s="233"/>
      <c r="H238" s="41">
        <f>ПТО!G30</f>
        <v>0</v>
      </c>
      <c r="I238" s="42" t="s">
        <v>73</v>
      </c>
    </row>
    <row r="239" spans="1:9" hidden="1">
      <c r="A239" s="233">
        <f>ПТО!F31</f>
        <v>0</v>
      </c>
      <c r="B239" s="233"/>
      <c r="C239" s="233"/>
      <c r="D239" s="233"/>
      <c r="E239" s="233"/>
      <c r="F239" s="233"/>
      <c r="G239" s="233"/>
      <c r="H239" s="41">
        <f>ПТО!G31</f>
        <v>0</v>
      </c>
      <c r="I239" s="42" t="s">
        <v>73</v>
      </c>
    </row>
    <row r="240" spans="1:9">
      <c r="A240" s="45" t="s">
        <v>74</v>
      </c>
      <c r="B240" s="46"/>
      <c r="C240" s="46"/>
      <c r="D240" s="46"/>
      <c r="E240" s="46"/>
      <c r="F240" s="46"/>
      <c r="G240" s="46"/>
      <c r="H240" s="47">
        <f>SUM(H220:H239)</f>
        <v>277900</v>
      </c>
      <c r="I240" s="48" t="s">
        <v>75</v>
      </c>
    </row>
  </sheetData>
  <sheetProtection algorithmName="SHA-512" hashValue="R67M8OtXMDNg8l5BLIj+LmoeDSpN0DZ8LHQTRddDyf/0ag33jDeTikwgGYicm83tjWIAobXixOt2IGa9lHI0Rg==" saltValue="cR/AD3lgg6I5gs5NFWz8kA==" spinCount="100000" sheet="1" formatColumns="0" formatRows="0" insertColumns="0" insertRows="0"/>
  <mergeCells count="429">
    <mergeCell ref="A208:E208"/>
    <mergeCell ref="F208:G208"/>
    <mergeCell ref="I208:J208"/>
    <mergeCell ref="A209:E209"/>
    <mergeCell ref="F209:G209"/>
    <mergeCell ref="I209:J209"/>
    <mergeCell ref="A210:E210"/>
    <mergeCell ref="F210:G210"/>
    <mergeCell ref="I210:J210"/>
    <mergeCell ref="A205:E205"/>
    <mergeCell ref="F205:G205"/>
    <mergeCell ref="I205:J205"/>
    <mergeCell ref="A206:E206"/>
    <mergeCell ref="F206:G206"/>
    <mergeCell ref="I206:J206"/>
    <mergeCell ref="A207:E207"/>
    <mergeCell ref="F207:G207"/>
    <mergeCell ref="I207:J207"/>
    <mergeCell ref="A84:E84"/>
    <mergeCell ref="F84:G84"/>
    <mergeCell ref="I84:J84"/>
    <mergeCell ref="A81:E81"/>
    <mergeCell ref="F81:G81"/>
    <mergeCell ref="I81:J81"/>
    <mergeCell ref="A82:E82"/>
    <mergeCell ref="F82:G82"/>
    <mergeCell ref="I82:J82"/>
    <mergeCell ref="A83:E83"/>
    <mergeCell ref="F83:G83"/>
    <mergeCell ref="I83:J83"/>
    <mergeCell ref="A78:E78"/>
    <mergeCell ref="F78:G78"/>
    <mergeCell ref="I78:J78"/>
    <mergeCell ref="A79:E79"/>
    <mergeCell ref="F79:G79"/>
    <mergeCell ref="I79:J79"/>
    <mergeCell ref="A80:E80"/>
    <mergeCell ref="F80:G80"/>
    <mergeCell ref="I80:J80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74:E174"/>
    <mergeCell ref="F174:G174"/>
    <mergeCell ref="I174:J174"/>
    <mergeCell ref="A175:E175"/>
    <mergeCell ref="F175:G175"/>
    <mergeCell ref="I175:J175"/>
    <mergeCell ref="A216:D216"/>
    <mergeCell ref="A217:D217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71:E171"/>
    <mergeCell ref="F171:G171"/>
    <mergeCell ref="I171:J171"/>
    <mergeCell ref="A172:E172"/>
    <mergeCell ref="F172:G172"/>
    <mergeCell ref="I172:J172"/>
    <mergeCell ref="A173:E173"/>
    <mergeCell ref="F173:G173"/>
    <mergeCell ref="I173:J173"/>
    <mergeCell ref="A161:J161"/>
    <mergeCell ref="A167:D167"/>
    <mergeCell ref="A166:D166"/>
    <mergeCell ref="A169:E169"/>
    <mergeCell ref="F169:G169"/>
    <mergeCell ref="I169:J169"/>
    <mergeCell ref="A170:E170"/>
    <mergeCell ref="F170:G170"/>
    <mergeCell ref="I170:J170"/>
    <mergeCell ref="L87:L90"/>
    <mergeCell ref="A156:I156"/>
    <mergeCell ref="A157:I157"/>
    <mergeCell ref="A158:I158"/>
    <mergeCell ref="A105:C105"/>
    <mergeCell ref="G105:J105"/>
    <mergeCell ref="G106:J106"/>
    <mergeCell ref="D105:E105"/>
    <mergeCell ref="D106:E106"/>
    <mergeCell ref="A106:C106"/>
    <mergeCell ref="A114:C114"/>
    <mergeCell ref="D114:E114"/>
    <mergeCell ref="G114:J114"/>
    <mergeCell ref="A122:C122"/>
    <mergeCell ref="A119:I119"/>
    <mergeCell ref="A107:I107"/>
    <mergeCell ref="A108:I108"/>
    <mergeCell ref="A109:I109"/>
    <mergeCell ref="A110:I110"/>
    <mergeCell ref="A111:I111"/>
    <mergeCell ref="A112:I112"/>
    <mergeCell ref="A113:I113"/>
    <mergeCell ref="A115:I115"/>
    <mergeCell ref="A116:I116"/>
    <mergeCell ref="A117:I117"/>
    <mergeCell ref="I72:J72"/>
    <mergeCell ref="I31:J31"/>
    <mergeCell ref="I32:J32"/>
    <mergeCell ref="A118:I118"/>
    <mergeCell ref="A127:I127"/>
    <mergeCell ref="A128:I128"/>
    <mergeCell ref="A129:I129"/>
    <mergeCell ref="A120:I120"/>
    <mergeCell ref="A121:I121"/>
    <mergeCell ref="A123:I123"/>
    <mergeCell ref="A124:I124"/>
    <mergeCell ref="A125:I125"/>
    <mergeCell ref="A126:I126"/>
    <mergeCell ref="D122:E122"/>
    <mergeCell ref="G122:J122"/>
    <mergeCell ref="A102:I102"/>
    <mergeCell ref="A93:I93"/>
    <mergeCell ref="A94:I94"/>
    <mergeCell ref="A90:I90"/>
    <mergeCell ref="A88:I88"/>
    <mergeCell ref="A89:I89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87:I87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93:L102"/>
    <mergeCell ref="L106:L129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95:I95"/>
    <mergeCell ref="A96:I96"/>
    <mergeCell ref="A97:I97"/>
    <mergeCell ref="A98:I98"/>
    <mergeCell ref="A99:I99"/>
    <mergeCell ref="A100:I100"/>
    <mergeCell ref="A101:I101"/>
    <mergeCell ref="F187:G187"/>
    <mergeCell ref="F188:G188"/>
    <mergeCell ref="F189:G189"/>
    <mergeCell ref="F190:G190"/>
    <mergeCell ref="F191:G191"/>
    <mergeCell ref="F192:G192"/>
    <mergeCell ref="F193:G193"/>
    <mergeCell ref="F176:G176"/>
    <mergeCell ref="F177:G177"/>
    <mergeCell ref="F178:G178"/>
    <mergeCell ref="F179:G179"/>
    <mergeCell ref="F180:G180"/>
    <mergeCell ref="F181:G181"/>
    <mergeCell ref="F182:G182"/>
    <mergeCell ref="F183:G183"/>
    <mergeCell ref="F184:G184"/>
    <mergeCell ref="I198:J198"/>
    <mergeCell ref="I199:J199"/>
    <mergeCell ref="F194:G194"/>
    <mergeCell ref="F195:G195"/>
    <mergeCell ref="F196:G196"/>
    <mergeCell ref="F197:G197"/>
    <mergeCell ref="F198:G198"/>
    <mergeCell ref="F199:G199"/>
    <mergeCell ref="A176:E176"/>
    <mergeCell ref="A177:E177"/>
    <mergeCell ref="A178:E178"/>
    <mergeCell ref="A179:E179"/>
    <mergeCell ref="A180:E180"/>
    <mergeCell ref="A181:E181"/>
    <mergeCell ref="A182:E182"/>
    <mergeCell ref="A183:E183"/>
    <mergeCell ref="A184:E184"/>
    <mergeCell ref="A185:E185"/>
    <mergeCell ref="A186:E186"/>
    <mergeCell ref="A187:E187"/>
    <mergeCell ref="A188:E188"/>
    <mergeCell ref="A189:E189"/>
    <mergeCell ref="A190:E190"/>
    <mergeCell ref="A191:E191"/>
    <mergeCell ref="A194:E194"/>
    <mergeCell ref="I194:J194"/>
    <mergeCell ref="A192:E192"/>
    <mergeCell ref="A193:E193"/>
    <mergeCell ref="I176:J176"/>
    <mergeCell ref="I177:J177"/>
    <mergeCell ref="I178:J178"/>
    <mergeCell ref="I179:J179"/>
    <mergeCell ref="I180:J180"/>
    <mergeCell ref="I181:J181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0:J190"/>
    <mergeCell ref="I191:J191"/>
    <mergeCell ref="I192:J192"/>
    <mergeCell ref="I193:J193"/>
    <mergeCell ref="F185:G185"/>
    <mergeCell ref="F186:G186"/>
    <mergeCell ref="A146:C146"/>
    <mergeCell ref="D146:E146"/>
    <mergeCell ref="G146:J146"/>
    <mergeCell ref="A147:I147"/>
    <mergeCell ref="A148:I148"/>
    <mergeCell ref="A149:I149"/>
    <mergeCell ref="A130:C130"/>
    <mergeCell ref="D130:E130"/>
    <mergeCell ref="G130:J130"/>
    <mergeCell ref="A131:I131"/>
    <mergeCell ref="A132:I132"/>
    <mergeCell ref="A133:I133"/>
    <mergeCell ref="A134:I134"/>
    <mergeCell ref="A135:I135"/>
    <mergeCell ref="A136:I136"/>
    <mergeCell ref="A137:I137"/>
    <mergeCell ref="A138:C138"/>
    <mergeCell ref="D138:E138"/>
    <mergeCell ref="G138:J138"/>
    <mergeCell ref="A139:I139"/>
    <mergeCell ref="A140:I140"/>
    <mergeCell ref="A141:I141"/>
    <mergeCell ref="A142:I142"/>
    <mergeCell ref="A226:G226"/>
    <mergeCell ref="A227:G227"/>
    <mergeCell ref="A228:G228"/>
    <mergeCell ref="A229:G229"/>
    <mergeCell ref="A230:G230"/>
    <mergeCell ref="A219:J219"/>
    <mergeCell ref="A220:G220"/>
    <mergeCell ref="A221:G221"/>
    <mergeCell ref="A222:G222"/>
    <mergeCell ref="A223:G223"/>
    <mergeCell ref="A224:G224"/>
    <mergeCell ref="A225:G225"/>
    <mergeCell ref="A231:G231"/>
    <mergeCell ref="A232:G232"/>
    <mergeCell ref="A233:G233"/>
    <mergeCell ref="A234:G234"/>
    <mergeCell ref="A235:G235"/>
    <mergeCell ref="A236:G236"/>
    <mergeCell ref="A237:G237"/>
    <mergeCell ref="A238:G238"/>
    <mergeCell ref="A239:G239"/>
    <mergeCell ref="A73:E73"/>
    <mergeCell ref="A74:E74"/>
    <mergeCell ref="A75:E75"/>
    <mergeCell ref="A76:E76"/>
    <mergeCell ref="A77:E77"/>
    <mergeCell ref="F73:G73"/>
    <mergeCell ref="F74:G74"/>
    <mergeCell ref="F75:G75"/>
    <mergeCell ref="F76:G76"/>
    <mergeCell ref="F77:G77"/>
    <mergeCell ref="I73:J73"/>
    <mergeCell ref="I74:J74"/>
    <mergeCell ref="I75:J75"/>
    <mergeCell ref="I76:J76"/>
    <mergeCell ref="I77:J77"/>
    <mergeCell ref="F200:G200"/>
    <mergeCell ref="F201:G201"/>
    <mergeCell ref="F202:G202"/>
    <mergeCell ref="F203:G203"/>
    <mergeCell ref="A150:I150"/>
    <mergeCell ref="A151:I151"/>
    <mergeCell ref="A152:I152"/>
    <mergeCell ref="A153:I153"/>
    <mergeCell ref="A195:E195"/>
    <mergeCell ref="A196:E196"/>
    <mergeCell ref="A197:E197"/>
    <mergeCell ref="A198:E198"/>
    <mergeCell ref="A199:E199"/>
    <mergeCell ref="I195:J195"/>
    <mergeCell ref="I196:J196"/>
    <mergeCell ref="I197:J197"/>
    <mergeCell ref="A143:I143"/>
    <mergeCell ref="A144:I144"/>
    <mergeCell ref="A145:I145"/>
    <mergeCell ref="F204:G204"/>
    <mergeCell ref="I200:J200"/>
    <mergeCell ref="I201:J201"/>
    <mergeCell ref="I202:J202"/>
    <mergeCell ref="I203:J203"/>
    <mergeCell ref="I204:J204"/>
    <mergeCell ref="A200:E200"/>
    <mergeCell ref="A201:E201"/>
    <mergeCell ref="A202:E202"/>
    <mergeCell ref="A203:E203"/>
    <mergeCell ref="A204:E204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60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6"/>
  <sheetViews>
    <sheetView topLeftCell="B1" workbookViewId="0">
      <selection activeCell="K1" sqref="K1"/>
    </sheetView>
  </sheetViews>
  <sheetFormatPr defaultRowHeight="15"/>
  <cols>
    <col min="1" max="1" width="53.5703125" style="29" bestFit="1" customWidth="1"/>
    <col min="2" max="2" width="12.28515625" style="115" customWidth="1"/>
    <col min="3" max="3" width="13" style="119" customWidth="1"/>
    <col min="4" max="4" width="12.42578125" style="29" bestFit="1" customWidth="1"/>
    <col min="5" max="5" width="74" style="29" bestFit="1" customWidth="1"/>
    <col min="6" max="6" width="40.5703125" style="29" customWidth="1"/>
    <col min="7" max="7" width="26" style="29" customWidth="1"/>
    <col min="8" max="11" width="9.140625" style="29"/>
    <col min="14" max="14" width="10" bestFit="1" customWidth="1"/>
  </cols>
  <sheetData>
    <row r="1" spans="1:12" ht="110.25" customHeight="1" thickBot="1">
      <c r="A1" s="223" t="s">
        <v>19</v>
      </c>
      <c r="B1" s="223" t="s">
        <v>56</v>
      </c>
      <c r="C1" s="223" t="s">
        <v>21</v>
      </c>
      <c r="D1" s="223" t="s">
        <v>20</v>
      </c>
      <c r="E1" s="218"/>
      <c r="F1" s="92" t="s">
        <v>189</v>
      </c>
      <c r="G1" s="93">
        <f>-1085274.3</f>
        <v>-1085274.3</v>
      </c>
    </row>
    <row r="2" spans="1:12" ht="18.75" customHeight="1">
      <c r="A2" s="135" t="s">
        <v>174</v>
      </c>
      <c r="B2" s="136" t="s">
        <v>175</v>
      </c>
      <c r="C2" s="137">
        <v>12</v>
      </c>
      <c r="D2" s="138">
        <f>(2040*4)+(2150*8)</f>
        <v>25360</v>
      </c>
      <c r="E2" s="139" t="s">
        <v>262</v>
      </c>
      <c r="F2" s="30"/>
      <c r="G2" s="30"/>
      <c r="L2" s="31" t="str">
        <f t="shared" ref="L2:L22" si="0">IF(A2&gt;0,"ТР",0)</f>
        <v>ТР</v>
      </c>
    </row>
    <row r="3" spans="1:12" ht="18.75" customHeight="1">
      <c r="A3" s="135" t="s">
        <v>233</v>
      </c>
      <c r="B3" s="140" t="s">
        <v>175</v>
      </c>
      <c r="C3" s="141">
        <v>1</v>
      </c>
      <c r="D3" s="142">
        <v>6440</v>
      </c>
      <c r="E3" s="139" t="s">
        <v>236</v>
      </c>
      <c r="F3" s="28"/>
      <c r="G3" s="28"/>
      <c r="L3" s="31" t="str">
        <f t="shared" si="0"/>
        <v>ТР</v>
      </c>
    </row>
    <row r="4" spans="1:12" ht="18.75" customHeight="1">
      <c r="A4" s="143" t="s">
        <v>218</v>
      </c>
      <c r="B4" s="144" t="s">
        <v>175</v>
      </c>
      <c r="C4" s="145">
        <v>6</v>
      </c>
      <c r="D4" s="146">
        <v>3600</v>
      </c>
      <c r="E4" s="147" t="s">
        <v>220</v>
      </c>
      <c r="F4" s="28"/>
      <c r="G4" s="28"/>
      <c r="L4" s="31" t="str">
        <f t="shared" si="0"/>
        <v>ТР</v>
      </c>
    </row>
    <row r="5" spans="1:12" ht="18.75" customHeight="1">
      <c r="A5" s="143" t="s">
        <v>219</v>
      </c>
      <c r="B5" s="144" t="s">
        <v>175</v>
      </c>
      <c r="C5" s="145">
        <v>6</v>
      </c>
      <c r="D5" s="146">
        <v>3600</v>
      </c>
      <c r="E5" s="147" t="s">
        <v>263</v>
      </c>
      <c r="F5" s="37"/>
      <c r="G5" s="37"/>
      <c r="K5" s="39"/>
      <c r="L5" s="31" t="str">
        <f t="shared" si="0"/>
        <v>ТР</v>
      </c>
    </row>
    <row r="6" spans="1:12" ht="18.75" customHeight="1">
      <c r="A6" s="148" t="s">
        <v>194</v>
      </c>
      <c r="B6" s="149" t="s">
        <v>195</v>
      </c>
      <c r="C6" s="150">
        <v>1</v>
      </c>
      <c r="D6" s="151">
        <v>79200</v>
      </c>
      <c r="E6" s="147" t="s">
        <v>196</v>
      </c>
      <c r="F6" s="37"/>
      <c r="G6" s="37"/>
      <c r="K6" s="39"/>
      <c r="L6" s="31" t="str">
        <f t="shared" si="0"/>
        <v>ТР</v>
      </c>
    </row>
    <row r="7" spans="1:12" ht="18.75" customHeight="1">
      <c r="A7" s="135" t="s">
        <v>197</v>
      </c>
      <c r="B7" s="152" t="s">
        <v>195</v>
      </c>
      <c r="C7" s="153">
        <v>1</v>
      </c>
      <c r="D7" s="138">
        <v>3600</v>
      </c>
      <c r="E7" s="139" t="s">
        <v>198</v>
      </c>
      <c r="F7" s="38"/>
      <c r="G7" s="38"/>
      <c r="K7" s="39"/>
      <c r="L7" s="31" t="str">
        <f t="shared" si="0"/>
        <v>ТР</v>
      </c>
    </row>
    <row r="8" spans="1:12" ht="18.75" customHeight="1">
      <c r="A8" s="135" t="s">
        <v>199</v>
      </c>
      <c r="B8" s="154" t="s">
        <v>195</v>
      </c>
      <c r="C8" s="155">
        <v>1</v>
      </c>
      <c r="D8" s="156">
        <v>3250</v>
      </c>
      <c r="E8" s="157" t="s">
        <v>200</v>
      </c>
      <c r="F8" s="38"/>
      <c r="G8" s="38"/>
      <c r="K8" s="36"/>
      <c r="L8" s="31" t="str">
        <f t="shared" si="0"/>
        <v>ТР</v>
      </c>
    </row>
    <row r="9" spans="1:12">
      <c r="A9" s="158" t="s">
        <v>201</v>
      </c>
      <c r="B9" s="159" t="s">
        <v>195</v>
      </c>
      <c r="C9" s="160">
        <v>1</v>
      </c>
      <c r="D9" s="161">
        <v>4300</v>
      </c>
      <c r="E9" s="162" t="s">
        <v>216</v>
      </c>
      <c r="F9" s="37"/>
      <c r="G9" s="37"/>
      <c r="K9" s="36"/>
      <c r="L9" s="31" t="str">
        <f t="shared" si="0"/>
        <v>ТР</v>
      </c>
    </row>
    <row r="10" spans="1:12">
      <c r="A10" s="228" t="s">
        <v>273</v>
      </c>
      <c r="B10" s="163" t="s">
        <v>195</v>
      </c>
      <c r="C10" s="160">
        <v>1</v>
      </c>
      <c r="D10" s="161">
        <v>16170</v>
      </c>
      <c r="E10" s="164" t="s">
        <v>202</v>
      </c>
      <c r="L10" s="31" t="str">
        <f t="shared" si="0"/>
        <v>ТР</v>
      </c>
    </row>
    <row r="11" spans="1:12" ht="94.5">
      <c r="A11" s="165" t="s">
        <v>203</v>
      </c>
      <c r="B11" s="166" t="s">
        <v>195</v>
      </c>
      <c r="C11" s="167">
        <v>1</v>
      </c>
      <c r="D11" s="156">
        <v>5400</v>
      </c>
      <c r="E11" s="147" t="s">
        <v>204</v>
      </c>
      <c r="F11" s="103" t="s">
        <v>190</v>
      </c>
      <c r="G11" s="103"/>
      <c r="L11" s="31" t="str">
        <f t="shared" si="0"/>
        <v>ТР</v>
      </c>
    </row>
    <row r="12" spans="1:12" ht="31.5">
      <c r="A12" s="165" t="s">
        <v>205</v>
      </c>
      <c r="B12" s="166" t="s">
        <v>195</v>
      </c>
      <c r="C12" s="167">
        <v>1</v>
      </c>
      <c r="D12" s="156">
        <v>3200</v>
      </c>
      <c r="E12" s="147" t="s">
        <v>206</v>
      </c>
      <c r="F12" s="104" t="s">
        <v>72</v>
      </c>
      <c r="G12" s="105">
        <v>1200</v>
      </c>
      <c r="L12" s="31" t="str">
        <f t="shared" si="0"/>
        <v>ТР</v>
      </c>
    </row>
    <row r="13" spans="1:12" ht="31.5">
      <c r="A13" s="165" t="s">
        <v>207</v>
      </c>
      <c r="B13" s="166" t="s">
        <v>195</v>
      </c>
      <c r="C13" s="167">
        <v>1</v>
      </c>
      <c r="D13" s="156">
        <v>1700</v>
      </c>
      <c r="E13" s="147" t="s">
        <v>208</v>
      </c>
      <c r="F13" s="104" t="s">
        <v>179</v>
      </c>
      <c r="G13" s="105">
        <v>24500</v>
      </c>
      <c r="L13" s="31" t="str">
        <f t="shared" si="0"/>
        <v>ТР</v>
      </c>
    </row>
    <row r="14" spans="1:12" ht="47.25">
      <c r="A14" s="168" t="s">
        <v>210</v>
      </c>
      <c r="B14" s="166" t="s">
        <v>195</v>
      </c>
      <c r="C14" s="167">
        <v>1</v>
      </c>
      <c r="D14" s="156">
        <v>8215</v>
      </c>
      <c r="E14" s="147" t="s">
        <v>209</v>
      </c>
      <c r="F14" s="226" t="s">
        <v>270</v>
      </c>
      <c r="G14" s="109">
        <v>7200</v>
      </c>
      <c r="L14" s="31" t="str">
        <f t="shared" si="0"/>
        <v>ТР</v>
      </c>
    </row>
    <row r="15" spans="1:12" ht="15.75">
      <c r="A15" s="168" t="s">
        <v>211</v>
      </c>
      <c r="B15" s="169" t="s">
        <v>195</v>
      </c>
      <c r="C15" s="170">
        <v>1</v>
      </c>
      <c r="D15" s="161">
        <v>2500</v>
      </c>
      <c r="E15" s="171" t="s">
        <v>212</v>
      </c>
      <c r="F15" s="104" t="s">
        <v>185</v>
      </c>
      <c r="G15" s="109">
        <v>25000</v>
      </c>
      <c r="L15" s="31" t="str">
        <f t="shared" si="0"/>
        <v>ТР</v>
      </c>
    </row>
    <row r="16" spans="1:12" ht="31.5">
      <c r="A16" s="172" t="s">
        <v>213</v>
      </c>
      <c r="B16" s="173" t="s">
        <v>195</v>
      </c>
      <c r="C16" s="174">
        <v>1</v>
      </c>
      <c r="D16" s="175">
        <v>1120</v>
      </c>
      <c r="E16" s="176" t="s">
        <v>214</v>
      </c>
      <c r="F16" s="104" t="s">
        <v>184</v>
      </c>
      <c r="G16" s="109">
        <v>30000</v>
      </c>
      <c r="L16" s="31" t="str">
        <f t="shared" si="0"/>
        <v>ТР</v>
      </c>
    </row>
    <row r="17" spans="1:12" ht="15.75">
      <c r="A17" s="227" t="s">
        <v>271</v>
      </c>
      <c r="B17" s="177" t="s">
        <v>195</v>
      </c>
      <c r="C17" s="178">
        <v>1</v>
      </c>
      <c r="D17" s="156">
        <v>3600</v>
      </c>
      <c r="E17" s="147" t="s">
        <v>217</v>
      </c>
      <c r="F17" s="7" t="s">
        <v>188</v>
      </c>
      <c r="G17" s="111">
        <v>40000</v>
      </c>
      <c r="L17" s="31" t="str">
        <f t="shared" si="0"/>
        <v>ТР</v>
      </c>
    </row>
    <row r="18" spans="1:12" ht="31.5">
      <c r="A18" s="179" t="s">
        <v>227</v>
      </c>
      <c r="B18" s="177" t="s">
        <v>195</v>
      </c>
      <c r="C18" s="178">
        <v>1</v>
      </c>
      <c r="D18" s="156">
        <v>11130</v>
      </c>
      <c r="E18" s="147" t="s">
        <v>232</v>
      </c>
      <c r="F18" s="128" t="s">
        <v>187</v>
      </c>
      <c r="G18" s="110">
        <v>30000</v>
      </c>
      <c r="L18" s="31" t="str">
        <f t="shared" si="0"/>
        <v>ТР</v>
      </c>
    </row>
    <row r="19" spans="1:12" ht="15.75">
      <c r="A19" s="179" t="s">
        <v>225</v>
      </c>
      <c r="B19" s="177" t="s">
        <v>195</v>
      </c>
      <c r="C19" s="178">
        <v>1</v>
      </c>
      <c r="D19" s="156">
        <v>27800</v>
      </c>
      <c r="E19" s="147" t="s">
        <v>235</v>
      </c>
      <c r="F19" s="112" t="s">
        <v>186</v>
      </c>
      <c r="G19" s="111">
        <v>30000</v>
      </c>
      <c r="L19" s="31" t="str">
        <f t="shared" si="0"/>
        <v>ТР</v>
      </c>
    </row>
    <row r="20" spans="1:12" ht="15.75">
      <c r="A20" s="228" t="s">
        <v>272</v>
      </c>
      <c r="B20" s="180" t="s">
        <v>195</v>
      </c>
      <c r="C20" s="160">
        <v>1</v>
      </c>
      <c r="D20" s="161">
        <v>31527</v>
      </c>
      <c r="E20" s="181" t="s">
        <v>221</v>
      </c>
      <c r="F20" s="117" t="s">
        <v>183</v>
      </c>
      <c r="G20" s="118">
        <v>90000</v>
      </c>
      <c r="L20" s="31" t="str">
        <f t="shared" si="0"/>
        <v>ТР</v>
      </c>
    </row>
    <row r="21" spans="1:12" ht="15.75">
      <c r="A21" s="182" t="s">
        <v>226</v>
      </c>
      <c r="B21" s="183" t="s">
        <v>195</v>
      </c>
      <c r="C21" s="184">
        <v>1</v>
      </c>
      <c r="D21" s="156">
        <v>4800</v>
      </c>
      <c r="E21" s="147" t="s">
        <v>222</v>
      </c>
      <c r="F21" s="117"/>
      <c r="G21" s="118"/>
      <c r="L21" s="31" t="str">
        <f t="shared" si="0"/>
        <v>ТР</v>
      </c>
    </row>
    <row r="22" spans="1:12" ht="15.75">
      <c r="A22" s="185" t="s">
        <v>223</v>
      </c>
      <c r="B22" s="186" t="s">
        <v>195</v>
      </c>
      <c r="C22" s="187">
        <v>1</v>
      </c>
      <c r="D22" s="151">
        <v>461</v>
      </c>
      <c r="E22" s="147" t="s">
        <v>224</v>
      </c>
      <c r="F22" s="112"/>
      <c r="G22" s="111"/>
      <c r="L22" s="31" t="str">
        <f t="shared" si="0"/>
        <v>ТР</v>
      </c>
    </row>
    <row r="23" spans="1:12" ht="15.75">
      <c r="A23" s="188" t="s">
        <v>215</v>
      </c>
      <c r="B23" s="177" t="s">
        <v>195</v>
      </c>
      <c r="C23" s="178">
        <v>1</v>
      </c>
      <c r="D23" s="156">
        <v>1284326</v>
      </c>
      <c r="E23" s="147" t="s">
        <v>228</v>
      </c>
      <c r="F23" s="113"/>
      <c r="G23" s="111"/>
      <c r="L23" s="31" t="str">
        <f t="shared" ref="L23:L39" si="1">IF(A23&gt;0,"ТР",0)</f>
        <v>ТР</v>
      </c>
    </row>
    <row r="24" spans="1:12">
      <c r="A24" s="189" t="s">
        <v>229</v>
      </c>
      <c r="B24" s="190" t="s">
        <v>195</v>
      </c>
      <c r="C24" s="191">
        <v>1</v>
      </c>
      <c r="D24" s="192">
        <v>1700</v>
      </c>
      <c r="E24" s="147" t="s">
        <v>230</v>
      </c>
      <c r="F24" s="95"/>
      <c r="L24" s="31" t="str">
        <f t="shared" si="1"/>
        <v>ТР</v>
      </c>
    </row>
    <row r="25" spans="1:12">
      <c r="A25" s="193" t="s">
        <v>231</v>
      </c>
      <c r="B25" s="194" t="s">
        <v>195</v>
      </c>
      <c r="C25" s="187">
        <v>1</v>
      </c>
      <c r="D25" s="151">
        <v>7800</v>
      </c>
      <c r="E25" s="147" t="s">
        <v>234</v>
      </c>
      <c r="F25" s="95"/>
      <c r="L25" s="31" t="str">
        <f t="shared" si="1"/>
        <v>ТР</v>
      </c>
    </row>
    <row r="26" spans="1:12">
      <c r="A26" s="195" t="s">
        <v>237</v>
      </c>
      <c r="B26" s="196" t="s">
        <v>195</v>
      </c>
      <c r="C26" s="191">
        <v>1</v>
      </c>
      <c r="D26" s="142">
        <v>6960</v>
      </c>
      <c r="E26" s="147" t="s">
        <v>238</v>
      </c>
      <c r="F26" s="95"/>
      <c r="L26" s="31" t="str">
        <f t="shared" si="1"/>
        <v>ТР</v>
      </c>
    </row>
    <row r="27" spans="1:12">
      <c r="A27" s="197" t="s">
        <v>239</v>
      </c>
      <c r="B27" s="196" t="s">
        <v>195</v>
      </c>
      <c r="C27" s="191">
        <v>1</v>
      </c>
      <c r="D27" s="142">
        <v>2217</v>
      </c>
      <c r="E27" s="147" t="s">
        <v>240</v>
      </c>
      <c r="F27" s="129"/>
      <c r="L27" s="31" t="str">
        <f t="shared" si="1"/>
        <v>ТР</v>
      </c>
    </row>
    <row r="28" spans="1:12">
      <c r="A28" s="198" t="s">
        <v>241</v>
      </c>
      <c r="B28" s="199" t="s">
        <v>195</v>
      </c>
      <c r="C28" s="191">
        <v>1</v>
      </c>
      <c r="D28" s="142">
        <v>5400</v>
      </c>
      <c r="E28" s="147" t="s">
        <v>242</v>
      </c>
      <c r="F28" s="129"/>
      <c r="L28" s="31" t="str">
        <f t="shared" si="1"/>
        <v>ТР</v>
      </c>
    </row>
    <row r="29" spans="1:12">
      <c r="A29" s="200" t="s">
        <v>243</v>
      </c>
      <c r="B29" s="201" t="s">
        <v>195</v>
      </c>
      <c r="C29" s="150">
        <v>1</v>
      </c>
      <c r="D29" s="151">
        <v>22990</v>
      </c>
      <c r="E29" s="147" t="s">
        <v>244</v>
      </c>
      <c r="F29" s="95"/>
      <c r="L29" s="31" t="str">
        <f t="shared" si="1"/>
        <v>ТР</v>
      </c>
    </row>
    <row r="30" spans="1:12">
      <c r="A30" s="202" t="s">
        <v>246</v>
      </c>
      <c r="B30" s="203" t="s">
        <v>195</v>
      </c>
      <c r="C30" s="150">
        <v>1</v>
      </c>
      <c r="D30" s="151">
        <v>10622</v>
      </c>
      <c r="E30" s="147" t="s">
        <v>245</v>
      </c>
      <c r="F30" s="95"/>
      <c r="L30" s="31" t="str">
        <f t="shared" si="1"/>
        <v>ТР</v>
      </c>
    </row>
    <row r="31" spans="1:12">
      <c r="A31" s="204" t="s">
        <v>247</v>
      </c>
      <c r="B31" s="205" t="s">
        <v>195</v>
      </c>
      <c r="C31" s="205">
        <v>1</v>
      </c>
      <c r="D31" s="206">
        <v>570</v>
      </c>
      <c r="E31" s="204" t="s">
        <v>248</v>
      </c>
      <c r="L31" s="31" t="str">
        <f t="shared" si="1"/>
        <v>ТР</v>
      </c>
    </row>
    <row r="32" spans="1:12" ht="36.75" customHeight="1">
      <c r="A32" s="207" t="s">
        <v>249</v>
      </c>
      <c r="B32" s="208" t="s">
        <v>195</v>
      </c>
      <c r="C32" s="187">
        <v>1</v>
      </c>
      <c r="D32" s="151">
        <v>1832</v>
      </c>
      <c r="E32" s="147" t="s">
        <v>250</v>
      </c>
      <c r="H32" s="91"/>
      <c r="I32" s="91"/>
      <c r="L32" s="31" t="str">
        <f t="shared" si="1"/>
        <v>ТР</v>
      </c>
    </row>
    <row r="33" spans="1:16">
      <c r="A33" s="209" t="s">
        <v>251</v>
      </c>
      <c r="B33" s="210" t="s">
        <v>195</v>
      </c>
      <c r="C33" s="211">
        <v>1</v>
      </c>
      <c r="D33" s="212">
        <v>21600</v>
      </c>
      <c r="E33" s="147" t="s">
        <v>252</v>
      </c>
      <c r="L33" s="31" t="str">
        <f t="shared" si="1"/>
        <v>ТР</v>
      </c>
    </row>
    <row r="34" spans="1:16">
      <c r="A34" s="213" t="s">
        <v>253</v>
      </c>
      <c r="B34" s="154" t="s">
        <v>195</v>
      </c>
      <c r="C34" s="187">
        <v>1</v>
      </c>
      <c r="D34" s="142">
        <v>5100</v>
      </c>
      <c r="E34" s="147" t="s">
        <v>259</v>
      </c>
      <c r="L34" s="31" t="str">
        <f t="shared" si="1"/>
        <v>ТР</v>
      </c>
    </row>
    <row r="35" spans="1:16">
      <c r="A35" s="213" t="s">
        <v>255</v>
      </c>
      <c r="B35" s="154" t="s">
        <v>175</v>
      </c>
      <c r="C35" s="155">
        <v>2</v>
      </c>
      <c r="D35" s="142">
        <v>2000</v>
      </c>
      <c r="E35" s="147" t="s">
        <v>254</v>
      </c>
      <c r="L35" s="31" t="str">
        <f t="shared" si="1"/>
        <v>ТР</v>
      </c>
    </row>
    <row r="36" spans="1:16">
      <c r="A36" s="224" t="s">
        <v>265</v>
      </c>
      <c r="B36" s="154" t="s">
        <v>195</v>
      </c>
      <c r="C36" s="187">
        <v>1</v>
      </c>
      <c r="D36" s="142">
        <v>7200</v>
      </c>
      <c r="E36" s="147" t="s">
        <v>256</v>
      </c>
      <c r="L36" s="31" t="str">
        <f t="shared" si="1"/>
        <v>ТР</v>
      </c>
    </row>
    <row r="37" spans="1:16">
      <c r="A37" s="213" t="s">
        <v>257</v>
      </c>
      <c r="B37" s="154" t="s">
        <v>195</v>
      </c>
      <c r="C37" s="155">
        <v>1</v>
      </c>
      <c r="D37" s="142">
        <v>2799</v>
      </c>
      <c r="E37" s="147" t="s">
        <v>258</v>
      </c>
      <c r="L37" s="134" t="str">
        <f t="shared" si="1"/>
        <v>ТР</v>
      </c>
    </row>
    <row r="38" spans="1:16">
      <c r="A38" s="214" t="s">
        <v>260</v>
      </c>
      <c r="B38" s="154" t="s">
        <v>195</v>
      </c>
      <c r="C38" s="187">
        <v>1</v>
      </c>
      <c r="D38" s="142">
        <v>7200</v>
      </c>
      <c r="E38" s="147" t="s">
        <v>261</v>
      </c>
      <c r="L38" s="134" t="str">
        <f t="shared" si="1"/>
        <v>ТР</v>
      </c>
    </row>
    <row r="39" spans="1:16">
      <c r="A39" s="224" t="s">
        <v>266</v>
      </c>
      <c r="B39" s="154" t="s">
        <v>195</v>
      </c>
      <c r="C39" s="187">
        <v>1</v>
      </c>
      <c r="D39" s="142">
        <v>5400</v>
      </c>
      <c r="E39" s="147" t="s">
        <v>267</v>
      </c>
      <c r="L39" s="134" t="str">
        <f t="shared" si="1"/>
        <v>ТР</v>
      </c>
    </row>
    <row r="40" spans="1:16">
      <c r="A40" s="225" t="s">
        <v>269</v>
      </c>
      <c r="B40" s="154" t="s">
        <v>195</v>
      </c>
      <c r="C40" s="155">
        <v>1</v>
      </c>
      <c r="D40" s="142">
        <v>15163</v>
      </c>
      <c r="E40" s="147" t="s">
        <v>268</v>
      </c>
    </row>
    <row r="41" spans="1:16">
      <c r="A41" s="123"/>
      <c r="B41" s="121"/>
      <c r="C41" s="122"/>
      <c r="D41" s="120"/>
      <c r="E41" s="114"/>
    </row>
    <row r="42" spans="1:16">
      <c r="A42" s="123"/>
      <c r="B42" s="121"/>
      <c r="C42" s="122"/>
      <c r="D42" s="120"/>
      <c r="E42" s="114"/>
    </row>
    <row r="43" spans="1:16" ht="18.75">
      <c r="A43" s="258"/>
      <c r="B43" s="258"/>
      <c r="C43" s="258"/>
      <c r="D43" s="258"/>
      <c r="E43" s="258"/>
      <c r="F43" s="258"/>
    </row>
    <row r="44" spans="1:16" ht="31.5" customHeight="1">
      <c r="A44" s="215" t="s">
        <v>22</v>
      </c>
      <c r="B44" s="89">
        <f>F44*D44*'Абонентский отдел'!$F$1</f>
        <v>822124.68</v>
      </c>
      <c r="C44" s="216" t="s">
        <v>67</v>
      </c>
      <c r="D44" s="217">
        <v>12</v>
      </c>
      <c r="E44" s="218"/>
      <c r="F44" s="221">
        <v>4.9400000000000004</v>
      </c>
      <c r="J44" s="32"/>
      <c r="L44" s="33" t="str">
        <f>IF(A44&gt;0,"СОД",0)</f>
        <v>СОД</v>
      </c>
      <c r="M44" t="str">
        <f>A44</f>
        <v>Работы, выполняемые для надлежащего содержания внутридомовых инженерных систем и конструктивных элементов дома</v>
      </c>
      <c r="N44" s="34">
        <f>B44</f>
        <v>822124.68</v>
      </c>
      <c r="O44" s="34" t="str">
        <f>C44</f>
        <v>Ежемесячно</v>
      </c>
      <c r="P44">
        <f>D44</f>
        <v>12</v>
      </c>
    </row>
    <row r="45" spans="1:16" ht="31.5" customHeight="1">
      <c r="A45" s="215" t="s">
        <v>173</v>
      </c>
      <c r="B45" s="89">
        <f>F45*D45*'Абонентский отдел'!$F$1</f>
        <v>299559.60000000003</v>
      </c>
      <c r="C45" s="216" t="s">
        <v>67</v>
      </c>
      <c r="D45" s="217">
        <v>12</v>
      </c>
      <c r="E45" s="218"/>
      <c r="F45" s="221">
        <v>1.8</v>
      </c>
      <c r="J45" s="32"/>
      <c r="L45" s="33" t="str">
        <f t="shared" ref="L45:L58" si="2">IF(A45&gt;0,"СОД",0)</f>
        <v>СОД</v>
      </c>
      <c r="M45" t="str">
        <f t="shared" ref="M45:M58" si="3">A45</f>
        <v>Работы по содержанию лифта (лифтов)</v>
      </c>
      <c r="N45" s="34">
        <f t="shared" ref="N45:N58" si="4">B45</f>
        <v>299559.60000000003</v>
      </c>
      <c r="O45" s="34" t="str">
        <f t="shared" ref="O45:O58" si="5">C45</f>
        <v>Ежемесячно</v>
      </c>
      <c r="P45">
        <f t="shared" ref="P45:P58" si="6">D45</f>
        <v>12</v>
      </c>
    </row>
    <row r="46" spans="1:16" ht="25.5">
      <c r="A46" s="215" t="s">
        <v>264</v>
      </c>
      <c r="B46" s="89">
        <f>F46*D46*'Абонентский отдел'!$F$1</f>
        <v>341165.1</v>
      </c>
      <c r="C46" s="216" t="s">
        <v>68</v>
      </c>
      <c r="D46" s="217">
        <v>12</v>
      </c>
      <c r="E46" s="218"/>
      <c r="F46" s="221">
        <v>2.0499999999999998</v>
      </c>
      <c r="J46" s="32"/>
      <c r="L46" s="33" t="str">
        <f t="shared" si="2"/>
        <v>СОД</v>
      </c>
      <c r="M46" t="str">
        <f t="shared" si="3"/>
        <v xml:space="preserve">Работы по содержанию земельного участка </v>
      </c>
      <c r="N46" s="34">
        <f t="shared" si="4"/>
        <v>341165.1</v>
      </c>
      <c r="O46" s="34" t="str">
        <f t="shared" si="5"/>
        <v>В соответствии с графиком</v>
      </c>
      <c r="P46">
        <f t="shared" si="6"/>
        <v>12</v>
      </c>
    </row>
    <row r="47" spans="1:16" ht="25.5">
      <c r="A47" s="215" t="s">
        <v>23</v>
      </c>
      <c r="B47" s="89">
        <f>F47*D47*'Абонентский отдел'!$F$1</f>
        <v>196377.96</v>
      </c>
      <c r="C47" s="216" t="s">
        <v>67</v>
      </c>
      <c r="D47" s="217">
        <v>12</v>
      </c>
      <c r="E47" s="218"/>
      <c r="F47" s="221">
        <v>1.18</v>
      </c>
      <c r="J47" s="32"/>
      <c r="L47" s="33" t="str">
        <f t="shared" si="2"/>
        <v>СОД</v>
      </c>
      <c r="M47" t="str">
        <f t="shared" si="3"/>
        <v>Работы, выполняемые для надлежащего содержания электрооборудования дома</v>
      </c>
      <c r="N47" s="34">
        <f t="shared" si="4"/>
        <v>196377.96</v>
      </c>
      <c r="O47" s="34" t="str">
        <f t="shared" si="5"/>
        <v>Ежемесячно</v>
      </c>
      <c r="P47">
        <f t="shared" si="6"/>
        <v>12</v>
      </c>
    </row>
    <row r="48" spans="1:16" ht="15.75">
      <c r="A48" s="215"/>
      <c r="B48" s="216"/>
      <c r="C48" s="216"/>
      <c r="D48" s="217"/>
      <c r="E48" s="218"/>
      <c r="F48" s="221"/>
      <c r="J48" s="32"/>
      <c r="L48" s="33">
        <f t="shared" si="2"/>
        <v>0</v>
      </c>
      <c r="M48">
        <f t="shared" si="3"/>
        <v>0</v>
      </c>
      <c r="N48" s="34">
        <f t="shared" si="4"/>
        <v>0</v>
      </c>
      <c r="O48" s="34">
        <f t="shared" si="5"/>
        <v>0</v>
      </c>
      <c r="P48">
        <f t="shared" si="6"/>
        <v>0</v>
      </c>
    </row>
    <row r="49" spans="1:16" ht="25.5">
      <c r="A49" s="215" t="s">
        <v>24</v>
      </c>
      <c r="B49" s="89">
        <f>F49*D49*'Абонентский отдел'!$F$1</f>
        <v>83211</v>
      </c>
      <c r="C49" s="216" t="s">
        <v>69</v>
      </c>
      <c r="D49" s="217">
        <v>12</v>
      </c>
      <c r="E49" s="218"/>
      <c r="F49" s="221">
        <v>0.5</v>
      </c>
      <c r="J49" s="32"/>
      <c r="L49" s="33" t="str">
        <f t="shared" si="2"/>
        <v>СОД</v>
      </c>
      <c r="M49" t="str">
        <f t="shared" si="3"/>
        <v>Обеспечение устранения аварий на внутридомовых инженерных системах в многоквартирном доме</v>
      </c>
      <c r="N49" s="34">
        <f t="shared" si="4"/>
        <v>83211</v>
      </c>
      <c r="O49" s="34" t="str">
        <f t="shared" si="5"/>
        <v>Круглосуточно</v>
      </c>
      <c r="P49">
        <f t="shared" si="6"/>
        <v>12</v>
      </c>
    </row>
    <row r="50" spans="1:16" ht="25.5">
      <c r="A50" s="215" t="s">
        <v>25</v>
      </c>
      <c r="B50" s="89">
        <f>F50*D50*'Абонентский отдел'!$F$1</f>
        <v>416055</v>
      </c>
      <c r="C50" s="216" t="s">
        <v>68</v>
      </c>
      <c r="D50" s="217">
        <v>12</v>
      </c>
      <c r="E50" s="218"/>
      <c r="F50" s="221">
        <v>2.5</v>
      </c>
      <c r="J50" s="32"/>
      <c r="L50" s="33" t="str">
        <f t="shared" si="2"/>
        <v>СОД</v>
      </c>
      <c r="M50" t="str">
        <f t="shared" si="3"/>
        <v>Работы по содержанию помещений, входящих в состав общего имущества в многоквартирном доме</v>
      </c>
      <c r="N50" s="34">
        <f t="shared" si="4"/>
        <v>416055</v>
      </c>
      <c r="O50" s="34" t="str">
        <f t="shared" si="5"/>
        <v>В соответствии с графиком</v>
      </c>
      <c r="P50">
        <f t="shared" si="6"/>
        <v>12</v>
      </c>
    </row>
    <row r="51" spans="1:16">
      <c r="A51" s="215"/>
      <c r="B51" s="221"/>
      <c r="C51" s="219"/>
      <c r="D51" s="220"/>
      <c r="E51" s="221"/>
      <c r="F51" s="221"/>
      <c r="L51" s="33">
        <f t="shared" si="2"/>
        <v>0</v>
      </c>
      <c r="M51">
        <f t="shared" si="3"/>
        <v>0</v>
      </c>
      <c r="N51" s="34">
        <f t="shared" si="4"/>
        <v>0</v>
      </c>
      <c r="O51" s="34">
        <f t="shared" si="5"/>
        <v>0</v>
      </c>
      <c r="P51">
        <f t="shared" si="6"/>
        <v>0</v>
      </c>
    </row>
    <row r="52" spans="1:16" ht="15.75">
      <c r="A52" s="215" t="s">
        <v>180</v>
      </c>
      <c r="B52" s="89">
        <f>F52*D52*'Абонентский отдел'!$F$1</f>
        <v>174743.1</v>
      </c>
      <c r="C52" s="219" t="s">
        <v>67</v>
      </c>
      <c r="D52" s="220">
        <v>12</v>
      </c>
      <c r="E52" s="222"/>
      <c r="F52" s="221">
        <v>1.05</v>
      </c>
      <c r="L52" s="33" t="str">
        <f t="shared" si="2"/>
        <v>СОД</v>
      </c>
      <c r="M52" t="str">
        <f t="shared" si="3"/>
        <v>Работы по обеспечению пожарной безопасности</v>
      </c>
      <c r="N52" s="34">
        <f t="shared" si="4"/>
        <v>174743.1</v>
      </c>
      <c r="O52" s="34" t="str">
        <f t="shared" si="5"/>
        <v>Ежемесячно</v>
      </c>
      <c r="P52">
        <f t="shared" si="6"/>
        <v>12</v>
      </c>
    </row>
    <row r="53" spans="1:16">
      <c r="L53" s="33">
        <f t="shared" si="2"/>
        <v>0</v>
      </c>
      <c r="M53">
        <f t="shared" si="3"/>
        <v>0</v>
      </c>
      <c r="N53" s="34">
        <f t="shared" si="4"/>
        <v>0</v>
      </c>
      <c r="O53" s="34">
        <f t="shared" si="5"/>
        <v>0</v>
      </c>
      <c r="P53">
        <f t="shared" si="6"/>
        <v>0</v>
      </c>
    </row>
    <row r="54" spans="1:16">
      <c r="L54" s="33">
        <f t="shared" si="2"/>
        <v>0</v>
      </c>
      <c r="M54">
        <f t="shared" si="3"/>
        <v>0</v>
      </c>
      <c r="N54" s="34">
        <f t="shared" si="4"/>
        <v>0</v>
      </c>
      <c r="O54" s="34">
        <f t="shared" si="5"/>
        <v>0</v>
      </c>
      <c r="P54">
        <f t="shared" si="6"/>
        <v>0</v>
      </c>
    </row>
    <row r="55" spans="1:16">
      <c r="L55" s="33">
        <f t="shared" si="2"/>
        <v>0</v>
      </c>
      <c r="M55">
        <f t="shared" si="3"/>
        <v>0</v>
      </c>
      <c r="N55" s="34">
        <f t="shared" si="4"/>
        <v>0</v>
      </c>
      <c r="O55" s="34">
        <f t="shared" si="5"/>
        <v>0</v>
      </c>
      <c r="P55">
        <f t="shared" si="6"/>
        <v>0</v>
      </c>
    </row>
    <row r="56" spans="1:16">
      <c r="E56" s="115"/>
      <c r="F56" s="115"/>
      <c r="G56" s="115"/>
      <c r="L56" s="33">
        <f t="shared" si="2"/>
        <v>0</v>
      </c>
      <c r="M56">
        <f t="shared" si="3"/>
        <v>0</v>
      </c>
      <c r="N56" s="34">
        <f t="shared" si="4"/>
        <v>0</v>
      </c>
      <c r="O56" s="34">
        <f t="shared" si="5"/>
        <v>0</v>
      </c>
      <c r="P56">
        <f t="shared" si="6"/>
        <v>0</v>
      </c>
    </row>
    <row r="57" spans="1:16">
      <c r="E57" s="115"/>
      <c r="F57" s="116"/>
      <c r="G57" s="115"/>
      <c r="H57" s="115"/>
      <c r="L57" s="33">
        <f t="shared" si="2"/>
        <v>0</v>
      </c>
      <c r="M57">
        <f t="shared" si="3"/>
        <v>0</v>
      </c>
      <c r="N57" s="34">
        <f t="shared" si="4"/>
        <v>0</v>
      </c>
      <c r="O57" s="34">
        <f t="shared" si="5"/>
        <v>0</v>
      </c>
      <c r="P57">
        <f t="shared" si="6"/>
        <v>0</v>
      </c>
    </row>
    <row r="58" spans="1:16">
      <c r="E58" s="115"/>
      <c r="F58" s="115"/>
      <c r="G58" s="115"/>
      <c r="H58" s="115"/>
      <c r="L58" s="33">
        <f t="shared" si="2"/>
        <v>0</v>
      </c>
      <c r="M58">
        <f t="shared" si="3"/>
        <v>0</v>
      </c>
      <c r="N58" s="34">
        <f t="shared" si="4"/>
        <v>0</v>
      </c>
      <c r="O58" s="34">
        <f t="shared" si="5"/>
        <v>0</v>
      </c>
      <c r="P58">
        <f t="shared" si="6"/>
        <v>0</v>
      </c>
    </row>
    <row r="59" spans="1:16">
      <c r="E59" s="115"/>
      <c r="F59" s="115"/>
      <c r="G59" s="115"/>
      <c r="H59" s="115"/>
    </row>
    <row r="60" spans="1:16">
      <c r="E60" s="115"/>
      <c r="F60" s="115"/>
      <c r="G60" s="115"/>
      <c r="H60" s="115"/>
    </row>
    <row r="61" spans="1:16">
      <c r="E61" s="115"/>
      <c r="F61" s="115"/>
      <c r="G61" s="115"/>
      <c r="H61" s="115"/>
    </row>
    <row r="62" spans="1:16">
      <c r="E62" s="115"/>
      <c r="F62" s="115"/>
      <c r="G62" s="115"/>
      <c r="H62" s="115"/>
    </row>
    <row r="63" spans="1:16">
      <c r="E63" s="115"/>
      <c r="F63" s="116"/>
      <c r="G63" s="115"/>
      <c r="H63" s="115"/>
    </row>
    <row r="64" spans="1:16">
      <c r="E64" s="115"/>
      <c r="F64" s="115"/>
      <c r="G64" s="115"/>
      <c r="H64" s="115"/>
    </row>
    <row r="65" spans="4:13">
      <c r="E65" s="115"/>
      <c r="F65" s="115"/>
      <c r="G65" s="115"/>
      <c r="H65" s="115"/>
    </row>
    <row r="66" spans="4:13">
      <c r="E66" s="115"/>
      <c r="F66" s="115"/>
      <c r="G66" s="115"/>
      <c r="H66" s="115"/>
    </row>
    <row r="67" spans="4:13">
      <c r="E67" s="115"/>
      <c r="F67" s="116"/>
      <c r="G67" s="115"/>
      <c r="H67" s="115"/>
    </row>
    <row r="68" spans="4:13">
      <c r="E68" s="115"/>
      <c r="F68" s="115"/>
      <c r="G68" s="115"/>
      <c r="H68" s="115"/>
    </row>
    <row r="69" spans="4:13">
      <c r="E69" s="115"/>
      <c r="F69" s="115"/>
      <c r="G69" s="115"/>
      <c r="H69" s="115"/>
    </row>
    <row r="70" spans="4:13" ht="18.75" customHeight="1">
      <c r="D70" s="91"/>
      <c r="E70" s="91"/>
      <c r="F70" s="91"/>
      <c r="G70" s="91"/>
      <c r="H70" s="91"/>
      <c r="I70" s="91"/>
      <c r="J70" s="91"/>
      <c r="K70" s="91"/>
      <c r="L70" s="91"/>
      <c r="M70" s="91"/>
    </row>
    <row r="71" spans="4:13" ht="18.75" customHeight="1">
      <c r="D71" s="94"/>
      <c r="E71" s="41"/>
      <c r="F71" s="42"/>
      <c r="G71" s="94"/>
      <c r="H71" s="94"/>
      <c r="I71" s="94"/>
      <c r="J71" s="94"/>
      <c r="M71" s="1"/>
    </row>
    <row r="72" spans="4:13" ht="18.75" customHeight="1">
      <c r="D72" s="94"/>
      <c r="E72" s="41"/>
      <c r="F72" s="42"/>
      <c r="G72" s="94"/>
      <c r="H72" s="94"/>
      <c r="I72" s="94"/>
      <c r="J72" s="94"/>
      <c r="M72" s="1"/>
    </row>
    <row r="73" spans="4:13" ht="18.75" customHeight="1">
      <c r="D73" s="94"/>
      <c r="E73" s="41"/>
      <c r="F73" s="42"/>
      <c r="G73" s="94"/>
      <c r="H73" s="94"/>
      <c r="I73" s="94"/>
      <c r="J73" s="94"/>
      <c r="M73" s="1"/>
    </row>
    <row r="74" spans="4:13" ht="18.75" customHeight="1">
      <c r="D74" s="94"/>
      <c r="E74" s="41"/>
      <c r="F74" s="42"/>
      <c r="G74" s="94"/>
      <c r="H74" s="94"/>
      <c r="I74" s="94"/>
      <c r="J74" s="94"/>
      <c r="M74" s="1"/>
    </row>
    <row r="75" spans="4:13" ht="18.75" customHeight="1">
      <c r="D75" s="94"/>
      <c r="E75" s="43"/>
      <c r="F75" s="44"/>
      <c r="G75" s="94"/>
      <c r="H75" s="94"/>
      <c r="I75" s="94"/>
      <c r="J75" s="94"/>
      <c r="M75" s="1"/>
    </row>
    <row r="76" spans="4:13" ht="18.75" customHeight="1">
      <c r="D76" s="94"/>
      <c r="E76" s="41"/>
      <c r="F76" s="42"/>
      <c r="G76" s="94"/>
      <c r="H76" s="94"/>
      <c r="I76" s="94"/>
      <c r="J76" s="94"/>
      <c r="M76" s="1"/>
    </row>
  </sheetData>
  <sheetProtection algorithmName="SHA-512" hashValue="M/mKlOZxZ+uoBVJ2Mck50Jq2+SAfwDbufxXuse6JVeybUEU9vd17WnD6W1vwnMIm7Al4KW8OxoGFYaXhi1CyBg==" saltValue="B7VLKdUDA5BuhwgGrzEWCw==" spinCount="100000" sheet="1" objects="1" scenarios="1"/>
  <mergeCells count="1">
    <mergeCell ref="A43:F4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3" sqref="C33"/>
    </sheetView>
  </sheetViews>
  <sheetFormatPr defaultRowHeight="15"/>
  <cols>
    <col min="1" max="1" width="11.5703125" style="52" hidden="1" customWidth="1"/>
    <col min="2" max="2" width="94.7109375" style="52" bestFit="1" customWidth="1"/>
    <col min="3" max="3" width="25.85546875" style="52" customWidth="1"/>
    <col min="4" max="4" width="69.5703125" style="52" bestFit="1" customWidth="1"/>
    <col min="5" max="5" width="20.7109375" style="52" bestFit="1" customWidth="1"/>
    <col min="6" max="6" width="61.140625" style="52" customWidth="1"/>
    <col min="7" max="8" width="9.140625" style="52"/>
    <col min="9" max="9" width="10.140625" style="52" bestFit="1" customWidth="1"/>
    <col min="10" max="10" width="9.140625" style="52"/>
    <col min="11" max="11" width="11.28515625" style="52" bestFit="1" customWidth="1"/>
    <col min="12" max="12" width="69.5703125" style="52" bestFit="1" customWidth="1"/>
    <col min="13" max="16384" width="9.140625" style="52"/>
  </cols>
  <sheetData>
    <row r="1" spans="1:10" ht="15.75">
      <c r="A1" s="62"/>
      <c r="B1" s="63" t="s">
        <v>32</v>
      </c>
      <c r="E1" s="52" t="s">
        <v>176</v>
      </c>
      <c r="F1" s="52">
        <v>13868.5</v>
      </c>
    </row>
    <row r="2" spans="1:10" ht="15.75" customHeight="1">
      <c r="A2" s="62" t="s">
        <v>80</v>
      </c>
      <c r="B2" s="64" t="s">
        <v>2</v>
      </c>
      <c r="C2" s="75">
        <v>0</v>
      </c>
      <c r="D2" s="73" t="s">
        <v>57</v>
      </c>
      <c r="E2" s="53" t="s">
        <v>181</v>
      </c>
      <c r="F2" s="53" t="s">
        <v>182</v>
      </c>
      <c r="G2" s="53"/>
      <c r="H2" s="53"/>
      <c r="I2" s="53"/>
      <c r="J2" s="53"/>
    </row>
    <row r="3" spans="1:10" ht="15.75" customHeight="1">
      <c r="A3" s="62" t="s">
        <v>81</v>
      </c>
      <c r="B3" s="64" t="s">
        <v>3</v>
      </c>
      <c r="C3" s="71">
        <v>0</v>
      </c>
      <c r="D3" s="72" t="s">
        <v>58</v>
      </c>
      <c r="E3" s="53"/>
      <c r="F3" s="53"/>
      <c r="G3" s="53"/>
      <c r="H3" s="53"/>
      <c r="I3" s="53"/>
      <c r="J3" s="53"/>
    </row>
    <row r="4" spans="1:10" ht="15.75" customHeight="1">
      <c r="A4" s="62" t="s">
        <v>82</v>
      </c>
      <c r="B4" s="64" t="s">
        <v>4</v>
      </c>
      <c r="C4" s="75">
        <v>163647.66</v>
      </c>
      <c r="D4" s="73" t="s">
        <v>59</v>
      </c>
      <c r="E4" s="53"/>
      <c r="F4" s="53"/>
      <c r="G4" s="53"/>
      <c r="H4" s="53"/>
      <c r="I4" s="53"/>
      <c r="J4" s="53"/>
    </row>
    <row r="5" spans="1:10" ht="15.75" customHeight="1">
      <c r="A5" s="62" t="s">
        <v>83</v>
      </c>
      <c r="B5" s="64" t="s">
        <v>5</v>
      </c>
      <c r="C5" s="71">
        <f>SUM(C6:C8)</f>
        <v>4198873.1099999994</v>
      </c>
      <c r="D5" s="72" t="s">
        <v>58</v>
      </c>
      <c r="E5" s="53"/>
      <c r="F5" s="53"/>
      <c r="G5" s="53"/>
      <c r="H5" s="53"/>
      <c r="I5" s="53"/>
      <c r="J5" s="53"/>
    </row>
    <row r="6" spans="1:10" ht="15.75" customHeight="1">
      <c r="A6" s="62" t="s">
        <v>84</v>
      </c>
      <c r="B6" s="64" t="s">
        <v>6</v>
      </c>
      <c r="C6" s="75">
        <v>2577923.5299999998</v>
      </c>
      <c r="D6" s="73" t="s">
        <v>60</v>
      </c>
      <c r="E6" s="53"/>
      <c r="F6" s="53"/>
      <c r="G6" s="53"/>
      <c r="H6" s="53"/>
      <c r="I6" s="53"/>
      <c r="J6" s="53"/>
    </row>
    <row r="7" spans="1:10" ht="15.75" customHeight="1">
      <c r="A7" s="62" t="s">
        <v>85</v>
      </c>
      <c r="B7" s="64" t="s">
        <v>7</v>
      </c>
      <c r="C7" s="75">
        <f>F1*5*12</f>
        <v>832110</v>
      </c>
      <c r="D7" s="73" t="s">
        <v>61</v>
      </c>
      <c r="E7" s="53"/>
      <c r="F7" s="53"/>
      <c r="G7" s="53"/>
      <c r="H7" s="53"/>
      <c r="I7" s="53"/>
      <c r="J7" s="53"/>
    </row>
    <row r="8" spans="1:10" ht="15.75" customHeight="1">
      <c r="A8" s="62" t="s">
        <v>86</v>
      </c>
      <c r="B8" s="64" t="s">
        <v>8</v>
      </c>
      <c r="C8" s="75">
        <v>788839.58</v>
      </c>
      <c r="D8" s="73" t="s">
        <v>62</v>
      </c>
      <c r="E8" s="53"/>
      <c r="F8" s="53"/>
      <c r="G8" s="53"/>
      <c r="H8" s="53"/>
      <c r="I8" s="53"/>
      <c r="J8" s="53"/>
    </row>
    <row r="9" spans="1:10" ht="15.75" customHeight="1">
      <c r="A9" s="62" t="s">
        <v>87</v>
      </c>
      <c r="B9" s="64" t="s">
        <v>9</v>
      </c>
      <c r="C9" s="71">
        <f>SUM(C10:C14)</f>
        <v>4312833.82</v>
      </c>
      <c r="D9" s="72" t="s">
        <v>58</v>
      </c>
      <c r="E9" s="53"/>
      <c r="F9" s="53"/>
      <c r="G9" s="53"/>
      <c r="H9" s="53"/>
      <c r="I9" s="53"/>
      <c r="J9" s="53"/>
    </row>
    <row r="10" spans="1:10" ht="15.75" customHeight="1">
      <c r="A10" s="62" t="s">
        <v>88</v>
      </c>
      <c r="B10" s="64" t="s">
        <v>10</v>
      </c>
      <c r="C10" s="75">
        <v>4312833.82</v>
      </c>
      <c r="D10" s="73" t="s">
        <v>63</v>
      </c>
      <c r="E10" s="53"/>
      <c r="F10" s="53"/>
      <c r="G10" s="53"/>
      <c r="H10" s="53"/>
      <c r="I10" s="53"/>
      <c r="J10" s="53"/>
    </row>
    <row r="11" spans="1:10" ht="15.75" customHeight="1">
      <c r="A11" s="62" t="s">
        <v>89</v>
      </c>
      <c r="B11" s="64" t="s">
        <v>11</v>
      </c>
      <c r="C11" s="75">
        <v>0</v>
      </c>
      <c r="D11" s="73" t="s">
        <v>63</v>
      </c>
      <c r="E11" s="53"/>
      <c r="F11" s="53"/>
      <c r="G11" s="53"/>
      <c r="H11" s="53"/>
      <c r="I11" s="53"/>
      <c r="J11" s="53"/>
    </row>
    <row r="12" spans="1:10" ht="15.75" customHeight="1">
      <c r="A12" s="62" t="s">
        <v>90</v>
      </c>
      <c r="B12" s="64" t="s">
        <v>12</v>
      </c>
      <c r="C12" s="75">
        <v>0</v>
      </c>
      <c r="D12" s="73" t="s">
        <v>63</v>
      </c>
      <c r="E12" s="53"/>
      <c r="F12" s="53"/>
      <c r="G12" s="53"/>
      <c r="H12" s="53"/>
      <c r="I12" s="53"/>
      <c r="J12" s="53"/>
    </row>
    <row r="13" spans="1:10" ht="15.75" customHeight="1">
      <c r="A13" s="62" t="s">
        <v>91</v>
      </c>
      <c r="B13" s="64" t="s">
        <v>13</v>
      </c>
      <c r="C13" s="75">
        <v>0</v>
      </c>
      <c r="D13" s="73" t="s">
        <v>63</v>
      </c>
      <c r="E13" s="53"/>
      <c r="F13" s="53"/>
      <c r="G13" s="53"/>
      <c r="H13" s="53"/>
      <c r="I13" s="53"/>
      <c r="J13" s="53"/>
    </row>
    <row r="14" spans="1:10" ht="15.75" customHeight="1">
      <c r="A14" s="62" t="s">
        <v>92</v>
      </c>
      <c r="B14" s="64" t="s">
        <v>14</v>
      </c>
      <c r="C14" s="75">
        <v>0</v>
      </c>
      <c r="D14" s="73" t="s">
        <v>63</v>
      </c>
      <c r="E14" s="53"/>
      <c r="F14" s="53"/>
      <c r="G14" s="53"/>
      <c r="H14" s="53"/>
      <c r="I14" s="53"/>
      <c r="J14" s="53"/>
    </row>
    <row r="15" spans="1:10" ht="15.75" customHeight="1">
      <c r="A15" s="62" t="s">
        <v>93</v>
      </c>
      <c r="B15" s="64" t="s">
        <v>15</v>
      </c>
      <c r="C15" s="71">
        <f>C9</f>
        <v>4312833.82</v>
      </c>
      <c r="D15" s="72" t="s">
        <v>58</v>
      </c>
      <c r="E15" s="53"/>
      <c r="F15" s="53"/>
      <c r="G15" s="53"/>
      <c r="H15" s="53"/>
      <c r="I15" s="53"/>
      <c r="J15" s="53"/>
    </row>
    <row r="16" spans="1:10" ht="15.75" customHeight="1">
      <c r="A16" s="62" t="s">
        <v>94</v>
      </c>
      <c r="B16" s="64" t="s">
        <v>16</v>
      </c>
      <c r="C16" s="71">
        <f>IF(C2&gt;0,IF(C2+C9-C5&gt;0,C2+C9-C5,0),IF(C9-C5&gt;0,IF(C4+C5-C9&gt;0,0,C9-C5-C4),0))</f>
        <v>0</v>
      </c>
      <c r="D16" s="72" t="s">
        <v>58</v>
      </c>
      <c r="E16" s="53"/>
      <c r="F16" s="53"/>
      <c r="G16" s="53"/>
      <c r="H16" s="53"/>
      <c r="I16" s="53"/>
      <c r="J16" s="53"/>
    </row>
    <row r="17" spans="1:15" ht="15.75" customHeight="1">
      <c r="A17" s="62" t="s">
        <v>95</v>
      </c>
      <c r="B17" s="64" t="s">
        <v>17</v>
      </c>
      <c r="C17" s="71">
        <v>0</v>
      </c>
      <c r="D17" s="72" t="s">
        <v>58</v>
      </c>
      <c r="E17" s="53"/>
      <c r="F17" s="53"/>
      <c r="G17" s="53"/>
      <c r="H17" s="53"/>
      <c r="I17" s="53"/>
      <c r="J17" s="53"/>
    </row>
    <row r="18" spans="1:15" ht="15.75" customHeight="1">
      <c r="A18" s="62" t="s">
        <v>96</v>
      </c>
      <c r="B18" s="64" t="s">
        <v>18</v>
      </c>
      <c r="C18" s="71">
        <f>IF(C16&gt;0,0,IF(C4&gt;0,C4+C5-C9,C5-C2-C9))</f>
        <v>49686.949999999255</v>
      </c>
      <c r="D18" s="72" t="s">
        <v>58</v>
      </c>
      <c r="E18" s="53"/>
      <c r="F18" s="53"/>
      <c r="G18" s="53"/>
      <c r="H18" s="53"/>
      <c r="I18" s="53"/>
      <c r="J18" s="53"/>
    </row>
    <row r="19" spans="1:15" ht="18.75">
      <c r="A19" s="65" t="s">
        <v>159</v>
      </c>
      <c r="B19" s="66" t="s">
        <v>30</v>
      </c>
      <c r="C19" s="55"/>
      <c r="D19" s="55"/>
      <c r="E19" s="55"/>
      <c r="F19" s="55"/>
      <c r="G19" s="55"/>
      <c r="H19" s="55"/>
      <c r="I19" s="55"/>
      <c r="J19" s="55"/>
      <c r="M19" s="55"/>
      <c r="N19" s="55"/>
      <c r="O19" s="55"/>
    </row>
    <row r="20" spans="1:15" ht="15.75" customHeight="1">
      <c r="A20" s="62" t="s">
        <v>97</v>
      </c>
      <c r="B20" s="64" t="s">
        <v>26</v>
      </c>
      <c r="C20" s="76">
        <v>0</v>
      </c>
      <c r="D20" s="73" t="s">
        <v>66</v>
      </c>
      <c r="E20" s="53"/>
      <c r="F20" s="53"/>
      <c r="G20" s="53"/>
      <c r="H20" s="53"/>
      <c r="I20" s="53"/>
      <c r="J20" s="53"/>
      <c r="M20" s="261"/>
      <c r="N20" s="54"/>
    </row>
    <row r="21" spans="1:15" ht="15.75" customHeight="1">
      <c r="A21" s="62" t="s">
        <v>98</v>
      </c>
      <c r="B21" s="64" t="s">
        <v>27</v>
      </c>
      <c r="C21" s="76">
        <v>0</v>
      </c>
      <c r="D21" s="73" t="s">
        <v>66</v>
      </c>
      <c r="E21" s="53"/>
      <c r="F21" s="53"/>
      <c r="G21" s="53"/>
      <c r="H21" s="53"/>
      <c r="I21" s="53"/>
      <c r="J21" s="53"/>
      <c r="M21" s="261"/>
      <c r="N21" s="54"/>
    </row>
    <row r="22" spans="1:15" ht="15.75" customHeight="1">
      <c r="A22" s="62" t="s">
        <v>99</v>
      </c>
      <c r="B22" s="64" t="s">
        <v>28</v>
      </c>
      <c r="C22" s="76">
        <v>0</v>
      </c>
      <c r="D22" s="73" t="s">
        <v>66</v>
      </c>
      <c r="E22" s="53"/>
      <c r="F22" s="53"/>
      <c r="G22" s="53"/>
      <c r="H22" s="53"/>
      <c r="I22" s="53"/>
      <c r="J22" s="53"/>
      <c r="M22" s="261"/>
      <c r="N22" s="54"/>
    </row>
    <row r="23" spans="1:15" ht="15.75" customHeight="1">
      <c r="A23" s="62" t="s">
        <v>100</v>
      </c>
      <c r="B23" s="64" t="s">
        <v>29</v>
      </c>
      <c r="C23" s="77">
        <v>0</v>
      </c>
      <c r="D23" s="73" t="s">
        <v>66</v>
      </c>
      <c r="E23" s="53"/>
      <c r="F23" s="53"/>
      <c r="G23" s="53"/>
      <c r="H23" s="53"/>
      <c r="I23" s="53"/>
      <c r="J23" s="53"/>
      <c r="M23" s="261"/>
      <c r="N23" s="54"/>
    </row>
    <row r="24" spans="1:15" ht="18.75">
      <c r="A24" s="65" t="s">
        <v>160</v>
      </c>
      <c r="B24" s="63" t="s">
        <v>33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</row>
    <row r="25" spans="1:15" ht="18.75" customHeight="1">
      <c r="A25" s="62" t="s">
        <v>101</v>
      </c>
      <c r="B25" s="67" t="s">
        <v>2</v>
      </c>
      <c r="C25" s="78">
        <v>0</v>
      </c>
      <c r="D25" s="73" t="s">
        <v>57</v>
      </c>
      <c r="E25" s="56"/>
      <c r="F25" s="56"/>
      <c r="G25" s="56"/>
      <c r="H25" s="56"/>
      <c r="I25" s="56"/>
      <c r="J25" s="56"/>
      <c r="M25" s="260"/>
      <c r="N25" s="55"/>
    </row>
    <row r="26" spans="1:15" ht="18.75" customHeight="1">
      <c r="A26" s="62" t="s">
        <v>102</v>
      </c>
      <c r="B26" s="67" t="s">
        <v>3</v>
      </c>
      <c r="C26" s="74">
        <v>0</v>
      </c>
      <c r="D26" s="72" t="s">
        <v>58</v>
      </c>
      <c r="E26" s="56"/>
      <c r="F26" s="56"/>
      <c r="G26" s="56"/>
      <c r="H26" s="56"/>
      <c r="I26" s="56"/>
      <c r="J26" s="56"/>
      <c r="M26" s="260"/>
      <c r="N26" s="55"/>
    </row>
    <row r="27" spans="1:15" ht="18.75" customHeight="1">
      <c r="A27" s="62" t="s">
        <v>103</v>
      </c>
      <c r="B27" s="67" t="s">
        <v>4</v>
      </c>
      <c r="C27" s="78">
        <v>0</v>
      </c>
      <c r="D27" s="73" t="s">
        <v>59</v>
      </c>
      <c r="E27" s="56"/>
      <c r="F27" s="56"/>
      <c r="G27" s="56"/>
      <c r="H27" s="56"/>
      <c r="I27" s="56"/>
      <c r="J27" s="56"/>
      <c r="M27" s="260"/>
      <c r="N27" s="55"/>
    </row>
    <row r="28" spans="1:15" ht="18.75" customHeight="1">
      <c r="A28" s="62" t="s">
        <v>104</v>
      </c>
      <c r="B28" s="67" t="s">
        <v>16</v>
      </c>
      <c r="C28" s="78">
        <v>0</v>
      </c>
      <c r="D28" s="73" t="s">
        <v>64</v>
      </c>
      <c r="E28" s="56"/>
      <c r="F28" s="56"/>
      <c r="G28" s="56"/>
      <c r="H28" s="56"/>
      <c r="I28" s="56"/>
      <c r="J28" s="56"/>
      <c r="M28" s="260"/>
      <c r="N28" s="55"/>
    </row>
    <row r="29" spans="1:15" ht="18.75" customHeight="1">
      <c r="A29" s="62" t="s">
        <v>105</v>
      </c>
      <c r="B29" s="67" t="s">
        <v>17</v>
      </c>
      <c r="C29" s="74">
        <v>0</v>
      </c>
      <c r="D29" s="72" t="s">
        <v>58</v>
      </c>
      <c r="E29" s="56"/>
      <c r="F29" s="56"/>
      <c r="G29" s="56"/>
      <c r="H29" s="56"/>
      <c r="I29" s="56"/>
      <c r="J29" s="56"/>
      <c r="M29" s="260"/>
      <c r="N29" s="55"/>
    </row>
    <row r="30" spans="1:15" ht="18.75" customHeight="1">
      <c r="A30" s="62" t="s">
        <v>106</v>
      </c>
      <c r="B30" s="67" t="s">
        <v>18</v>
      </c>
      <c r="C30" s="78">
        <v>0</v>
      </c>
      <c r="D30" s="73" t="s">
        <v>65</v>
      </c>
      <c r="E30" s="56"/>
      <c r="F30" s="56"/>
      <c r="G30" s="56"/>
      <c r="H30" s="56"/>
      <c r="I30" s="56"/>
      <c r="J30" s="56"/>
      <c r="M30" s="260"/>
      <c r="N30" s="55"/>
    </row>
    <row r="31" spans="1:15" ht="18.75" customHeight="1">
      <c r="A31" s="62" t="s">
        <v>107</v>
      </c>
      <c r="B31" s="67" t="s">
        <v>26</v>
      </c>
      <c r="C31" s="79">
        <v>0</v>
      </c>
      <c r="D31" s="73" t="s">
        <v>66</v>
      </c>
      <c r="E31" s="56"/>
      <c r="F31" s="56"/>
      <c r="G31" s="56"/>
      <c r="H31" s="56"/>
      <c r="I31" s="56"/>
      <c r="J31" s="56"/>
      <c r="M31" s="260"/>
      <c r="N31" s="55"/>
    </row>
    <row r="32" spans="1:15" ht="18.75" customHeight="1">
      <c r="A32" s="62" t="s">
        <v>108</v>
      </c>
      <c r="B32" s="67" t="s">
        <v>27</v>
      </c>
      <c r="C32" s="79">
        <v>0</v>
      </c>
      <c r="D32" s="73" t="s">
        <v>66</v>
      </c>
      <c r="E32" s="56"/>
      <c r="F32" s="56"/>
      <c r="G32" s="56"/>
      <c r="H32" s="56"/>
      <c r="I32" s="56"/>
      <c r="J32" s="56"/>
      <c r="M32" s="260"/>
      <c r="N32" s="55"/>
    </row>
    <row r="33" spans="1:15" ht="18.75" customHeight="1">
      <c r="A33" s="62" t="s">
        <v>109</v>
      </c>
      <c r="B33" s="67" t="s">
        <v>28</v>
      </c>
      <c r="C33" s="79">
        <v>0</v>
      </c>
      <c r="D33" s="73" t="s">
        <v>66</v>
      </c>
      <c r="E33" s="56"/>
      <c r="F33" s="56"/>
      <c r="G33" s="56"/>
      <c r="H33" s="56"/>
      <c r="I33" s="56"/>
      <c r="J33" s="56"/>
      <c r="M33" s="260"/>
      <c r="N33" s="55"/>
    </row>
    <row r="34" spans="1:15" ht="18.75" customHeight="1">
      <c r="A34" s="62" t="s">
        <v>110</v>
      </c>
      <c r="B34" s="67" t="s">
        <v>29</v>
      </c>
      <c r="C34" s="80">
        <v>0</v>
      </c>
      <c r="D34" s="73" t="s">
        <v>66</v>
      </c>
      <c r="E34" s="56"/>
      <c r="F34" s="56"/>
      <c r="G34" s="56"/>
      <c r="H34" s="56"/>
      <c r="I34" s="56"/>
      <c r="J34" s="56"/>
      <c r="M34" s="260"/>
      <c r="N34" s="55"/>
    </row>
    <row r="35" spans="1:15" ht="18.75">
      <c r="A35" s="65" t="s">
        <v>161</v>
      </c>
      <c r="B35" s="63" t="s">
        <v>34</v>
      </c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</row>
    <row r="36" spans="1:15" ht="31.5">
      <c r="A36" s="65" t="s">
        <v>162</v>
      </c>
      <c r="B36" s="68" t="s">
        <v>47</v>
      </c>
      <c r="C36" s="84" t="s">
        <v>48</v>
      </c>
      <c r="D36" s="68" t="s">
        <v>49</v>
      </c>
      <c r="E36" s="68" t="s">
        <v>50</v>
      </c>
      <c r="G36" s="57"/>
      <c r="H36" s="57"/>
      <c r="I36" s="57"/>
      <c r="L36" s="55"/>
      <c r="M36" s="55"/>
      <c r="N36" s="55"/>
      <c r="O36" s="55"/>
    </row>
    <row r="37" spans="1:15" ht="18.75">
      <c r="A37" s="65" t="s">
        <v>118</v>
      </c>
      <c r="B37" s="69" t="s">
        <v>52</v>
      </c>
      <c r="C37" s="88">
        <f>IF(E37&gt;0,"Предоставляется",0)</f>
        <v>0</v>
      </c>
      <c r="D37" s="88" t="s">
        <v>51</v>
      </c>
      <c r="E37" s="87"/>
      <c r="F37" s="86" t="s">
        <v>165</v>
      </c>
      <c r="G37" s="58"/>
      <c r="H37" s="58"/>
      <c r="I37" s="58"/>
      <c r="L37" s="55"/>
      <c r="M37" s="259"/>
      <c r="N37" s="55"/>
      <c r="O37" s="55"/>
    </row>
    <row r="38" spans="1:15" ht="18.75" customHeight="1">
      <c r="A38" s="62" t="s">
        <v>111</v>
      </c>
      <c r="B38" s="70" t="s">
        <v>36</v>
      </c>
      <c r="C38" s="82"/>
      <c r="D38" s="86" t="s">
        <v>163</v>
      </c>
      <c r="E38" s="60"/>
      <c r="G38" s="59"/>
      <c r="H38" s="59"/>
      <c r="L38" s="55"/>
      <c r="M38" s="259"/>
      <c r="N38" s="55"/>
      <c r="O38" s="55"/>
    </row>
    <row r="39" spans="1:15" ht="18.75" customHeight="1">
      <c r="A39" s="62" t="s">
        <v>112</v>
      </c>
      <c r="B39" s="70" t="s">
        <v>37</v>
      </c>
      <c r="C39" s="83"/>
      <c r="D39" s="86" t="s">
        <v>164</v>
      </c>
      <c r="E39" s="60"/>
      <c r="G39" s="59"/>
      <c r="H39" s="59"/>
      <c r="L39" s="55"/>
      <c r="M39" s="259"/>
      <c r="N39" s="55"/>
      <c r="O39" s="55"/>
    </row>
    <row r="40" spans="1:15" ht="18.75" customHeight="1">
      <c r="A40" s="62" t="s">
        <v>113</v>
      </c>
      <c r="B40" s="70" t="s">
        <v>38</v>
      </c>
      <c r="C40" s="85">
        <f>IF(E37-C39&lt;0,0,E37-C39)</f>
        <v>0</v>
      </c>
      <c r="D40" s="72" t="s">
        <v>58</v>
      </c>
      <c r="E40" s="60"/>
      <c r="G40" s="59"/>
      <c r="H40" s="59"/>
      <c r="L40" s="55"/>
      <c r="M40" s="259"/>
      <c r="N40" s="55"/>
      <c r="O40" s="55"/>
    </row>
    <row r="41" spans="1:15" ht="18.75" customHeight="1">
      <c r="A41" s="62" t="s">
        <v>114</v>
      </c>
      <c r="B41" s="70" t="s">
        <v>39</v>
      </c>
      <c r="C41" s="85">
        <f>E37</f>
        <v>0</v>
      </c>
      <c r="D41" s="72" t="s">
        <v>58</v>
      </c>
      <c r="E41" s="60"/>
      <c r="G41" s="59"/>
      <c r="H41" s="59"/>
      <c r="L41" s="55"/>
      <c r="M41" s="259"/>
      <c r="N41" s="55"/>
      <c r="O41" s="55"/>
    </row>
    <row r="42" spans="1:15" ht="18.75" customHeight="1">
      <c r="A42" s="62" t="s">
        <v>115</v>
      </c>
      <c r="B42" s="70" t="s">
        <v>40</v>
      </c>
      <c r="C42" s="85">
        <f>E37</f>
        <v>0</v>
      </c>
      <c r="D42" s="72" t="s">
        <v>58</v>
      </c>
      <c r="E42" s="60"/>
      <c r="G42" s="59"/>
      <c r="H42" s="59"/>
      <c r="L42" s="55"/>
      <c r="M42" s="259"/>
      <c r="N42" s="55"/>
      <c r="O42" s="55"/>
    </row>
    <row r="43" spans="1:15" ht="18.75" customHeight="1">
      <c r="A43" s="62" t="s">
        <v>116</v>
      </c>
      <c r="B43" s="70" t="s">
        <v>41</v>
      </c>
      <c r="C43" s="85">
        <f>IF(C41-C42&lt;=0,,C41-C42)</f>
        <v>0</v>
      </c>
      <c r="D43" s="72" t="s">
        <v>58</v>
      </c>
      <c r="E43" s="60"/>
      <c r="G43" s="59"/>
      <c r="H43" s="59"/>
      <c r="L43" s="55"/>
      <c r="M43" s="259"/>
      <c r="N43" s="55"/>
      <c r="O43" s="55"/>
    </row>
    <row r="44" spans="1:15" ht="30" customHeight="1">
      <c r="A44" s="62" t="s">
        <v>117</v>
      </c>
      <c r="B44" s="70" t="s">
        <v>42</v>
      </c>
      <c r="C44" s="85">
        <v>0</v>
      </c>
      <c r="D44" s="72" t="s">
        <v>58</v>
      </c>
      <c r="E44" s="60"/>
      <c r="G44" s="59"/>
      <c r="H44" s="59"/>
      <c r="L44" s="55"/>
      <c r="M44" s="259"/>
      <c r="N44" s="55"/>
      <c r="O44" s="55"/>
    </row>
    <row r="45" spans="1:15" ht="18.75">
      <c r="A45" s="65" t="s">
        <v>119</v>
      </c>
      <c r="B45" s="69" t="s">
        <v>53</v>
      </c>
      <c r="C45" s="88">
        <f>IF(E45&gt;0,"Предоставляется",0)</f>
        <v>0</v>
      </c>
      <c r="D45" s="88" t="s">
        <v>54</v>
      </c>
      <c r="E45" s="87"/>
      <c r="F45" s="86" t="s">
        <v>165</v>
      </c>
      <c r="G45" s="58"/>
      <c r="H45" s="58"/>
      <c r="L45" s="55"/>
      <c r="M45" s="259"/>
      <c r="N45" s="55"/>
      <c r="O45" s="55"/>
    </row>
    <row r="46" spans="1:15" ht="18.75" customHeight="1">
      <c r="A46" s="65" t="s">
        <v>120</v>
      </c>
      <c r="B46" s="70" t="s">
        <v>36</v>
      </c>
      <c r="C46" s="82"/>
      <c r="D46" s="86" t="s">
        <v>166</v>
      </c>
      <c r="E46" s="60"/>
      <c r="G46" s="59"/>
      <c r="H46" s="59"/>
      <c r="L46" s="55"/>
      <c r="M46" s="259"/>
      <c r="N46" s="55"/>
      <c r="O46" s="55"/>
    </row>
    <row r="47" spans="1:15" ht="18.75" customHeight="1">
      <c r="A47" s="65" t="s">
        <v>121</v>
      </c>
      <c r="B47" s="70" t="s">
        <v>37</v>
      </c>
      <c r="C47" s="83"/>
      <c r="D47" s="86" t="s">
        <v>164</v>
      </c>
      <c r="E47" s="60"/>
      <c r="G47" s="59"/>
      <c r="H47" s="59"/>
      <c r="L47" s="55"/>
      <c r="M47" s="259"/>
      <c r="N47" s="55"/>
      <c r="O47" s="55"/>
    </row>
    <row r="48" spans="1:15" ht="18.75" customHeight="1">
      <c r="A48" s="65" t="s">
        <v>122</v>
      </c>
      <c r="B48" s="70" t="s">
        <v>38</v>
      </c>
      <c r="C48" s="85">
        <f>IF(E45-C47&lt;0,0,E45-C47)</f>
        <v>0</v>
      </c>
      <c r="D48" s="72" t="s">
        <v>58</v>
      </c>
      <c r="E48" s="60"/>
      <c r="G48" s="59"/>
      <c r="H48" s="59"/>
      <c r="L48" s="55"/>
      <c r="M48" s="259"/>
      <c r="N48" s="55"/>
      <c r="O48" s="55"/>
    </row>
    <row r="49" spans="1:15" ht="18.75" customHeight="1">
      <c r="A49" s="65" t="s">
        <v>123</v>
      </c>
      <c r="B49" s="70" t="s">
        <v>39</v>
      </c>
      <c r="C49" s="85">
        <f>E45</f>
        <v>0</v>
      </c>
      <c r="D49" s="72" t="s">
        <v>58</v>
      </c>
      <c r="E49" s="60"/>
      <c r="G49" s="59"/>
      <c r="H49" s="59"/>
      <c r="L49" s="55"/>
      <c r="M49" s="259"/>
      <c r="N49" s="55"/>
      <c r="O49" s="55"/>
    </row>
    <row r="50" spans="1:15" ht="18.75" customHeight="1">
      <c r="A50" s="65" t="s">
        <v>124</v>
      </c>
      <c r="B50" s="70" t="s">
        <v>40</v>
      </c>
      <c r="C50" s="85">
        <f>E45</f>
        <v>0</v>
      </c>
      <c r="D50" s="72" t="s">
        <v>58</v>
      </c>
      <c r="E50" s="60"/>
      <c r="G50" s="59"/>
      <c r="H50" s="59"/>
      <c r="L50" s="55"/>
      <c r="M50" s="259"/>
      <c r="N50" s="55"/>
      <c r="O50" s="55"/>
    </row>
    <row r="51" spans="1:15" ht="18.75" customHeight="1">
      <c r="A51" s="65" t="s">
        <v>125</v>
      </c>
      <c r="B51" s="70" t="s">
        <v>41</v>
      </c>
      <c r="C51" s="85">
        <f>IF(C49-C50&lt;=0,,C49-C50)</f>
        <v>0</v>
      </c>
      <c r="D51" s="72" t="s">
        <v>58</v>
      </c>
      <c r="E51" s="60"/>
      <c r="G51" s="59"/>
      <c r="H51" s="59"/>
      <c r="L51" s="55"/>
      <c r="M51" s="259"/>
      <c r="N51" s="55"/>
      <c r="O51" s="55"/>
    </row>
    <row r="52" spans="1:15" ht="29.25" customHeight="1">
      <c r="A52" s="65" t="s">
        <v>126</v>
      </c>
      <c r="B52" s="70" t="s">
        <v>42</v>
      </c>
      <c r="C52" s="85">
        <v>0</v>
      </c>
      <c r="D52" s="72" t="s">
        <v>58</v>
      </c>
      <c r="E52" s="60"/>
      <c r="G52" s="59"/>
      <c r="H52" s="59"/>
      <c r="L52" s="55"/>
      <c r="M52" s="259"/>
      <c r="N52" s="55"/>
      <c r="O52" s="55"/>
    </row>
    <row r="53" spans="1:15" ht="18.75">
      <c r="A53" s="65" t="s">
        <v>127</v>
      </c>
      <c r="B53" s="69" t="s">
        <v>55</v>
      </c>
      <c r="C53" s="88">
        <f>IF(E53&gt;0,"Предоставляется",0)</f>
        <v>0</v>
      </c>
      <c r="D53" s="88" t="s">
        <v>54</v>
      </c>
      <c r="E53" s="87"/>
      <c r="F53" s="86" t="s">
        <v>165</v>
      </c>
      <c r="G53" s="58"/>
      <c r="H53" s="58"/>
      <c r="L53" s="55"/>
      <c r="M53" s="259"/>
      <c r="N53" s="55"/>
      <c r="O53" s="55"/>
    </row>
    <row r="54" spans="1:15" ht="18.75" customHeight="1">
      <c r="A54" s="65" t="s">
        <v>128</v>
      </c>
      <c r="B54" s="67" t="s">
        <v>36</v>
      </c>
      <c r="C54" s="90"/>
      <c r="D54" s="86" t="s">
        <v>166</v>
      </c>
      <c r="E54" s="61"/>
      <c r="F54" s="81"/>
      <c r="G54" s="56"/>
      <c r="H54" s="56"/>
      <c r="L54" s="55"/>
      <c r="M54" s="259"/>
      <c r="N54" s="55"/>
      <c r="O54" s="55"/>
    </row>
    <row r="55" spans="1:15" ht="18.75" customHeight="1">
      <c r="A55" s="65" t="s">
        <v>129</v>
      </c>
      <c r="B55" s="67" t="s">
        <v>37</v>
      </c>
      <c r="C55" s="78"/>
      <c r="D55" s="86" t="s">
        <v>164</v>
      </c>
      <c r="E55" s="61"/>
      <c r="G55" s="56"/>
      <c r="H55" s="56"/>
      <c r="L55" s="55"/>
      <c r="M55" s="259"/>
      <c r="N55" s="55"/>
      <c r="O55" s="55"/>
    </row>
    <row r="56" spans="1:15" ht="18.75" customHeight="1">
      <c r="A56" s="65" t="s">
        <v>130</v>
      </c>
      <c r="B56" s="67" t="s">
        <v>38</v>
      </c>
      <c r="C56" s="85">
        <f>IF(E53-C55&lt;0,0,E53-C55)</f>
        <v>0</v>
      </c>
      <c r="D56" s="72" t="s">
        <v>58</v>
      </c>
      <c r="E56" s="61"/>
      <c r="G56" s="56"/>
      <c r="H56" s="56"/>
      <c r="L56" s="55"/>
      <c r="M56" s="259"/>
      <c r="N56" s="55"/>
      <c r="O56" s="55"/>
    </row>
    <row r="57" spans="1:15" ht="18.75" customHeight="1">
      <c r="A57" s="65" t="s">
        <v>131</v>
      </c>
      <c r="B57" s="67" t="s">
        <v>39</v>
      </c>
      <c r="C57" s="85">
        <f>E53</f>
        <v>0</v>
      </c>
      <c r="D57" s="72" t="s">
        <v>58</v>
      </c>
      <c r="E57" s="61"/>
      <c r="G57" s="56"/>
      <c r="H57" s="56"/>
      <c r="L57" s="55"/>
      <c r="M57" s="259"/>
      <c r="N57" s="55"/>
      <c r="O57" s="55"/>
    </row>
    <row r="58" spans="1:15" ht="18.75" customHeight="1">
      <c r="A58" s="65" t="s">
        <v>132</v>
      </c>
      <c r="B58" s="67" t="s">
        <v>40</v>
      </c>
      <c r="C58" s="85">
        <f>E53</f>
        <v>0</v>
      </c>
      <c r="D58" s="72" t="s">
        <v>58</v>
      </c>
      <c r="E58" s="61"/>
      <c r="G58" s="56"/>
      <c r="H58" s="56"/>
      <c r="L58" s="55"/>
      <c r="M58" s="259"/>
      <c r="N58" s="55"/>
      <c r="O58" s="55"/>
    </row>
    <row r="59" spans="1:15" ht="18.75" customHeight="1">
      <c r="A59" s="65" t="s">
        <v>133</v>
      </c>
      <c r="B59" s="67" t="s">
        <v>41</v>
      </c>
      <c r="C59" s="85">
        <f>IF(C57-C58&lt;=0,,C57-C58)</f>
        <v>0</v>
      </c>
      <c r="D59" s="72" t="s">
        <v>58</v>
      </c>
      <c r="E59" s="61"/>
      <c r="G59" s="56"/>
      <c r="H59" s="56"/>
      <c r="L59" s="55"/>
      <c r="M59" s="259"/>
      <c r="N59" s="55"/>
      <c r="O59" s="55"/>
    </row>
    <row r="60" spans="1:15" ht="33.75" customHeight="1">
      <c r="A60" s="65" t="s">
        <v>134</v>
      </c>
      <c r="B60" s="67" t="s">
        <v>42</v>
      </c>
      <c r="C60" s="85">
        <v>0</v>
      </c>
      <c r="D60" s="72" t="s">
        <v>58</v>
      </c>
      <c r="E60" s="61"/>
      <c r="G60" s="56"/>
      <c r="H60" s="56"/>
      <c r="L60" s="55"/>
      <c r="M60" s="259"/>
      <c r="N60" s="55"/>
      <c r="O60" s="55"/>
    </row>
    <row r="61" spans="1:15" ht="15.75">
      <c r="A61" s="65" t="s">
        <v>135</v>
      </c>
      <c r="B61" s="69" t="s">
        <v>76</v>
      </c>
      <c r="C61" s="88">
        <f>IF(E61&gt;0,"Предоставляется",0)</f>
        <v>0</v>
      </c>
      <c r="D61" s="88" t="s">
        <v>54</v>
      </c>
      <c r="E61" s="87"/>
      <c r="F61" s="86" t="s">
        <v>165</v>
      </c>
      <c r="G61" s="58"/>
      <c r="H61" s="58"/>
    </row>
    <row r="62" spans="1:15" ht="15.75" customHeight="1">
      <c r="A62" s="65" t="s">
        <v>136</v>
      </c>
      <c r="B62" s="67" t="s">
        <v>36</v>
      </c>
      <c r="C62" s="90"/>
      <c r="D62" s="86" t="s">
        <v>166</v>
      </c>
      <c r="E62" s="61"/>
      <c r="G62" s="56"/>
      <c r="H62" s="56"/>
    </row>
    <row r="63" spans="1:15" ht="15.75" customHeight="1">
      <c r="A63" s="65" t="s">
        <v>137</v>
      </c>
      <c r="B63" s="67" t="s">
        <v>37</v>
      </c>
      <c r="C63" s="78"/>
      <c r="D63" s="86" t="s">
        <v>164</v>
      </c>
      <c r="E63" s="61"/>
      <c r="G63" s="56"/>
      <c r="H63" s="56"/>
    </row>
    <row r="64" spans="1:15" ht="15.75" customHeight="1">
      <c r="A64" s="65" t="s">
        <v>138</v>
      </c>
      <c r="B64" s="67" t="s">
        <v>38</v>
      </c>
      <c r="C64" s="85">
        <f>IF(E61-C63&lt;0,0,E61-C63)</f>
        <v>0</v>
      </c>
      <c r="D64" s="72" t="s">
        <v>58</v>
      </c>
      <c r="E64" s="61"/>
      <c r="G64" s="56"/>
      <c r="H64" s="56"/>
    </row>
    <row r="65" spans="1:8" ht="15.75" customHeight="1">
      <c r="A65" s="65" t="s">
        <v>139</v>
      </c>
      <c r="B65" s="67" t="s">
        <v>39</v>
      </c>
      <c r="C65" s="85">
        <f>E61</f>
        <v>0</v>
      </c>
      <c r="D65" s="72" t="s">
        <v>58</v>
      </c>
      <c r="E65" s="61"/>
      <c r="G65" s="56"/>
      <c r="H65" s="56"/>
    </row>
    <row r="66" spans="1:8" ht="15.75" customHeight="1">
      <c r="A66" s="65" t="s">
        <v>140</v>
      </c>
      <c r="B66" s="67" t="s">
        <v>40</v>
      </c>
      <c r="C66" s="85">
        <f>E61</f>
        <v>0</v>
      </c>
      <c r="D66" s="72" t="s">
        <v>58</v>
      </c>
      <c r="E66" s="61"/>
      <c r="G66" s="56"/>
      <c r="H66" s="56"/>
    </row>
    <row r="67" spans="1:8" ht="15.75" customHeight="1">
      <c r="A67" s="65" t="s">
        <v>141</v>
      </c>
      <c r="B67" s="67" t="s">
        <v>41</v>
      </c>
      <c r="C67" s="85">
        <f>IF(C65-C66&lt;=0,,C65-C66)</f>
        <v>0</v>
      </c>
      <c r="D67" s="72" t="s">
        <v>58</v>
      </c>
      <c r="E67" s="61"/>
      <c r="G67" s="56"/>
      <c r="H67" s="56"/>
    </row>
    <row r="68" spans="1:8" ht="15.75" customHeight="1">
      <c r="A68" s="65" t="s">
        <v>142</v>
      </c>
      <c r="B68" s="67" t="s">
        <v>42</v>
      </c>
      <c r="C68" s="85">
        <v>0</v>
      </c>
      <c r="D68" s="72" t="s">
        <v>58</v>
      </c>
      <c r="E68" s="61"/>
      <c r="G68" s="56"/>
      <c r="H68" s="56"/>
    </row>
    <row r="69" spans="1:8" ht="15.75">
      <c r="A69" s="65" t="s">
        <v>143</v>
      </c>
      <c r="B69" s="69" t="s">
        <v>77</v>
      </c>
      <c r="C69" s="88">
        <f>IF(E69&gt;0,"Предоставляется",0)</f>
        <v>0</v>
      </c>
      <c r="D69" s="88" t="s">
        <v>54</v>
      </c>
      <c r="E69" s="87"/>
      <c r="F69" s="86" t="s">
        <v>165</v>
      </c>
      <c r="G69" s="58"/>
      <c r="H69" s="58"/>
    </row>
    <row r="70" spans="1:8" ht="15.75" customHeight="1">
      <c r="A70" s="65" t="s">
        <v>144</v>
      </c>
      <c r="B70" s="67" t="s">
        <v>36</v>
      </c>
      <c r="C70" s="90"/>
      <c r="D70" s="86" t="s">
        <v>166</v>
      </c>
      <c r="E70" s="61"/>
      <c r="G70" s="56"/>
      <c r="H70" s="56"/>
    </row>
    <row r="71" spans="1:8" ht="15.75" customHeight="1">
      <c r="A71" s="65" t="s">
        <v>145</v>
      </c>
      <c r="B71" s="67" t="s">
        <v>37</v>
      </c>
      <c r="C71" s="78"/>
      <c r="D71" s="86" t="s">
        <v>164</v>
      </c>
      <c r="E71" s="61"/>
      <c r="G71" s="56"/>
      <c r="H71" s="56"/>
    </row>
    <row r="72" spans="1:8" ht="15.75" customHeight="1">
      <c r="A72" s="65" t="s">
        <v>146</v>
      </c>
      <c r="B72" s="67" t="s">
        <v>38</v>
      </c>
      <c r="C72" s="85">
        <f>IF(E69-C71&lt;0,0,E69-C71)</f>
        <v>0</v>
      </c>
      <c r="D72" s="72" t="s">
        <v>58</v>
      </c>
      <c r="E72" s="61"/>
      <c r="G72" s="56"/>
      <c r="H72" s="56"/>
    </row>
    <row r="73" spans="1:8" ht="15.75" customHeight="1">
      <c r="A73" s="65" t="s">
        <v>147</v>
      </c>
      <c r="B73" s="67" t="s">
        <v>39</v>
      </c>
      <c r="C73" s="85">
        <f>E69</f>
        <v>0</v>
      </c>
      <c r="D73" s="72" t="s">
        <v>58</v>
      </c>
      <c r="E73" s="61"/>
      <c r="G73" s="56"/>
      <c r="H73" s="56"/>
    </row>
    <row r="74" spans="1:8" ht="15.75" customHeight="1">
      <c r="A74" s="65" t="s">
        <v>148</v>
      </c>
      <c r="B74" s="67" t="s">
        <v>40</v>
      </c>
      <c r="C74" s="85">
        <f>E69</f>
        <v>0</v>
      </c>
      <c r="D74" s="72" t="s">
        <v>58</v>
      </c>
      <c r="E74" s="61"/>
      <c r="G74" s="56"/>
      <c r="H74" s="56"/>
    </row>
    <row r="75" spans="1:8" ht="15.75" customHeight="1">
      <c r="A75" s="65" t="s">
        <v>149</v>
      </c>
      <c r="B75" s="67" t="s">
        <v>41</v>
      </c>
      <c r="C75" s="85">
        <f>IF(C73-C74&lt;=0,,C73-C74)</f>
        <v>0</v>
      </c>
      <c r="D75" s="72" t="s">
        <v>58</v>
      </c>
      <c r="E75" s="61"/>
      <c r="G75" s="56"/>
      <c r="H75" s="56"/>
    </row>
    <row r="76" spans="1:8" ht="15.75" customHeight="1">
      <c r="A76" s="65" t="s">
        <v>150</v>
      </c>
      <c r="B76" s="67" t="s">
        <v>42</v>
      </c>
      <c r="C76" s="85">
        <v>0</v>
      </c>
      <c r="D76" s="72" t="s">
        <v>58</v>
      </c>
      <c r="E76" s="61"/>
      <c r="G76" s="56"/>
      <c r="H76" s="56"/>
    </row>
    <row r="77" spans="1:8" ht="15.75">
      <c r="A77" s="65" t="s">
        <v>151</v>
      </c>
      <c r="B77" s="69" t="s">
        <v>78</v>
      </c>
      <c r="C77" s="88">
        <f>IF(E77&gt;0,"Предоставляется",0)</f>
        <v>0</v>
      </c>
      <c r="D77" s="88" t="s">
        <v>79</v>
      </c>
      <c r="E77" s="87"/>
      <c r="F77" s="86" t="s">
        <v>165</v>
      </c>
      <c r="G77" s="58"/>
      <c r="H77" s="58"/>
    </row>
    <row r="78" spans="1:8" ht="15.75" customHeight="1">
      <c r="A78" s="65" t="s">
        <v>152</v>
      </c>
      <c r="B78" s="67" t="s">
        <v>36</v>
      </c>
      <c r="C78" s="90"/>
      <c r="D78" s="86" t="s">
        <v>167</v>
      </c>
      <c r="E78" s="56"/>
      <c r="G78" s="56"/>
      <c r="H78" s="56"/>
    </row>
    <row r="79" spans="1:8" ht="15.75" customHeight="1">
      <c r="A79" s="65" t="s">
        <v>153</v>
      </c>
      <c r="B79" s="67" t="s">
        <v>37</v>
      </c>
      <c r="C79" s="78"/>
      <c r="D79" s="86" t="s">
        <v>164</v>
      </c>
      <c r="E79" s="56"/>
      <c r="G79" s="56"/>
      <c r="H79" s="56"/>
    </row>
    <row r="80" spans="1:8" ht="15.75" customHeight="1">
      <c r="A80" s="65" t="s">
        <v>154</v>
      </c>
      <c r="B80" s="67" t="s">
        <v>38</v>
      </c>
      <c r="C80" s="85">
        <f>IF(E77-C79&lt;0,0,E77-C79)</f>
        <v>0</v>
      </c>
      <c r="D80" s="72" t="s">
        <v>58</v>
      </c>
      <c r="E80" s="56"/>
      <c r="G80" s="56"/>
      <c r="H80" s="56"/>
    </row>
    <row r="81" spans="1:8" ht="15.75" customHeight="1">
      <c r="A81" s="65" t="s">
        <v>155</v>
      </c>
      <c r="B81" s="67" t="s">
        <v>39</v>
      </c>
      <c r="C81" s="85">
        <f>E77</f>
        <v>0</v>
      </c>
      <c r="D81" s="72" t="s">
        <v>58</v>
      </c>
      <c r="E81" s="56"/>
      <c r="G81" s="56"/>
      <c r="H81" s="56"/>
    </row>
    <row r="82" spans="1:8" ht="15.75" customHeight="1">
      <c r="A82" s="65" t="s">
        <v>156</v>
      </c>
      <c r="B82" s="67" t="s">
        <v>40</v>
      </c>
      <c r="C82" s="85">
        <f>E77</f>
        <v>0</v>
      </c>
      <c r="D82" s="72" t="s">
        <v>58</v>
      </c>
      <c r="E82" s="56"/>
      <c r="G82" s="56"/>
      <c r="H82" s="56"/>
    </row>
    <row r="83" spans="1:8" ht="15.75" customHeight="1">
      <c r="A83" s="65" t="s">
        <v>157</v>
      </c>
      <c r="B83" s="67" t="s">
        <v>41</v>
      </c>
      <c r="C83" s="85">
        <f>IF(C81-C82&lt;=0,,C81-C82)</f>
        <v>0</v>
      </c>
      <c r="D83" s="72" t="s">
        <v>58</v>
      </c>
      <c r="E83" s="56"/>
      <c r="G83" s="56"/>
      <c r="H83" s="56"/>
    </row>
    <row r="84" spans="1:8" ht="15.75" customHeight="1">
      <c r="A84" s="65" t="s">
        <v>158</v>
      </c>
      <c r="B84" s="67" t="s">
        <v>42</v>
      </c>
      <c r="C84" s="85">
        <v>0</v>
      </c>
      <c r="D84" s="72" t="s">
        <v>58</v>
      </c>
      <c r="E84" s="56"/>
      <c r="G84" s="56"/>
      <c r="H84" s="5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49" t="s">
        <v>43</v>
      </c>
      <c r="C1" s="50"/>
      <c r="D1" s="50"/>
      <c r="E1" s="55"/>
      <c r="F1" s="55"/>
      <c r="G1" s="55"/>
      <c r="H1" s="55"/>
      <c r="I1" s="55"/>
      <c r="J1" s="55"/>
      <c r="K1" s="101"/>
      <c r="L1" s="101"/>
      <c r="M1" s="101"/>
      <c r="N1" s="101"/>
      <c r="O1" s="101"/>
      <c r="P1" s="1"/>
      <c r="Q1" s="1"/>
      <c r="R1" s="1"/>
      <c r="S1" s="1"/>
      <c r="T1" s="1"/>
    </row>
    <row r="2" spans="1:20" ht="18.75" customHeight="1">
      <c r="A2" t="s">
        <v>168</v>
      </c>
      <c r="B2" s="51" t="s">
        <v>44</v>
      </c>
      <c r="C2" s="97">
        <v>45</v>
      </c>
      <c r="D2" s="99" t="s">
        <v>66</v>
      </c>
      <c r="E2" s="56"/>
      <c r="F2" s="56"/>
      <c r="G2" s="56"/>
      <c r="H2" s="56"/>
      <c r="I2" s="56"/>
      <c r="J2" s="56"/>
      <c r="K2" s="100"/>
      <c r="L2" s="100"/>
      <c r="M2" s="101"/>
      <c r="N2" s="101"/>
      <c r="O2" s="100"/>
      <c r="P2" s="1"/>
      <c r="Q2" s="1"/>
      <c r="R2" s="1"/>
      <c r="S2" s="1"/>
      <c r="T2" s="1"/>
    </row>
    <row r="3" spans="1:20" ht="20.25" customHeight="1">
      <c r="A3" t="s">
        <v>169</v>
      </c>
      <c r="B3" s="51" t="s">
        <v>45</v>
      </c>
      <c r="C3" s="97">
        <v>21</v>
      </c>
      <c r="D3" s="99" t="s">
        <v>66</v>
      </c>
      <c r="E3" s="56"/>
      <c r="F3" s="56"/>
      <c r="G3" s="56"/>
      <c r="H3" s="56"/>
      <c r="I3" s="56"/>
      <c r="J3" s="56"/>
      <c r="K3" s="100"/>
      <c r="L3" s="100"/>
      <c r="M3" s="102"/>
      <c r="N3" s="101"/>
      <c r="O3" s="100"/>
      <c r="P3" s="1"/>
      <c r="Q3" s="1"/>
      <c r="R3" s="1"/>
      <c r="S3" s="1"/>
    </row>
    <row r="4" spans="1:20" ht="18.75" customHeight="1">
      <c r="A4" t="s">
        <v>170</v>
      </c>
      <c r="B4" s="51" t="s">
        <v>46</v>
      </c>
      <c r="C4" s="98">
        <v>0</v>
      </c>
      <c r="D4" s="99" t="s">
        <v>66</v>
      </c>
      <c r="E4" s="56"/>
      <c r="F4" s="56"/>
      <c r="G4" s="56"/>
      <c r="H4" s="56"/>
      <c r="I4" s="56"/>
      <c r="J4" s="56"/>
      <c r="K4" s="100"/>
      <c r="L4" s="100"/>
      <c r="M4" s="101"/>
      <c r="N4" s="101"/>
      <c r="O4" s="100"/>
      <c r="P4" s="1"/>
      <c r="Q4" s="1"/>
      <c r="R4" s="1"/>
      <c r="S4" s="1"/>
      <c r="T4" s="1"/>
    </row>
    <row r="5" spans="1:20"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</row>
    <row r="6" spans="1:20"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  <c r="O6" s="100"/>
    </row>
    <row r="7" spans="1:20"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</row>
    <row r="8" spans="1:20"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</row>
    <row r="9" spans="1:20">
      <c r="B9" s="100"/>
      <c r="C9" s="100"/>
      <c r="D9" s="100"/>
      <c r="E9" s="100"/>
      <c r="F9" s="100"/>
      <c r="G9" s="100"/>
      <c r="H9" s="100"/>
      <c r="I9" s="100"/>
      <c r="J9" s="100"/>
      <c r="K9" s="100"/>
      <c r="L9" s="100"/>
      <c r="M9" s="100"/>
      <c r="N9" s="100"/>
      <c r="O9" s="100"/>
    </row>
    <row r="10" spans="1:20">
      <c r="B10" s="100"/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</row>
    <row r="11" spans="1:20"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</row>
    <row r="12" spans="1:20">
      <c r="B12" s="100"/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0"/>
      <c r="O12" s="100"/>
    </row>
    <row r="13" spans="1:20">
      <c r="B13" s="100"/>
      <c r="C13" s="100"/>
      <c r="D13" s="100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</row>
    <row r="14" spans="1:20">
      <c r="B14" s="100"/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</row>
    <row r="15" spans="1:20">
      <c r="B15" s="100"/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</row>
    <row r="16" spans="1:20">
      <c r="B16" s="100"/>
      <c r="C16" s="100"/>
      <c r="D16" s="100"/>
      <c r="E16" s="100"/>
      <c r="F16" s="100"/>
      <c r="G16" s="100"/>
      <c r="H16" s="100"/>
      <c r="I16" s="100"/>
      <c r="J16" s="100"/>
      <c r="K16" s="100"/>
      <c r="L16" s="100"/>
      <c r="M16" s="100"/>
      <c r="N16" s="100"/>
      <c r="O16" s="100"/>
    </row>
    <row r="17" spans="2:15">
      <c r="B17" s="100"/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100"/>
      <c r="N17" s="100"/>
      <c r="O17" s="100"/>
    </row>
    <row r="18" spans="2:15"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O18" s="100"/>
    </row>
    <row r="19" spans="2:15"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</row>
    <row r="20" spans="2:15">
      <c r="B20" s="100"/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</row>
    <row r="21" spans="2:15">
      <c r="B21" s="100"/>
      <c r="C21" s="100"/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N21" s="100"/>
      <c r="O21" s="100"/>
    </row>
    <row r="22" spans="2:15">
      <c r="B22" s="100"/>
      <c r="C22" s="100"/>
      <c r="D22" s="100"/>
      <c r="E22" s="100"/>
      <c r="F22" s="100"/>
      <c r="G22" s="100"/>
      <c r="H22" s="100"/>
      <c r="I22" s="100"/>
      <c r="J22" s="100"/>
      <c r="K22" s="100"/>
      <c r="L22" s="100"/>
      <c r="M22" s="100"/>
      <c r="N22" s="100"/>
      <c r="O22" s="100"/>
    </row>
    <row r="23" spans="2:15"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00"/>
      <c r="M23" s="100"/>
      <c r="N23" s="100"/>
      <c r="O23" s="10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2025-03-10T02:53:47Z</dcterms:modified>
</cp:coreProperties>
</file>