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2" i="2" l="1"/>
  <c r="C30" i="3" l="1"/>
  <c r="C62" i="3"/>
  <c r="C54" i="3"/>
  <c r="C46" i="3"/>
  <c r="C38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6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3" i="1"/>
  <c r="G102" i="1"/>
  <c r="J101" i="1"/>
  <c r="J96" i="1"/>
  <c r="J95" i="1"/>
  <c r="A95" i="1"/>
  <c r="G94" i="1"/>
  <c r="K94" i="1"/>
  <c r="A112" i="1" l="1"/>
  <c r="A116" i="1"/>
  <c r="A119" i="1"/>
  <c r="D110" i="1"/>
  <c r="A102" i="1"/>
  <c r="F134" i="1"/>
  <c r="A94" i="1"/>
  <c r="A122" i="1"/>
  <c r="A141" i="1"/>
  <c r="A99" i="1"/>
  <c r="A118" i="1"/>
  <c r="A123" i="1"/>
  <c r="A137" i="1"/>
  <c r="A114" i="1"/>
  <c r="A110" i="1"/>
  <c r="A111" i="1"/>
  <c r="A115" i="1"/>
  <c r="F110" i="1"/>
  <c r="A113" i="1"/>
  <c r="D94" i="1"/>
  <c r="A100" i="1"/>
  <c r="A101" i="1"/>
  <c r="A96" i="1"/>
  <c r="F94" i="1"/>
  <c r="A97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F181" i="1"/>
  <c r="F180" i="1"/>
  <c r="F177" i="1"/>
  <c r="F171" i="1"/>
  <c r="F175" i="1"/>
  <c r="F172" i="1"/>
  <c r="H177" i="1"/>
  <c r="F179" i="1"/>
  <c r="F170" i="1"/>
  <c r="F165" i="1"/>
  <c r="H167" i="1"/>
  <c r="F167" i="1"/>
  <c r="H171" i="1"/>
  <c r="H186" i="1"/>
  <c r="H179" i="1"/>
  <c r="H165" i="1"/>
  <c r="H170" i="1"/>
  <c r="F186" i="1"/>
  <c r="H172" i="1"/>
  <c r="F178" i="1"/>
  <c r="H168" i="1"/>
  <c r="F173" i="1"/>
  <c r="H173" i="1"/>
  <c r="H178" i="1"/>
  <c r="F168" i="1"/>
  <c r="H166" i="1"/>
  <c r="H184" i="1"/>
  <c r="H164" i="1"/>
  <c r="F176" i="1"/>
  <c r="H176" i="1"/>
  <c r="F184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<sst xmlns="http://schemas.openxmlformats.org/spreadsheetml/2006/main" count="543" uniqueCount="196">
  <si>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</si>
  <si>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</si>
  <si>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</si>
  <si>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</si>
  <si>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</si>
  <si>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</si>
  <si>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</si>
  <si>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</si>
  <si>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</si>
  <si>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</si>
  <si>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</si>
  <si>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</si>
  <si>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</si>
  <si>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</si>
  <si>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</si>
  <si>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</si>
  <si>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</si>
  <si>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</si>
  <si>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</si>
  <si>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</si>
  <si>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</si>
  <si>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</si>
  <si>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</si>
  <si>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</si>
  <si>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</si>
  <si>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</si>
  <si>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</si>
  <si>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</si>
  <si>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</si>
  <si>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</si>
  <si>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</si>
  <si>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</si>
  <si>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</si>
  <si>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</si>
  <si>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</si>
  <si>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</si>
  <si>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</si>
  <si>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</si>
  <si>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</si>
  <si>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</si>
  <si>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</si>
  <si>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</si>
  <si>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</si>
  <si>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</si>
  <si>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</si>
  <si>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</si>
  <si>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</si>
  <si>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</si>
  <si>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</si>
  <si>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</si>
  <si>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</si>
  <si>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</si>
  <si>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</si>
  <si>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</si>
  <si>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</si>
  <si>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</si>
  <si>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</si>
  <si>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</si>
  <si>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</si>
  <si>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</si>
  <si>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</si>
  <si>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</si>
  <si>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</si>
  <si>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</si>
  <si>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</si>
  <si>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</si>
  <si>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</si>
  <si>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</si>
  <si>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</si>
  <si>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</si>
  <si>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</si>
  <si>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</si>
  <si>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</si>
  <si>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</si>
  <si>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</si>
  <si>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</si>
  <si>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</si>
  <si>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</si>
  <si>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</si>
  <si>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</si>
  <si>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</si>
  <si>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</si>
  <si>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</si>
  <si>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</si>
  <si>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</si>
  <si>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</si>
  <si>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</si>
  <si>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</si>
  <si>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</si>
  <si>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</si>
  <si>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</si>
  <si>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</si>
  <si>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</si>
  <si>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</si>
  <si>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</si>
  <si>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</si>
  <si>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</si>
  <si>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</si>
  <si>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</si>
  <si>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</si>
  <si>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</si>
  <si>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</si>
  <si>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</si>
  <si>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</si>
  <si>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</si>
  <si>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</si>
  <si>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</si>
  <si>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</si>
  <si>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</si>
  <si>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</si>
  <si>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</si>
  <si>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</si>
  <si>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</si>
  <si>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</si>
  <si>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</si>
  <si>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</si>
  <si>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</si>
  <si>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</si>
  <si>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</si>
  <si>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</si>
  <si>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</si>
  <si>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</si>
  <si>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</si>
  <si>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</si>
  <si>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</si>
  <si>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</si>
  <si>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</si>
  <si>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</si>
  <si>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</si>
  <si>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</si>
  <si>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</si>
  <si>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</si>
  <si>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</si>
  <si>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</si>
  <si>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</si>
  <si>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</si>
  <si>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</si>
  <si>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</si>
  <si>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</si>
  <si>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</si>
  <si>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</si>
  <si>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</si>
  <si>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</si>
  <si>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</si>
  <si>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</si>
  <si>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</si>
  <si>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</si>
  <si>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</si>
  <si>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</si>
  <si>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</si>
  <si>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</si>
  <si>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</si>
  <si>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</si>
  <si>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</si>
  <si>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</si>
  <si>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</si>
  <si>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</si>
  <si>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</si>
  <si>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</si>
  <si>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</si>
  <si>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</si>
  <si>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</si>
  <si>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</si>
  <si>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</si>
  <si>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</si>
  <si>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</si>
  <si>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</si>
  <si>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</si>
  <si>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</si>
  <si>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</si>
  <si>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</si>
  <si>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</si>
  <si>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</si>
  <si>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</si>
  <si>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</si>
  <si>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</si>
  <si>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Александра Невского, 99/5</t>
  </si>
  <si>
    <t>площадь дома</t>
  </si>
  <si>
    <t>Отчет об исполнении договора управления многоквартирного дома 
Александра Невского, 99/5 в части текущего ремонта</t>
  </si>
  <si>
    <t xml:space="preserve">  -  механизированная уборка и вывоз снега с придомовой территории</t>
  </si>
  <si>
    <t xml:space="preserve">  -  ремонт входной группы  </t>
  </si>
  <si>
    <t>Техническое обслуживание системы видеонаблюдения.</t>
  </si>
  <si>
    <t>ежемесячно</t>
  </si>
  <si>
    <t xml:space="preserve">  -  ремонт дорожного полотна в арке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</si>
  <si>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</si>
  <si>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</si>
  <si>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</si>
  <si>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</si>
  <si>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</si>
  <si>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разово</t>
  </si>
  <si>
    <t>Замена ковровой дорожки в тамбуре (1 этаж).</t>
  </si>
  <si>
    <t>АВР 1/24 от 29.04.2024, Решение</t>
  </si>
  <si>
    <t>Ремонт повысительных насосов ХВС - 2 шт. (замена сальников и ремонт постели подшипников).</t>
  </si>
  <si>
    <t>счет №149 от 08.11.2024</t>
  </si>
  <si>
    <t xml:space="preserve">Работы по содержанию земельного участка </t>
  </si>
  <si>
    <t xml:space="preserve">  -  замена основания гидроизоляция конструкции ниже отметки 0.000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</si>
</sst>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4" fillId="0" borderId="0"/>
    <xf numFmtId="0" fontId="13" fillId="0" borderId="0"/>
    <xf numFmtId="0" fontId="11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</cellStyleXfs>
  <cellXfs count="187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0" fontId="16" fillId="0" borderId="0" xfId="4" applyFill="1" applyBorder="1" applyAlignment="1">
      <alignment horizontal="center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0" fontId="15" fillId="0" borderId="0" xfId="2" applyFont="1" applyFill="1" applyBorder="1" applyAlignment="1"/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12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1" fillId="3" borderId="0" xfId="7" applyNumberFormat="1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4" fontId="21" fillId="0" borderId="0" xfId="1" applyNumberFormat="1" applyFont="1" applyBorder="1" applyAlignment="1" applyProtection="1">
      <alignment horizontal="center" wrapText="1"/>
      <protection locked="0"/>
    </xf>
    <xf numFmtId="4" fontId="10" fillId="0" borderId="0" xfId="2" applyNumberFormat="1" applyFont="1" applyFill="1" applyBorder="1" applyAlignment="1"/>
    <xf numFmtId="4" fontId="10" fillId="0" borderId="0" xfId="4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0" fontId="21" fillId="0" borderId="0" xfId="8" applyFont="1" applyFill="1" applyBorder="1" applyAlignment="1">
      <alignment horizontal="left"/>
    </xf>
    <xf numFmtId="4" fontId="21" fillId="0" borderId="0" xfId="8" applyNumberFormat="1" applyFont="1" applyFill="1"/>
    <xf numFmtId="0" fontId="0" fillId="0" borderId="0" xfId="0" applyFill="1"/>
    <xf numFmtId="0" fontId="6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2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vertical="center" wrapText="1"/>
    </xf>
    <xf numFmtId="0" fontId="0" fillId="6" borderId="1" xfId="0" applyFill="1" applyBorder="1"/>
    <xf numFmtId="0" fontId="9" fillId="6" borderId="1" xfId="2" applyFont="1" applyFill="1" applyBorder="1" applyAlignment="1"/>
    <xf numFmtId="0" fontId="9" fillId="6" borderId="1" xfId="4" applyFont="1" applyFill="1" applyBorder="1" applyAlignment="1">
      <alignment horizontal="center"/>
    </xf>
    <xf numFmtId="0" fontId="16" fillId="6" borderId="1" xfId="4" applyFill="1" applyBorder="1" applyAlignment="1">
      <alignment horizontal="center"/>
    </xf>
    <xf numFmtId="4" fontId="29" fillId="6" borderId="1" xfId="4" applyNumberFormat="1" applyFont="1" applyFill="1" applyBorder="1" applyAlignment="1"/>
    <xf numFmtId="0" fontId="2" fillId="0" borderId="1" xfId="14" applyFont="1" applyFill="1" applyBorder="1" applyAlignment="1"/>
    <xf numFmtId="0" fontId="3" fillId="0" borderId="1" xfId="4" applyFont="1" applyFill="1" applyBorder="1" applyAlignment="1">
      <alignment horizontal="center"/>
    </xf>
    <xf numFmtId="0" fontId="16" fillId="0" borderId="1" xfId="4" applyFill="1" applyBorder="1" applyAlignment="1">
      <alignment horizontal="center"/>
    </xf>
    <xf numFmtId="4" fontId="29" fillId="0" borderId="1" xfId="4" applyNumberFormat="1" applyFont="1" applyFill="1" applyBorder="1" applyAlignment="1"/>
    <xf numFmtId="0" fontId="0" fillId="0" borderId="1" xfId="0" applyFill="1" applyBorder="1"/>
    <xf numFmtId="0" fontId="1" fillId="6" borderId="1" xfId="28" applyFont="1" applyFill="1" applyBorder="1" applyAlignment="1"/>
    <xf numFmtId="0" fontId="1" fillId="6" borderId="1" xfId="4" applyFont="1" applyFill="1" applyBorder="1" applyAlignment="1">
      <alignment horizontal="center"/>
    </xf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22" fillId="0" borderId="0" xfId="0" applyFont="1" applyBorder="1" applyAlignment="1">
      <alignment wrapText="1"/>
    </xf>
    <xf numFmtId="4" fontId="22" fillId="0" borderId="0" xfId="0" applyNumberFormat="1" applyFont="1" applyBorder="1"/>
    <xf numFmtId="0" fontId="21" fillId="3" borderId="1" xfId="0" applyFont="1" applyFill="1" applyBorder="1" applyAlignment="1">
      <alignment horizontal="left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21" fillId="3" borderId="1" xfId="0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3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left" vertical="center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19" fillId="0" borderId="0" xfId="0" applyFont="1" applyFill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9">
    <cellStyle name="Обычный" xfId="0" builtinId="0"/>
    <cellStyle name="Обычный 2" xfId="1"/>
    <cellStyle name="Обычный 2 2" xfId="3"/>
    <cellStyle name="Обычный 2 3" xfId="10"/>
    <cellStyle name="Обычный 2 3 2" xfId="20"/>
    <cellStyle name="Обычный 2 4" xfId="24"/>
    <cellStyle name="Обычный 2 5" xfId="7"/>
    <cellStyle name="Обычный 2 5 2" xfId="21"/>
    <cellStyle name="Обычный 2 6" xfId="15"/>
    <cellStyle name="Обычный 3" xfId="2"/>
    <cellStyle name="Обычный 3 2" xfId="11"/>
    <cellStyle name="Обычный 3 2 2" xfId="25"/>
    <cellStyle name="Обычный 3 3" xfId="16"/>
    <cellStyle name="Обычный 4" xfId="4"/>
    <cellStyle name="Обычный 4 2" xfId="6"/>
    <cellStyle name="Обычный 4 2 2" xfId="26"/>
    <cellStyle name="Обычный 4 3" xfId="12"/>
    <cellStyle name="Обычный 4 4" xfId="17"/>
    <cellStyle name="Обычный 5" xfId="5"/>
    <cellStyle name="Обычный 5 2" xfId="13"/>
    <cellStyle name="Обычный 5 2 2" xfId="27"/>
    <cellStyle name="Обычный 5 3" xfId="18"/>
    <cellStyle name="Обычный 5 7" xfId="14"/>
    <cellStyle name="Обычный 5 7 3" xfId="28"/>
    <cellStyle name="Обычный 6" xfId="9"/>
    <cellStyle name="Обычный 6 2" xfId="23"/>
    <cellStyle name="Обычный 6 3" xfId="19"/>
    <cellStyle name="Обычный 7" xfId="8"/>
    <cellStyle name="Обычный 7 2" xfId="2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193" sqref="N1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77" t="s">
        <v>176</v>
      </c>
      <c r="B2" s="177"/>
      <c r="C2" s="177"/>
      <c r="D2" s="177"/>
      <c r="E2" s="177"/>
      <c r="F2" s="177"/>
      <c r="G2" s="177"/>
      <c r="H2" s="177"/>
      <c r="I2" s="177"/>
      <c r="J2" s="177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45292</v>
      </c>
      <c r="K4" s="108"/>
      <c r="L4" s="108"/>
      <c r="M4" s="108"/>
      <c r="N4" s="108"/>
    </row>
    <row r="5" spans="1:18">
      <c r="A5" s="1" t="s">
        <v>1</v>
      </c>
      <c r="E5" s="115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08"/>
      <c r="L8" s="178"/>
      <c r="M8" s="108"/>
      <c r="N8" s="108"/>
      <c r="O8" s="68" t="s">
        <v>81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8"/>
      <c r="L9" s="178"/>
      <c r="M9" s="108"/>
      <c r="N9" s="108"/>
      <c r="O9" s="68" t="s">
        <v>82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134849.03</v>
      </c>
      <c r="K10" s="108"/>
      <c r="L10" s="178"/>
      <c r="M10" s="108"/>
      <c r="N10" s="108"/>
      <c r="O10" s="68" t="s">
        <v>83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527293.51199999999</v>
      </c>
      <c r="K11" s="108"/>
      <c r="L11" s="178"/>
      <c r="M11" s="108"/>
      <c r="N11" s="108"/>
      <c r="O11" s="68" t="s">
        <v>84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401025.6</v>
      </c>
      <c r="K12" s="108"/>
      <c r="L12" s="178"/>
      <c r="M12" s="108"/>
      <c r="N12" s="108"/>
      <c r="O12" s="68" t="s">
        <v>85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126267.91200000001</v>
      </c>
      <c r="K13" s="108"/>
      <c r="L13" s="178"/>
      <c r="M13" s="108"/>
      <c r="N13" s="108"/>
      <c r="O13" s="68" t="s">
        <v>86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08"/>
      <c r="L14" s="178"/>
      <c r="M14" s="108"/>
      <c r="N14" s="108"/>
      <c r="O14" s="68" t="s">
        <v>87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559888.12</v>
      </c>
      <c r="K15" s="108"/>
      <c r="L15" s="178"/>
      <c r="M15" s="108"/>
      <c r="N15" s="108"/>
      <c r="O15" s="68" t="s">
        <v>88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559888.12</v>
      </c>
      <c r="K16" s="108"/>
      <c r="L16" s="178"/>
      <c r="M16" s="108"/>
      <c r="N16" s="108"/>
      <c r="O16" s="68" t="s">
        <v>89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8"/>
      <c r="L17" s="178"/>
      <c r="M17" s="108"/>
      <c r="N17" s="108"/>
      <c r="O17" s="68" t="s">
        <v>90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8"/>
      <c r="L18" s="178"/>
      <c r="M18" s="108"/>
      <c r="N18" s="108"/>
      <c r="O18" s="68" t="s">
        <v>91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8"/>
      <c r="L19" s="178"/>
      <c r="M19" s="108"/>
      <c r="N19" s="108"/>
      <c r="O19" s="68" t="s">
        <v>92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8"/>
      <c r="L20" s="178"/>
      <c r="M20" s="108"/>
      <c r="N20" s="108"/>
      <c r="O20" s="68" t="s">
        <v>93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559888.12</v>
      </c>
      <c r="K21" s="108"/>
      <c r="L21" s="178"/>
      <c r="M21" s="108"/>
      <c r="N21" s="108"/>
      <c r="O21" s="68" t="s">
        <v>94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8"/>
      <c r="L22" s="178"/>
      <c r="M22" s="108"/>
      <c r="N22" s="108"/>
      <c r="O22" s="68" t="s">
        <v>95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8"/>
      <c r="L23" s="178"/>
      <c r="M23" s="108"/>
      <c r="N23" s="108"/>
      <c r="O23" s="68" t="s">
        <v>96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102254.42200000002</v>
      </c>
      <c r="K24" s="108"/>
      <c r="L24" s="178"/>
      <c r="M24" s="108"/>
      <c r="N24" s="108"/>
      <c r="O24" s="68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56</v>
      </c>
      <c r="I27" s="161" t="s">
        <v>21</v>
      </c>
      <c r="J27" s="161"/>
      <c r="K27" s="108"/>
      <c r="L27" s="179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56">
        <f>VLOOKUP(A28,ПТО!$A$39:$D$53,2,FALSE)</f>
        <v>100161.88799999999</v>
      </c>
      <c r="G28" s="156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08"/>
      <c r="L28" s="179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5" t="str">
        <f>ПТО!A40</f>
        <v>Работы по содержанию лифта (лифтов)</v>
      </c>
      <c r="B29" s="155"/>
      <c r="C29" s="155"/>
      <c r="D29" s="155"/>
      <c r="E29" s="155"/>
      <c r="F29" s="156">
        <f>VLOOKUP(A29,ПТО!$A$39:$D$53,2,FALSE)</f>
        <v>67928.94</v>
      </c>
      <c r="G29" s="156"/>
      <c r="H29" s="40" t="str">
        <f>VLOOKUP(A29,ПТО!$A$39:$D$53,3,FALSE)</f>
        <v>Ежемесячно</v>
      </c>
      <c r="I29" s="157">
        <f>VLOOKUP(A29,ПТО!$A$39:$D$53,4,FALSE)</f>
        <v>12</v>
      </c>
      <c r="J29" s="157"/>
      <c r="K29" s="108"/>
      <c r="L29" s="179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5" t="str">
        <f>ПТО!A41</f>
        <v xml:space="preserve">Работы по содержанию земельного участка </v>
      </c>
      <c r="B30" s="155"/>
      <c r="C30" s="155"/>
      <c r="D30" s="155"/>
      <c r="E30" s="155"/>
      <c r="F30" s="156">
        <f>VLOOKUP(A30,ПТО!$A$39:$D$53,2,FALSE)</f>
        <v>45285.96</v>
      </c>
      <c r="G30" s="156"/>
      <c r="H30" s="40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08"/>
      <c r="L30" s="179"/>
      <c r="M30" s="108"/>
      <c r="N30" s="108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56">
        <f>VLOOKUP(A31,ПТО!$A$39:$D$53,2,FALSE)</f>
        <v>31966.559999999998</v>
      </c>
      <c r="G31" s="156"/>
      <c r="H31" s="40" t="str">
        <f>VLOOKUP(A31,ПТО!$A$39:$D$53,3,FALSE)</f>
        <v>Ежемесячно</v>
      </c>
      <c r="I31" s="157">
        <f>VLOOKUP(A31,ПТО!$A$39:$D$53,4,FALSE)</f>
        <v>12</v>
      </c>
      <c r="J31" s="157"/>
      <c r="K31" s="108"/>
      <c r="L31" s="179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56" t="e">
        <f>VLOOKUP(A32,ПТО!$A$39:$D$53,2,FALSE)</f>
        <v>#N/A</v>
      </c>
      <c r="G32" s="156"/>
      <c r="H32" s="40" t="e">
        <f>VLOOKUP(A32,ПТО!$A$39:$D$53,3,FALSE)</f>
        <v>#N/A</v>
      </c>
      <c r="I32" s="157" t="e">
        <f>VLOOKUP(A32,ПТО!$A$39:$D$53,4,FALSE)</f>
        <v>#N/A</v>
      </c>
      <c r="J32" s="157"/>
      <c r="K32" s="108"/>
      <c r="L32" s="179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56">
        <f>VLOOKUP(A33,ПТО!$A$39:$D$53,2,FALSE)</f>
        <v>9323.5799999999981</v>
      </c>
      <c r="G33" s="156"/>
      <c r="H33" s="40" t="str">
        <f>VLOOKUP(A33,ПТО!$A$39:$D$53,3,FALSE)</f>
        <v>Круглосуточно</v>
      </c>
      <c r="I33" s="157">
        <f>VLOOKUP(A33,ПТО!$A$39:$D$53,4,FALSE)</f>
        <v>12</v>
      </c>
      <c r="J33" s="157"/>
      <c r="K33" s="108"/>
      <c r="L33" s="179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56">
        <f>VLOOKUP(A34,ПТО!$A$39:$D$53,2,FALSE)</f>
        <v>46884.288000000008</v>
      </c>
      <c r="G34" s="156"/>
      <c r="H34" s="40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08"/>
      <c r="L34" s="179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5"/>
      <c r="C35" s="155"/>
      <c r="D35" s="155"/>
      <c r="E35" s="155"/>
      <c r="F35" s="156">
        <f>VLOOKUP(A35,ПТО!$A$39:$D$53,2,FALSE)</f>
        <v>106288.81200000001</v>
      </c>
      <c r="G35" s="156"/>
      <c r="H35" s="40" t="str">
        <f>VLOOKUP(A35,ПТО!$A$39:$D$53,3,FALSE)</f>
        <v>Ежемесячно</v>
      </c>
      <c r="I35" s="157">
        <f>VLOOKUP(A35,ПТО!$A$39:$D$53,4,FALSE)</f>
        <v>12</v>
      </c>
      <c r="J35" s="157"/>
      <c r="K35" s="108"/>
      <c r="L35" s="179"/>
      <c r="M35" s="114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56" t="e">
        <f>VLOOKUP(A36,ПТО!$A$39:$D$53,2,FALSE)</f>
        <v>#N/A</v>
      </c>
      <c r="G36" s="156"/>
      <c r="H36" s="40" t="e">
        <f>VLOOKUP(A36,ПТО!$A$39:$D$53,3,FALSE)</f>
        <v>#N/A</v>
      </c>
      <c r="I36" s="157" t="e">
        <f>VLOOKUP(A36,ПТО!$A$39:$D$53,4,FALSE)</f>
        <v>#N/A</v>
      </c>
      <c r="J36" s="157"/>
      <c r="K36" s="108"/>
      <c r="L36" s="179"/>
      <c r="M36" s="114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56" t="e">
        <f>VLOOKUP(A37,ПТО!$A$39:$D$53,2,FALSE)</f>
        <v>#N/A</v>
      </c>
      <c r="G37" s="156"/>
      <c r="H37" s="40" t="e">
        <f>VLOOKUP(A37,ПТО!$A$39:$D$53,3,FALSE)</f>
        <v>#N/A</v>
      </c>
      <c r="I37" s="157" t="e">
        <f>VLOOKUP(A37,ПТО!$A$39:$D$53,4,FALSE)</f>
        <v>#N/A</v>
      </c>
      <c r="J37" s="157"/>
      <c r="K37" s="108"/>
      <c r="L37" s="179"/>
      <c r="M37" s="114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56" t="e">
        <f>VLOOKUP(A38,ПТО!$A$39:$D$53,2,FALSE)</f>
        <v>#N/A</v>
      </c>
      <c r="G38" s="156"/>
      <c r="H38" s="40" t="e">
        <f>VLOOKUP(A38,ПТО!$A$39:$D$53,3,FALSE)</f>
        <v>#N/A</v>
      </c>
      <c r="I38" s="157" t="e">
        <f>VLOOKUP(A38,ПТО!$A$39:$D$53,4,FALSE)</f>
        <v>#N/A</v>
      </c>
      <c r="J38" s="157"/>
      <c r="K38" s="108"/>
      <c r="L38" s="179"/>
      <c r="M38" s="114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56" t="e">
        <f>VLOOKUP(A39,ПТО!$A$39:$D$53,2,FALSE)</f>
        <v>#N/A</v>
      </c>
      <c r="G39" s="156"/>
      <c r="H39" s="40" t="e">
        <f>VLOOKUP(A39,ПТО!$A$39:$D$53,3,FALSE)</f>
        <v>#N/A</v>
      </c>
      <c r="I39" s="157" t="e">
        <f>VLOOKUP(A39,ПТО!$A$39:$D$53,4,FALSE)</f>
        <v>#N/A</v>
      </c>
      <c r="J39" s="157"/>
      <c r="K39" s="108"/>
      <c r="L39" s="179"/>
      <c r="M39" s="114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56" t="e">
        <f>VLOOKUP(A40,ПТО!$A$39:$D$53,2,FALSE)</f>
        <v>#N/A</v>
      </c>
      <c r="G40" s="156"/>
      <c r="H40" s="40" t="e">
        <f>VLOOKUP(A40,ПТО!$A$39:$D$53,3,FALSE)</f>
        <v>#N/A</v>
      </c>
      <c r="I40" s="157" t="e">
        <f>VLOOKUP(A40,ПТО!$A$39:$D$53,4,FALSE)</f>
        <v>#N/A</v>
      </c>
      <c r="J40" s="157"/>
      <c r="K40" s="108"/>
      <c r="L40" s="179"/>
      <c r="M40" s="114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56" t="e">
        <f>VLOOKUP(A41,ПТО!$A$39:$D$53,2,FALSE)</f>
        <v>#N/A</v>
      </c>
      <c r="G41" s="156"/>
      <c r="H41" s="40" t="e">
        <f>VLOOKUP(A41,ПТО!$A$39:$D$53,3,FALSE)</f>
        <v>#N/A</v>
      </c>
      <c r="I41" s="157" t="e">
        <f>VLOOKUP(A41,ПТО!$A$39:$D$53,4,FALSE)</f>
        <v>#N/A</v>
      </c>
      <c r="J41" s="157"/>
      <c r="K41" s="108"/>
      <c r="L41" s="179"/>
      <c r="M41" s="114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56" t="e">
        <f>VLOOKUP(A42,ПТО!$A$39:$D$53,2,FALSE)</f>
        <v>#N/A</v>
      </c>
      <c r="G42" s="156"/>
      <c r="H42" s="40" t="e">
        <f>VLOOKUP(A42,ПТО!$A$39:$D$53,3,FALSE)</f>
        <v>#N/A</v>
      </c>
      <c r="I42" s="157" t="e">
        <f>VLOOKUP(A42,ПТО!$A$39:$D$53,4,FALSE)</f>
        <v>#N/A</v>
      </c>
      <c r="J42" s="157"/>
      <c r="K42" s="108"/>
      <c r="L42" s="179"/>
      <c r="M42" s="114"/>
      <c r="N42" s="108"/>
      <c r="O42" s="23">
        <f t="shared" si="1"/>
        <v>0</v>
      </c>
      <c r="R42" s="1" t="s">
        <v>70</v>
      </c>
    </row>
    <row r="43" spans="1:18" ht="51" customHeight="1" outlineLevel="1">
      <c r="A43" s="155" t="str">
        <f>ПТО!A2</f>
        <v>Техническое обслуживание системы видеонаблюдения.</v>
      </c>
      <c r="B43" s="155"/>
      <c r="C43" s="155"/>
      <c r="D43" s="155"/>
      <c r="E43" s="155"/>
      <c r="F43" s="156">
        <f>VLOOKUP(A43,ПТО!$A$2:$D$31,4,FALSE)</f>
        <v>2620</v>
      </c>
      <c r="G43" s="156"/>
      <c r="H43" s="19" t="str">
        <f>VLOOKUP(A43,ПТО!$A$2:$D$31,2,FALSE)</f>
        <v>ежемесячно</v>
      </c>
      <c r="I43" s="157">
        <f>VLOOKUP(A43,ПТО!$A$2:$D$31,3,FALSE)</f>
        <v>6</v>
      </c>
      <c r="J43" s="157"/>
      <c r="K43" s="108"/>
      <c r="L43" s="179"/>
      <c r="M43" s="114"/>
      <c r="N43" s="108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55" t="str">
        <f>ПТО!A3</f>
        <v>Замена ковровой дорожки в тамбуре (1 этаж).</v>
      </c>
      <c r="B44" s="155"/>
      <c r="C44" s="155"/>
      <c r="D44" s="155"/>
      <c r="E44" s="155"/>
      <c r="F44" s="156">
        <f>VLOOKUP(A44,ПТО!$A$2:$D$31,4,FALSE)</f>
        <v>1999</v>
      </c>
      <c r="G44" s="156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08"/>
      <c r="L44" s="179"/>
      <c r="M44" s="114"/>
      <c r="N44" s="108"/>
      <c r="O44" s="23" t="str">
        <f t="shared" si="1"/>
        <v>Замена ковровой дорожки в тамбуре (1 этаж).</v>
      </c>
      <c r="R44" s="22" t="s">
        <v>71</v>
      </c>
    </row>
    <row r="45" spans="1:18" ht="51" customHeight="1" outlineLevel="1">
      <c r="A45" s="155" t="str">
        <f>ПТО!A4</f>
        <v>Ремонт повысительных насосов ХВС - 2 шт. (замена сальников и ремонт постели подшипников).</v>
      </c>
      <c r="B45" s="155"/>
      <c r="C45" s="155"/>
      <c r="D45" s="155"/>
      <c r="E45" s="155"/>
      <c r="F45" s="156">
        <f>VLOOKUP(A45,ПТО!$A$2:$D$31,4,FALSE)</f>
        <v>7677</v>
      </c>
      <c r="G45" s="156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08"/>
      <c r="L45" s="179"/>
      <c r="M45" s="114"/>
      <c r="N45" s="108"/>
      <c r="O45" s="23" t="str">
        <f t="shared" si="1"/>
        <v>Ремонт повысительных насосов ХВС - 2 шт. (замена сальников и ремонт постели подшипников).</v>
      </c>
      <c r="R45" s="22" t="s">
        <v>71</v>
      </c>
    </row>
    <row r="46" spans="1:18" ht="51" hidden="1" customHeight="1" outlineLevel="1">
      <c r="A46" s="155">
        <f>ПТО!A5</f>
        <v>0</v>
      </c>
      <c r="B46" s="155"/>
      <c r="C46" s="155"/>
      <c r="D46" s="155"/>
      <c r="E46" s="155"/>
      <c r="F46" s="156" t="e">
        <f>VLOOKUP(A46,ПТО!$A$2:$D$31,4,FALSE)</f>
        <v>#N/A</v>
      </c>
      <c r="G46" s="156"/>
      <c r="H46" s="25" t="e">
        <f>VLOOKUP(A46,ПТО!$A$2:$D$31,2,FALSE)</f>
        <v>#N/A</v>
      </c>
      <c r="I46" s="157" t="e">
        <f>VLOOKUP(A46,ПТО!$A$2:$D$31,3,FALSE)</f>
        <v>#N/A</v>
      </c>
      <c r="J46" s="157"/>
      <c r="K46" s="108"/>
      <c r="L46" s="179"/>
      <c r="M46" s="114"/>
      <c r="N46" s="108"/>
      <c r="O46" s="23">
        <f t="shared" si="1"/>
        <v>0</v>
      </c>
      <c r="R46" s="22" t="s">
        <v>71</v>
      </c>
    </row>
    <row r="47" spans="1:18" ht="51" hidden="1" customHeight="1" outlineLevel="1">
      <c r="A47" s="155">
        <f>ПТО!A6</f>
        <v>0</v>
      </c>
      <c r="B47" s="155"/>
      <c r="C47" s="155"/>
      <c r="D47" s="155"/>
      <c r="E47" s="155"/>
      <c r="F47" s="156" t="e">
        <f>VLOOKUP(A47,ПТО!$A$2:$D$31,4,FALSE)</f>
        <v>#N/A</v>
      </c>
      <c r="G47" s="156"/>
      <c r="H47" s="25" t="e">
        <f>VLOOKUP(A47,ПТО!$A$2:$D$31,2,FALSE)</f>
        <v>#N/A</v>
      </c>
      <c r="I47" s="157" t="e">
        <f>VLOOKUP(A47,ПТО!$A$2:$D$31,3,FALSE)</f>
        <v>#N/A</v>
      </c>
      <c r="J47" s="157"/>
      <c r="K47" s="108"/>
      <c r="L47" s="179"/>
      <c r="M47" s="114"/>
      <c r="N47" s="108"/>
      <c r="O47" s="23">
        <f t="shared" si="1"/>
        <v>0</v>
      </c>
      <c r="R47" s="22" t="s">
        <v>71</v>
      </c>
    </row>
    <row r="48" spans="1:18" ht="51" hidden="1" customHeight="1" outlineLevel="1">
      <c r="A48" s="155">
        <f>ПТО!A7</f>
        <v>0</v>
      </c>
      <c r="B48" s="155"/>
      <c r="C48" s="155"/>
      <c r="D48" s="155"/>
      <c r="E48" s="155"/>
      <c r="F48" s="156" t="e">
        <f>VLOOKUP(A48,ПТО!$A$2:$D$31,4,FALSE)</f>
        <v>#N/A</v>
      </c>
      <c r="G48" s="156"/>
      <c r="H48" s="25" t="e">
        <f>VLOOKUP(A48,ПТО!$A$2:$D$31,2,FALSE)</f>
        <v>#N/A</v>
      </c>
      <c r="I48" s="157" t="e">
        <f>VLOOKUP(A48,ПТО!$A$2:$D$31,3,FALSE)</f>
        <v>#N/A</v>
      </c>
      <c r="J48" s="157"/>
      <c r="K48" s="108"/>
      <c r="L48" s="179"/>
      <c r="M48" s="114"/>
      <c r="N48" s="108"/>
      <c r="O48" s="23">
        <f t="shared" si="1"/>
        <v>0</v>
      </c>
      <c r="R48" s="22" t="s">
        <v>71</v>
      </c>
    </row>
    <row r="49" spans="1:18" ht="51" hidden="1" customHeight="1" outlineLevel="1">
      <c r="A49" s="155">
        <f>ПТО!A8</f>
        <v>0</v>
      </c>
      <c r="B49" s="155"/>
      <c r="C49" s="155"/>
      <c r="D49" s="155"/>
      <c r="E49" s="155"/>
      <c r="F49" s="156" t="e">
        <f>VLOOKUP(A49,ПТО!$A$2:$D$31,4,FALSE)</f>
        <v>#N/A</v>
      </c>
      <c r="G49" s="156"/>
      <c r="H49" s="25" t="e">
        <f>VLOOKUP(A49,ПТО!$A$2:$D$31,2,FALSE)</f>
        <v>#N/A</v>
      </c>
      <c r="I49" s="157" t="e">
        <f>VLOOKUP(A49,ПТО!$A$2:$D$31,3,FALSE)</f>
        <v>#N/A</v>
      </c>
      <c r="J49" s="157"/>
      <c r="K49" s="108"/>
      <c r="L49" s="179"/>
      <c r="M49" s="114"/>
      <c r="N49" s="108"/>
      <c r="O49" s="23">
        <f t="shared" si="1"/>
        <v>0</v>
      </c>
      <c r="R49" s="22" t="s">
        <v>71</v>
      </c>
    </row>
    <row r="50" spans="1:18" ht="51" hidden="1" customHeight="1" outlineLevel="1">
      <c r="A50" s="155">
        <f>ПТО!A9</f>
        <v>0</v>
      </c>
      <c r="B50" s="155"/>
      <c r="C50" s="155"/>
      <c r="D50" s="155"/>
      <c r="E50" s="155"/>
      <c r="F50" s="156" t="e">
        <f>VLOOKUP(A50,ПТО!$A$2:$D$31,4,FALSE)</f>
        <v>#N/A</v>
      </c>
      <c r="G50" s="156"/>
      <c r="H50" s="25" t="e">
        <f>VLOOKUP(A50,ПТО!$A$2:$D$31,2,FALSE)</f>
        <v>#N/A</v>
      </c>
      <c r="I50" s="157" t="e">
        <f>VLOOKUP(A50,ПТО!$A$2:$D$31,3,FALSE)</f>
        <v>#N/A</v>
      </c>
      <c r="J50" s="157"/>
      <c r="K50" s="108"/>
      <c r="L50" s="179"/>
      <c r="M50" s="114"/>
      <c r="N50" s="108"/>
      <c r="O50" s="23">
        <f t="shared" si="1"/>
        <v>0</v>
      </c>
      <c r="R50" s="22" t="s">
        <v>71</v>
      </c>
    </row>
    <row r="51" spans="1:18" ht="51" hidden="1" customHeight="1" outlineLevel="1">
      <c r="A51" s="155">
        <f>ПТО!A10</f>
        <v>0</v>
      </c>
      <c r="B51" s="155"/>
      <c r="C51" s="155"/>
      <c r="D51" s="155"/>
      <c r="E51" s="155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7" t="e">
        <f>VLOOKUP(A51,ПТО!$A$2:$D$31,3,FALSE)</f>
        <v>#N/A</v>
      </c>
      <c r="J51" s="157"/>
      <c r="K51" s="108"/>
      <c r="L51" s="179"/>
      <c r="M51" s="114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7" t="e">
        <f>VLOOKUP(A52,ПТО!$A$2:$D$31,3,FALSE)</f>
        <v>#N/A</v>
      </c>
      <c r="J52" s="157"/>
      <c r="K52" s="108"/>
      <c r="L52" s="179"/>
      <c r="M52" s="114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7" t="e">
        <f>VLOOKUP(A53,ПТО!$A$2:$D$31,3,FALSE)</f>
        <v>#N/A</v>
      </c>
      <c r="J53" s="157"/>
      <c r="K53" s="108"/>
      <c r="L53" s="179"/>
      <c r="M53" s="114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08"/>
      <c r="L54" s="179"/>
      <c r="M54" s="114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08"/>
      <c r="L55" s="179"/>
      <c r="M55" s="114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08"/>
      <c r="L56" s="179"/>
      <c r="M56" s="114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08"/>
      <c r="L57" s="179"/>
      <c r="M57" s="114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08"/>
      <c r="L58" s="179"/>
      <c r="M58" s="114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08"/>
      <c r="L59" s="179"/>
      <c r="M59" s="114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08"/>
      <c r="L60" s="179"/>
      <c r="M60" s="114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08"/>
      <c r="L61" s="179"/>
      <c r="M61" s="114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08"/>
      <c r="L62" s="179"/>
      <c r="M62" s="114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08"/>
      <c r="L63" s="179"/>
      <c r="M63" s="114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08"/>
      <c r="L64" s="179"/>
      <c r="M64" s="114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08"/>
      <c r="L65" s="179"/>
      <c r="M65" s="114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08"/>
      <c r="L66" s="179"/>
      <c r="M66" s="114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08"/>
      <c r="L67" s="179"/>
      <c r="M67" s="114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08"/>
      <c r="L68" s="179"/>
      <c r="M68" s="114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08"/>
      <c r="L69" s="179"/>
      <c r="M69" s="114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08"/>
      <c r="L70" s="179"/>
      <c r="M70" s="114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4"/>
      <c r="L71" s="179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08"/>
      <c r="L72" s="179"/>
      <c r="M72" s="114"/>
      <c r="N72" s="108"/>
      <c r="O72" s="23">
        <f t="shared" si="1"/>
        <v>0</v>
      </c>
      <c r="R72" s="22" t="s">
        <v>71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73" t="s">
        <v>26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8"/>
      <c r="L75" s="162"/>
      <c r="M75" s="108"/>
      <c r="N75" s="108"/>
      <c r="O75" s="68" t="s">
        <v>98</v>
      </c>
    </row>
    <row r="76" spans="1:16384" ht="18.75" customHeight="1" outlineLevel="1">
      <c r="A76" s="173" t="s">
        <v>27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8"/>
      <c r="L76" s="162"/>
      <c r="M76" s="108"/>
      <c r="N76" s="108"/>
      <c r="O76" s="68" t="s">
        <v>99</v>
      </c>
    </row>
    <row r="77" spans="1:16384" ht="21.75" customHeight="1" outlineLevel="1">
      <c r="A77" s="173" t="s">
        <v>28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8"/>
      <c r="L77" s="162"/>
      <c r="M77" s="108"/>
      <c r="N77" s="108"/>
      <c r="O77" s="68" t="s">
        <v>100</v>
      </c>
    </row>
    <row r="78" spans="1:16384" ht="18.75" customHeight="1" outlineLevel="1">
      <c r="A78" s="173" t="s">
        <v>29</v>
      </c>
      <c r="B78" s="173"/>
      <c r="C78" s="173"/>
      <c r="D78" s="173"/>
      <c r="E78" s="173"/>
      <c r="F78" s="173"/>
      <c r="G78" s="173"/>
      <c r="H78" s="173"/>
      <c r="I78" s="173"/>
      <c r="J78" s="95">
        <f>VLOOKUP(O78,АО,3,FALSE)</f>
        <v>0</v>
      </c>
      <c r="K78" s="108"/>
      <c r="L78" s="162"/>
      <c r="M78" s="108"/>
      <c r="N78" s="108"/>
      <c r="O78" s="68" t="s">
        <v>101</v>
      </c>
    </row>
    <row r="79" spans="1:16384">
      <c r="A79" s="113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5">
        <f t="shared" ref="J81:J90" si="2">VLOOKUP(O81,АО,3,FALSE)</f>
        <v>0</v>
      </c>
      <c r="K81" s="108"/>
      <c r="L81" s="180"/>
      <c r="M81" s="108"/>
      <c r="N81" s="108"/>
      <c r="O81" s="68" t="s">
        <v>102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5">
        <f t="shared" si="2"/>
        <v>0</v>
      </c>
      <c r="K82" s="108"/>
      <c r="L82" s="180"/>
      <c r="M82" s="108"/>
      <c r="N82" s="108"/>
      <c r="O82" s="68" t="s">
        <v>103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5">
        <f t="shared" si="2"/>
        <v>104319.3</v>
      </c>
      <c r="K83" s="108"/>
      <c r="L83" s="180"/>
      <c r="M83" s="108"/>
      <c r="N83" s="108"/>
      <c r="O83" s="68" t="s">
        <v>104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5">
        <f t="shared" si="2"/>
        <v>0</v>
      </c>
      <c r="K84" s="108"/>
      <c r="L84" s="180"/>
      <c r="M84" s="108"/>
      <c r="N84" s="108"/>
      <c r="O84" s="68" t="s">
        <v>105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5">
        <f t="shared" si="2"/>
        <v>0</v>
      </c>
      <c r="K85" s="108"/>
      <c r="L85" s="180"/>
      <c r="M85" s="108"/>
      <c r="N85" s="108"/>
      <c r="O85" s="68" t="s">
        <v>106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5">
        <f t="shared" si="2"/>
        <v>67832.610000000059</v>
      </c>
      <c r="K86" s="108"/>
      <c r="L86" s="180"/>
      <c r="M86" s="108"/>
      <c r="N86" s="108"/>
      <c r="O86" s="68" t="s">
        <v>107</v>
      </c>
    </row>
    <row r="87" spans="1:15" ht="18.75" customHeight="1" outlineLevel="1">
      <c r="A87" s="170" t="s">
        <v>26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8"/>
      <c r="L87" s="180"/>
      <c r="M87" s="108"/>
      <c r="N87" s="108"/>
      <c r="O87" s="68" t="s">
        <v>108</v>
      </c>
    </row>
    <row r="88" spans="1:15" ht="18.75" customHeight="1" outlineLevel="1">
      <c r="A88" s="170" t="s">
        <v>27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8"/>
      <c r="L88" s="180"/>
      <c r="M88" s="108"/>
      <c r="N88" s="108"/>
      <c r="O88" s="68" t="s">
        <v>109</v>
      </c>
    </row>
    <row r="89" spans="1:15" ht="18.75" customHeight="1" outlineLevel="1">
      <c r="A89" s="170" t="s">
        <v>28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8"/>
      <c r="L89" s="180"/>
      <c r="M89" s="108"/>
      <c r="N89" s="108"/>
      <c r="O89" s="68" t="s">
        <v>110</v>
      </c>
    </row>
    <row r="90" spans="1:15" ht="18.75" customHeight="1" outlineLevel="1">
      <c r="A90" s="170" t="s">
        <v>29</v>
      </c>
      <c r="B90" s="171"/>
      <c r="C90" s="171"/>
      <c r="D90" s="171"/>
      <c r="E90" s="171"/>
      <c r="F90" s="171"/>
      <c r="G90" s="171"/>
      <c r="H90" s="171"/>
      <c r="I90" s="172"/>
      <c r="J90" s="95">
        <f t="shared" si="2"/>
        <v>0</v>
      </c>
      <c r="K90" s="108"/>
      <c r="L90" s="180"/>
      <c r="M90" s="108"/>
      <c r="N90" s="108"/>
      <c r="O90" s="68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64" t="s">
        <v>47</v>
      </c>
      <c r="B93" s="164"/>
      <c r="C93" s="164"/>
      <c r="D93" s="167" t="s">
        <v>48</v>
      </c>
      <c r="E93" s="167"/>
      <c r="F93" s="10" t="s">
        <v>49</v>
      </c>
      <c r="G93" s="164" t="s">
        <v>50</v>
      </c>
      <c r="H93" s="164"/>
      <c r="I93" s="164"/>
      <c r="J93" s="164"/>
      <c r="K93" s="108"/>
      <c r="L93" s="108"/>
      <c r="M93" s="108"/>
      <c r="N93" s="108"/>
    </row>
    <row r="94" spans="1:15" outlineLevel="1">
      <c r="A94" s="168" t="str">
        <f>IF(VLOOKUP("эл",АО,3,FALSE)&gt;0,"Электроснабжение",0)</f>
        <v>Электроснабжение</v>
      </c>
      <c r="B94" s="168"/>
      <c r="C94" s="168"/>
      <c r="D94" s="166" t="str">
        <f>IF(VLOOKUP("эл",АО,3,FALSE)&gt;0,VLOOKUP("эл",АО,3,FALSE),0)</f>
        <v>Предоставляется</v>
      </c>
      <c r="E94" s="166"/>
      <c r="F94" s="13" t="str">
        <f>IF(VLOOKUP("эл",АО,3,FALSE)&gt;0,VLOOKUP("эл",АО,4,FALSE),0)</f>
        <v>кВт*ч</v>
      </c>
      <c r="G94" s="165">
        <f>VLOOKUP("эл",АО,5,FALSE)</f>
        <v>190493.07</v>
      </c>
      <c r="H94" s="166"/>
      <c r="I94" s="166"/>
      <c r="J94" s="166"/>
      <c r="K94" s="1" t="str">
        <f>VLOOKUP("эл",АО,2,FALSE)</f>
        <v>Электроснабжение</v>
      </c>
      <c r="L94" s="181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126995.38</v>
      </c>
      <c r="L95" s="181"/>
      <c r="O95" s="1" t="s">
        <v>112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214496.14</v>
      </c>
      <c r="L96" s="181"/>
      <c r="O96" s="1" t="s">
        <v>113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0</v>
      </c>
      <c r="L97" s="181"/>
      <c r="O97" s="1" t="s">
        <v>114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190493.07</v>
      </c>
      <c r="L98" s="181"/>
      <c r="O98" s="1" t="s">
        <v>115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190493.07</v>
      </c>
      <c r="L99" s="181"/>
      <c r="O99" s="1" t="s">
        <v>116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81"/>
      <c r="O100" s="1" t="s">
        <v>117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81"/>
      <c r="O101" s="1" t="s">
        <v>118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5">
        <f>VLOOKUP("хвс",АО,5,FALSE)</f>
        <v>54039.46</v>
      </c>
      <c r="H102" s="166"/>
      <c r="I102" s="166"/>
      <c r="J102" s="166"/>
      <c r="L102" s="181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3388.0539184952977</v>
      </c>
      <c r="L103" s="181"/>
      <c r="O103" s="1" t="s">
        <v>121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55492.47</v>
      </c>
      <c r="L104" s="181"/>
      <c r="O104" s="1" t="s">
        <v>122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0</v>
      </c>
      <c r="L105" s="181"/>
      <c r="O105" s="1" t="s">
        <v>123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54039.46</v>
      </c>
      <c r="L106" s="181"/>
      <c r="O106" s="1" t="s">
        <v>124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54039.46</v>
      </c>
      <c r="L107" s="181"/>
      <c r="O107" s="1" t="s">
        <v>125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81"/>
      <c r="O108" s="1" t="s">
        <v>126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81"/>
      <c r="O109" s="1" t="s">
        <v>127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5">
        <f>VLOOKUP("воо",АО,5,FALSE)</f>
        <v>102310.26</v>
      </c>
      <c r="H110" s="166"/>
      <c r="I110" s="166"/>
      <c r="J110" s="166"/>
      <c r="L110" s="181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5276.4445590510568</v>
      </c>
      <c r="L111" s="181"/>
      <c r="O111" s="1" t="s">
        <v>129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108575.17</v>
      </c>
      <c r="L112" s="181"/>
      <c r="O112" s="1" t="s">
        <v>130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0</v>
      </c>
      <c r="L113" s="181"/>
      <c r="O113" s="1" t="s">
        <v>131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102310.26</v>
      </c>
      <c r="L114" s="181"/>
      <c r="O114" s="1" t="s">
        <v>132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102310.26</v>
      </c>
      <c r="L115" s="181"/>
      <c r="O115" s="1" t="s">
        <v>133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81"/>
      <c r="O116" s="1" t="s">
        <v>134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81"/>
      <c r="O117" s="1" t="s">
        <v>135</v>
      </c>
    </row>
    <row r="118" spans="1:15" ht="32.25" customHeight="1" outlineLevel="1">
      <c r="A118" s="168" t="str">
        <f>IF(VLOOKUP("тко",АО,3,FALSE)&gt;0,"Обращение с ТКО",0)</f>
        <v>Обращение с ТКО</v>
      </c>
      <c r="B118" s="168"/>
      <c r="C118" s="168"/>
      <c r="D118" s="166" t="str">
        <f>IF(VLOOKUP("тко",АО,3,FALSE)&gt;0,VLOOKUP("тко",АО,3,FALSE),0)</f>
        <v>Предоставляется</v>
      </c>
      <c r="E118" s="166"/>
      <c r="F118" s="13" t="str">
        <f>IF(VLOOKUP("тко",АО,3,FALSE)&gt;0,VLOOKUP("тко",АО,4,FALSE),0)</f>
        <v>куб.м.</v>
      </c>
      <c r="G118" s="165">
        <f>VLOOKUP("тко",АО,5,FALSE)</f>
        <v>92563.31</v>
      </c>
      <c r="H118" s="166"/>
      <c r="I118" s="166"/>
      <c r="J118" s="166"/>
      <c r="L118" s="46"/>
    </row>
    <row r="119" spans="1:15" ht="32.25" customHeight="1" outlineLevel="2">
      <c r="A119" s="163" t="str">
        <f t="shared" ref="A119:A125" si="8">IF(VLOOKUP("тко",АО,3,FALSE)&gt;0,VLOOKUP(O119,АО,2,FALSE),0)</f>
        <v>Общий объем потребления, нат. показ.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156.39921262503378</v>
      </c>
      <c r="L119" s="46"/>
      <c r="O119" s="1" t="s">
        <v>137</v>
      </c>
    </row>
    <row r="120" spans="1:15" ht="32.25" customHeight="1" outlineLevel="2">
      <c r="A120" s="163" t="str">
        <f t="shared" si="8"/>
        <v>Оплачено потребителями, руб.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97329.01</v>
      </c>
      <c r="L120" s="46"/>
      <c r="O120" s="1" t="s">
        <v>138</v>
      </c>
    </row>
    <row r="121" spans="1:15" ht="32.25" customHeight="1" outlineLevel="2">
      <c r="A121" s="163" t="str">
        <f t="shared" si="8"/>
        <v>Задолженность потребителей, руб.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6"/>
      <c r="O121" s="1" t="s">
        <v>139</v>
      </c>
    </row>
    <row r="122" spans="1:15" ht="32.25" customHeight="1" outlineLevel="2">
      <c r="A122" s="163" t="str">
        <f t="shared" si="8"/>
        <v>Начислено поставщиком (поставщиками) коммунального ресурса, руб.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92563.31</v>
      </c>
      <c r="L122" s="46"/>
      <c r="O122" s="1" t="s">
        <v>140</v>
      </c>
    </row>
    <row r="123" spans="1:15" ht="32.25" customHeight="1" outlineLevel="2">
      <c r="A123" s="163" t="str">
        <f t="shared" si="8"/>
        <v>Оплачено поставщику (поставщикам) коммунального ресурса, руб.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92563.31</v>
      </c>
      <c r="L123" s="46"/>
      <c r="O123" s="1" t="s">
        <v>141</v>
      </c>
    </row>
    <row r="124" spans="1:15" ht="32.25" customHeight="1" outlineLevel="2">
      <c r="A124" s="163" t="str">
        <f t="shared" si="8"/>
        <v>Задолженность перед поставщиком (поставщиками) коммунального ресурса, руб.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6"/>
      <c r="O124" s="1" t="s">
        <v>142</v>
      </c>
    </row>
    <row r="125" spans="1:15" ht="32.25" customHeight="1" outlineLevel="2">
      <c r="A125" s="163" t="str">
        <f t="shared" si="8"/>
        <v>Размер пени и штрафов, уплаченных поставщику (поставщикам) коммунального ресурса, руб.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6"/>
      <c r="O125" s="1" t="s">
        <v>143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5">
        <f>VLOOKUP("гвс",АО,5,FALSE)</f>
        <v>0</v>
      </c>
      <c r="H126" s="166"/>
      <c r="I126" s="166"/>
      <c r="J126" s="166"/>
      <c r="L126" s="46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6"/>
      <c r="O127" s="1" t="s">
        <v>145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6"/>
      <c r="O128" s="1" t="s">
        <v>146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6"/>
      <c r="O129" s="1" t="s">
        <v>147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6"/>
      <c r="O130" s="1" t="s">
        <v>148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6"/>
      <c r="O131" s="1" t="s">
        <v>149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6"/>
      <c r="O132" s="1" t="s">
        <v>150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6"/>
      <c r="O133" s="1" t="s">
        <v>151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5">
        <f>VLOOKUP("отопление",АО,5,FALSE)</f>
        <v>0</v>
      </c>
      <c r="H134" s="166"/>
      <c r="I134" s="166"/>
      <c r="J134" s="166"/>
      <c r="L134" s="46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6"/>
      <c r="O135" s="1" t="s">
        <v>153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6"/>
      <c r="O136" s="1" t="s">
        <v>154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6"/>
      <c r="O137" s="1" t="s">
        <v>155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6"/>
      <c r="O138" s="1" t="s">
        <v>156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6"/>
      <c r="O139" s="1" t="s">
        <v>157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6"/>
      <c r="O140" s="1" t="s">
        <v>158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6"/>
      <c r="O141" s="1" t="s">
        <v>159</v>
      </c>
    </row>
    <row r="143" spans="1:15">
      <c r="A143" s="11" t="s">
        <v>43</v>
      </c>
    </row>
    <row r="144" spans="1:15" ht="18.75" customHeight="1" outlineLevel="1">
      <c r="A144" s="163" t="s">
        <v>44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169</v>
      </c>
    </row>
    <row r="145" spans="1:15" ht="18.75" customHeight="1" outlineLevel="1">
      <c r="A145" s="163" t="s">
        <v>45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63" t="s">
        <v>172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102250</v>
      </c>
      <c r="O146" t="s">
        <v>171</v>
      </c>
    </row>
    <row r="149" spans="1:15" ht="52.5" customHeight="1">
      <c r="A149" s="159" t="s">
        <v>178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8" t="s">
        <v>188</v>
      </c>
      <c r="B154" s="158"/>
      <c r="C154" s="158"/>
      <c r="D154" s="158"/>
      <c r="E154" s="27">
        <f>ПТО!G1</f>
        <v>-201142.29</v>
      </c>
    </row>
    <row r="155" spans="1:15" ht="34.5" customHeight="1">
      <c r="A155" s="160" t="s">
        <v>187</v>
      </c>
      <c r="B155" s="160"/>
      <c r="C155" s="160"/>
      <c r="D155" s="160"/>
      <c r="E155" s="28">
        <f>J13</f>
        <v>126267.91200000001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56</v>
      </c>
      <c r="I157" s="161" t="s">
        <v>21</v>
      </c>
      <c r="J157" s="161"/>
    </row>
    <row r="158" spans="1:15" ht="29.25" customHeight="1">
      <c r="A158" s="155" t="str">
        <f t="shared" ref="A158:A163" si="14">IF(N158&gt;0,N158,0)</f>
        <v>Техническое обслуживание системы видеонаблюдения.</v>
      </c>
      <c r="B158" s="155"/>
      <c r="C158" s="155"/>
      <c r="D158" s="155"/>
      <c r="E158" s="155"/>
      <c r="F158" s="156">
        <f t="shared" ref="F158:F163" si="15">IF(ISERROR(VLOOKUP(A158,$A$28:$J$72,6,FALSE)),0,VLOOKUP(A158,$A$28:$J$72,6,FALSE))</f>
        <v>2620</v>
      </c>
      <c r="G158" s="156"/>
      <c r="H158" s="24" t="str">
        <f t="shared" ref="H158:H187" si="16">VLOOKUP(A158,$A$28:$J$72,8,FALSE)</f>
        <v>ежемесячно</v>
      </c>
      <c r="I158" s="157">
        <f t="shared" ref="I158:I161" si="17">VLOOKUP(A158,$A$28:$J$72,9,FALSE)</f>
        <v>6</v>
      </c>
      <c r="J158" s="157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55" t="str">
        <f t="shared" si="14"/>
        <v>Замена ковровой дорожки в тамбуре (1 этаж).</v>
      </c>
      <c r="B159" s="155"/>
      <c r="C159" s="155"/>
      <c r="D159" s="155"/>
      <c r="E159" s="155"/>
      <c r="F159" s="156">
        <f t="shared" si="15"/>
        <v>1999</v>
      </c>
      <c r="G159" s="156"/>
      <c r="H159" s="24" t="str">
        <f t="shared" si="16"/>
        <v>разово</v>
      </c>
      <c r="I159" s="157">
        <f t="shared" si="17"/>
        <v>1</v>
      </c>
      <c r="J159" s="157"/>
      <c r="M159" s="22" t="s">
        <v>71</v>
      </c>
      <c r="N159" s="1" t="str">
        <v>Замена ковровой дорожки в тамбуре (1 этаж).</v>
      </c>
    </row>
    <row r="160" spans="1:15" ht="28.5" customHeight="1">
      <c r="A160" s="155" t="str">
        <f t="shared" si="14"/>
        <v>Ремонт повысительных насосов ХВС - 2 шт. (замена сальников и ремонт постели подшипников).</v>
      </c>
      <c r="B160" s="155"/>
      <c r="C160" s="155"/>
      <c r="D160" s="155"/>
      <c r="E160" s="155"/>
      <c r="F160" s="156">
        <f t="shared" si="15"/>
        <v>7677</v>
      </c>
      <c r="G160" s="156"/>
      <c r="H160" s="24" t="str">
        <f t="shared" si="16"/>
        <v>разово</v>
      </c>
      <c r="I160" s="157">
        <f t="shared" si="17"/>
        <v>1</v>
      </c>
      <c r="J160" s="157"/>
      <c r="M160" s="22" t="s">
        <v>71</v>
      </c>
      <c r="N160" s="1" t="str">
        <v>Ремонт повысительных насосов ХВС - 2 шт. (замена сальников и ремонт постели подшипников).</v>
      </c>
    </row>
    <row r="161" spans="1:14" ht="28.5" hidden="1" customHeight="1">
      <c r="A161" s="155">
        <f>IF(N161&gt;0,N161,0)</f>
        <v>0</v>
      </c>
      <c r="B161" s="155"/>
      <c r="C161" s="155"/>
      <c r="D161" s="155"/>
      <c r="E161" s="155"/>
      <c r="F161" s="156">
        <f t="shared" si="15"/>
        <v>0</v>
      </c>
      <c r="G161" s="156"/>
      <c r="H161" s="24" t="e">
        <f t="shared" si="16"/>
        <v>#N/A</v>
      </c>
      <c r="I161" s="157" t="e">
        <f t="shared" si="17"/>
        <v>#N/A</v>
      </c>
      <c r="J161" s="157"/>
      <c r="M161" s="22" t="s">
        <v>71</v>
      </c>
      <c r="N161" s="1">
        <v>0</v>
      </c>
    </row>
    <row r="162" spans="1:14" ht="28.5" hidden="1" customHeight="1">
      <c r="A162" s="155">
        <f t="shared" si="14"/>
        <v>0</v>
      </c>
      <c r="B162" s="155"/>
      <c r="C162" s="155"/>
      <c r="D162" s="155"/>
      <c r="E162" s="155"/>
      <c r="F162" s="156">
        <f t="shared" si="15"/>
        <v>0</v>
      </c>
      <c r="G162" s="156"/>
      <c r="H162" s="24" t="e">
        <f t="shared" si="16"/>
        <v>#N/A</v>
      </c>
      <c r="I162" s="157" t="e">
        <f>VLOOKUP(A162,$A$28:$J$72,9,FALSE)</f>
        <v>#N/A</v>
      </c>
      <c r="J162" s="157"/>
      <c r="M162" s="22" t="s">
        <v>71</v>
      </c>
      <c r="N162" s="1">
        <v>0</v>
      </c>
    </row>
    <row r="163" spans="1:14" ht="28.5" hidden="1" customHeight="1">
      <c r="A163" s="155">
        <f t="shared" si="14"/>
        <v>0</v>
      </c>
      <c r="B163" s="155"/>
      <c r="C163" s="155"/>
      <c r="D163" s="155"/>
      <c r="E163" s="155"/>
      <c r="F163" s="156">
        <f t="shared" si="15"/>
        <v>0</v>
      </c>
      <c r="G163" s="156"/>
      <c r="H163" s="24" t="e">
        <f t="shared" si="16"/>
        <v>#N/A</v>
      </c>
      <c r="I163" s="157" t="e">
        <f>VLOOKUP(A163,$A$28:$J$72,9,FALSE)</f>
        <v>#N/A</v>
      </c>
      <c r="J163" s="157"/>
      <c r="M163" s="22" t="s">
        <v>71</v>
      </c>
      <c r="N163" s="1">
        <v>0</v>
      </c>
    </row>
    <row r="164" spans="1:14" ht="28.5" hidden="1" customHeight="1">
      <c r="A164" s="155">
        <f t="shared" ref="A164:A187" si="18">IF(N164&gt;0,N164,0)</f>
        <v>0</v>
      </c>
      <c r="B164" s="155"/>
      <c r="C164" s="155"/>
      <c r="D164" s="155"/>
      <c r="E164" s="155"/>
      <c r="F164" s="156">
        <f t="shared" ref="F164:F187" si="19">IF(ISERROR(VLOOKUP(A164,$A$28:$J$72,6,FALSE)),0,VLOOKUP(A164,$A$28:$J$72,6,FALSE))</f>
        <v>0</v>
      </c>
      <c r="G164" s="156"/>
      <c r="H164" s="29" t="e">
        <f t="shared" si="16"/>
        <v>#N/A</v>
      </c>
      <c r="I164" s="157" t="e">
        <f t="shared" ref="I164:I187" si="20">VLOOKUP(A164,$A$28:$J$72,9,FALSE)</f>
        <v>#N/A</v>
      </c>
      <c r="J164" s="157"/>
      <c r="M164" s="22" t="s">
        <v>71</v>
      </c>
      <c r="N164" s="1">
        <v>0</v>
      </c>
    </row>
    <row r="165" spans="1:14" ht="28.5" hidden="1" customHeight="1">
      <c r="A165" s="155">
        <f t="shared" si="18"/>
        <v>0</v>
      </c>
      <c r="B165" s="155"/>
      <c r="C165" s="155"/>
      <c r="D165" s="155"/>
      <c r="E165" s="155"/>
      <c r="F165" s="156">
        <f t="shared" si="19"/>
        <v>0</v>
      </c>
      <c r="G165" s="156"/>
      <c r="H165" s="29" t="e">
        <f t="shared" si="16"/>
        <v>#N/A</v>
      </c>
      <c r="I165" s="157" t="e">
        <f t="shared" si="20"/>
        <v>#N/A</v>
      </c>
      <c r="J165" s="157"/>
      <c r="M165" s="22" t="s">
        <v>71</v>
      </c>
      <c r="N165" s="1">
        <v>0</v>
      </c>
    </row>
    <row r="166" spans="1:14" ht="28.5" hidden="1" customHeight="1">
      <c r="A166" s="155">
        <f t="shared" si="18"/>
        <v>0</v>
      </c>
      <c r="B166" s="155"/>
      <c r="C166" s="155"/>
      <c r="D166" s="155"/>
      <c r="E166" s="155"/>
      <c r="F166" s="156">
        <f t="shared" si="19"/>
        <v>0</v>
      </c>
      <c r="G166" s="156"/>
      <c r="H166" s="29" t="e">
        <f t="shared" si="16"/>
        <v>#N/A</v>
      </c>
      <c r="I166" s="157" t="e">
        <f t="shared" si="20"/>
        <v>#N/A</v>
      </c>
      <c r="J166" s="157"/>
      <c r="M166" s="22" t="s">
        <v>71</v>
      </c>
      <c r="N166" s="1">
        <v>0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56">
        <f t="shared" si="19"/>
        <v>0</v>
      </c>
      <c r="G167" s="156"/>
      <c r="H167" s="29" t="e">
        <f t="shared" si="16"/>
        <v>#N/A</v>
      </c>
      <c r="I167" s="157" t="e">
        <f t="shared" si="20"/>
        <v>#N/A</v>
      </c>
      <c r="J167" s="157"/>
      <c r="M167" s="22" t="s">
        <v>71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56">
        <f t="shared" si="19"/>
        <v>0</v>
      </c>
      <c r="G168" s="156"/>
      <c r="H168" s="29" t="e">
        <f t="shared" si="16"/>
        <v>#N/A</v>
      </c>
      <c r="I168" s="157" t="e">
        <f t="shared" si="20"/>
        <v>#N/A</v>
      </c>
      <c r="J168" s="157"/>
      <c r="M168" s="22" t="s">
        <v>71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56">
        <f t="shared" si="19"/>
        <v>0</v>
      </c>
      <c r="G169" s="156"/>
      <c r="H169" s="29" t="e">
        <f t="shared" si="16"/>
        <v>#N/A</v>
      </c>
      <c r="I169" s="157" t="e">
        <f t="shared" si="20"/>
        <v>#N/A</v>
      </c>
      <c r="J169" s="157"/>
      <c r="M169" s="22" t="s">
        <v>71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56">
        <f t="shared" si="19"/>
        <v>0</v>
      </c>
      <c r="G170" s="156"/>
      <c r="H170" s="29" t="e">
        <f t="shared" si="16"/>
        <v>#N/A</v>
      </c>
      <c r="I170" s="157" t="e">
        <f t="shared" si="20"/>
        <v>#N/A</v>
      </c>
      <c r="J170" s="157"/>
      <c r="M170" s="22" t="s">
        <v>71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56">
        <f t="shared" si="19"/>
        <v>0</v>
      </c>
      <c r="G171" s="156"/>
      <c r="H171" s="29" t="e">
        <f t="shared" si="16"/>
        <v>#N/A</v>
      </c>
      <c r="I171" s="157" t="e">
        <f t="shared" si="20"/>
        <v>#N/A</v>
      </c>
      <c r="J171" s="157"/>
      <c r="M171" s="22" t="s">
        <v>71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56">
        <f t="shared" si="19"/>
        <v>0</v>
      </c>
      <c r="G172" s="156"/>
      <c r="H172" s="29" t="e">
        <f t="shared" si="16"/>
        <v>#N/A</v>
      </c>
      <c r="I172" s="157" t="e">
        <f t="shared" si="20"/>
        <v>#N/A</v>
      </c>
      <c r="J172" s="157"/>
      <c r="M172" s="22" t="s">
        <v>71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56">
        <f t="shared" si="19"/>
        <v>0</v>
      </c>
      <c r="G173" s="156"/>
      <c r="H173" s="29" t="e">
        <f t="shared" si="16"/>
        <v>#N/A</v>
      </c>
      <c r="I173" s="157" t="e">
        <f t="shared" si="20"/>
        <v>#N/A</v>
      </c>
      <c r="J173" s="157"/>
      <c r="M173" s="22" t="s">
        <v>71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56">
        <f t="shared" si="19"/>
        <v>0</v>
      </c>
      <c r="G174" s="156"/>
      <c r="H174" s="29" t="e">
        <f t="shared" si="16"/>
        <v>#N/A</v>
      </c>
      <c r="I174" s="157" t="e">
        <f t="shared" si="20"/>
        <v>#N/A</v>
      </c>
      <c r="J174" s="157"/>
      <c r="M174" s="22" t="s">
        <v>71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56">
        <f t="shared" si="19"/>
        <v>0</v>
      </c>
      <c r="G175" s="156"/>
      <c r="H175" s="29" t="e">
        <f t="shared" si="16"/>
        <v>#N/A</v>
      </c>
      <c r="I175" s="157" t="e">
        <f t="shared" si="20"/>
        <v>#N/A</v>
      </c>
      <c r="J175" s="157"/>
      <c r="M175" s="22" t="s">
        <v>71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56">
        <f t="shared" si="19"/>
        <v>0</v>
      </c>
      <c r="G176" s="156"/>
      <c r="H176" s="29" t="e">
        <f t="shared" si="16"/>
        <v>#N/A</v>
      </c>
      <c r="I176" s="157" t="e">
        <f t="shared" si="20"/>
        <v>#N/A</v>
      </c>
      <c r="J176" s="157"/>
      <c r="M176" s="22" t="s">
        <v>71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56">
        <f t="shared" si="19"/>
        <v>0</v>
      </c>
      <c r="G177" s="156"/>
      <c r="H177" s="29" t="e">
        <f t="shared" si="16"/>
        <v>#N/A</v>
      </c>
      <c r="I177" s="157" t="e">
        <f t="shared" si="20"/>
        <v>#N/A</v>
      </c>
      <c r="J177" s="157"/>
      <c r="M177" s="22" t="s">
        <v>71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56">
        <f t="shared" si="19"/>
        <v>0</v>
      </c>
      <c r="G178" s="156"/>
      <c r="H178" s="29" t="e">
        <f t="shared" si="16"/>
        <v>#N/A</v>
      </c>
      <c r="I178" s="157" t="e">
        <f t="shared" si="20"/>
        <v>#N/A</v>
      </c>
      <c r="J178" s="157"/>
      <c r="M178" s="22" t="s">
        <v>71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56">
        <f t="shared" si="19"/>
        <v>0</v>
      </c>
      <c r="G179" s="156"/>
      <c r="H179" s="29" t="e">
        <f t="shared" si="16"/>
        <v>#N/A</v>
      </c>
      <c r="I179" s="157" t="e">
        <f t="shared" si="20"/>
        <v>#N/A</v>
      </c>
      <c r="J179" s="157"/>
      <c r="M179" s="22" t="s">
        <v>71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56">
        <f t="shared" si="19"/>
        <v>0</v>
      </c>
      <c r="G180" s="156"/>
      <c r="H180" s="29" t="e">
        <f t="shared" si="16"/>
        <v>#N/A</v>
      </c>
      <c r="I180" s="157" t="e">
        <f t="shared" si="20"/>
        <v>#N/A</v>
      </c>
      <c r="J180" s="157"/>
      <c r="M180" s="22" t="s">
        <v>71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56">
        <f t="shared" si="19"/>
        <v>0</v>
      </c>
      <c r="G181" s="156"/>
      <c r="H181" s="29" t="e">
        <f t="shared" si="16"/>
        <v>#N/A</v>
      </c>
      <c r="I181" s="157" t="e">
        <f t="shared" si="20"/>
        <v>#N/A</v>
      </c>
      <c r="J181" s="157"/>
      <c r="M181" s="22" t="s">
        <v>71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56">
        <f t="shared" si="19"/>
        <v>0</v>
      </c>
      <c r="G182" s="156"/>
      <c r="H182" s="29" t="e">
        <f t="shared" si="16"/>
        <v>#N/A</v>
      </c>
      <c r="I182" s="157" t="e">
        <f t="shared" si="20"/>
        <v>#N/A</v>
      </c>
      <c r="J182" s="157"/>
      <c r="M182" s="22" t="s">
        <v>71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56">
        <f t="shared" si="19"/>
        <v>0</v>
      </c>
      <c r="G183" s="156"/>
      <c r="H183" s="29" t="e">
        <f t="shared" si="16"/>
        <v>#N/A</v>
      </c>
      <c r="I183" s="157" t="e">
        <f t="shared" si="20"/>
        <v>#N/A</v>
      </c>
      <c r="J183" s="157"/>
      <c r="M183" s="22" t="s">
        <v>71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56">
        <f t="shared" si="19"/>
        <v>0</v>
      </c>
      <c r="G184" s="156"/>
      <c r="H184" s="29" t="e">
        <f t="shared" si="16"/>
        <v>#N/A</v>
      </c>
      <c r="I184" s="157" t="e">
        <f t="shared" si="20"/>
        <v>#N/A</v>
      </c>
      <c r="J184" s="157"/>
      <c r="M184" s="22" t="s">
        <v>71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56">
        <f t="shared" si="19"/>
        <v>0</v>
      </c>
      <c r="G185" s="156"/>
      <c r="H185" s="29" t="e">
        <f t="shared" si="16"/>
        <v>#N/A</v>
      </c>
      <c r="I185" s="157" t="e">
        <f t="shared" si="20"/>
        <v>#N/A</v>
      </c>
      <c r="J185" s="157"/>
      <c r="M185" s="22" t="s">
        <v>71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56">
        <f t="shared" si="19"/>
        <v>0</v>
      </c>
      <c r="G186" s="156"/>
      <c r="H186" s="29" t="e">
        <f t="shared" si="16"/>
        <v>#N/A</v>
      </c>
      <c r="I186" s="157" t="e">
        <f t="shared" si="20"/>
        <v>#N/A</v>
      </c>
      <c r="J186" s="157"/>
      <c r="M186" s="22" t="s">
        <v>71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56">
        <f t="shared" si="19"/>
        <v>0</v>
      </c>
      <c r="G187" s="156"/>
      <c r="H187" s="29" t="e">
        <f t="shared" si="16"/>
        <v>#N/A</v>
      </c>
      <c r="I187" s="157" t="e">
        <f t="shared" si="20"/>
        <v>#N/A</v>
      </c>
      <c r="J187" s="157"/>
      <c r="M187" s="22" t="s">
        <v>71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58" t="s">
        <v>186</v>
      </c>
      <c r="B190" s="158"/>
      <c r="C190" s="158"/>
      <c r="D190" s="158"/>
      <c r="E190" s="27">
        <f>SUM(F158:G187)</f>
        <v>12296</v>
      </c>
    </row>
    <row r="191" spans="1:14" ht="51.75" customHeight="1">
      <c r="A191" s="158" t="s">
        <v>185</v>
      </c>
      <c r="B191" s="158"/>
      <c r="C191" s="158"/>
      <c r="D191" s="158"/>
      <c r="E191" s="27">
        <f>E190+E154-E155</f>
        <v>-315114.20200000005</v>
      </c>
    </row>
    <row r="192" spans="1:14">
      <c r="A192" s="103" t="s">
        <v>173</v>
      </c>
    </row>
    <row r="193" spans="1:10" ht="62.25" customHeight="1">
      <c r="A193" s="183" t="s">
        <v>184</v>
      </c>
      <c r="B193" s="183"/>
      <c r="C193" s="183"/>
      <c r="D193" s="183"/>
      <c r="E193" s="183"/>
      <c r="F193" s="183"/>
      <c r="G193" s="183"/>
      <c r="H193" s="183"/>
      <c r="I193" s="183"/>
      <c r="J193" s="183"/>
    </row>
    <row r="194" spans="1:10">
      <c r="A194" s="182" t="str">
        <f>ПТО!F12</f>
        <v xml:space="preserve">  -  поверка (замена) манометров и термометров</v>
      </c>
      <c r="B194" s="182"/>
      <c r="C194" s="182"/>
      <c r="D194" s="182"/>
      <c r="E194" s="182"/>
      <c r="F194" s="182"/>
      <c r="G194" s="182"/>
      <c r="H194" s="47">
        <f>ПТО!G12</f>
        <v>1200</v>
      </c>
      <c r="I194" s="48" t="s">
        <v>73</v>
      </c>
    </row>
    <row r="195" spans="1:10" ht="18.75" customHeight="1">
      <c r="A195" s="182" t="str">
        <f>ПТО!F13</f>
        <v xml:space="preserve">  -  техническое освидетельствование лифта</v>
      </c>
      <c r="B195" s="182"/>
      <c r="C195" s="182"/>
      <c r="D195" s="182"/>
      <c r="E195" s="182"/>
      <c r="F195" s="182"/>
      <c r="G195" s="182"/>
      <c r="H195" s="47">
        <f>ПТО!G13</f>
        <v>4305</v>
      </c>
      <c r="I195" s="48" t="s">
        <v>73</v>
      </c>
    </row>
    <row r="196" spans="1:10" ht="18.75" customHeight="1">
      <c r="A196" s="182" t="str">
        <f>ПТО!F14</f>
        <v xml:space="preserve">  -  механизированная уборка и вывоз снега с придомовой территории</v>
      </c>
      <c r="B196" s="182"/>
      <c r="C196" s="182"/>
      <c r="D196" s="182"/>
      <c r="E196" s="182"/>
      <c r="F196" s="182"/>
      <c r="G196" s="182"/>
      <c r="H196" s="47">
        <f>ПТО!G14</f>
        <v>25000</v>
      </c>
      <c r="I196" s="48" t="s">
        <v>73</v>
      </c>
    </row>
    <row r="197" spans="1:10" ht="18.75" customHeight="1">
      <c r="A197" s="182" t="str">
        <f>ПТО!F15</f>
        <v xml:space="preserve">  -  ремонт входной группы  </v>
      </c>
      <c r="B197" s="182"/>
      <c r="C197" s="182"/>
      <c r="D197" s="182"/>
      <c r="E197" s="182"/>
      <c r="F197" s="182"/>
      <c r="G197" s="182"/>
      <c r="H197" s="47">
        <f>ПТО!G15</f>
        <v>45000</v>
      </c>
      <c r="I197" s="48" t="s">
        <v>73</v>
      </c>
    </row>
    <row r="198" spans="1:10" ht="18.75" customHeight="1">
      <c r="A198" s="182" t="str">
        <f>ПТО!F16</f>
        <v xml:space="preserve">  -  ремонт дорожного полотна в арке</v>
      </c>
      <c r="B198" s="182"/>
      <c r="C198" s="182"/>
      <c r="D198" s="182"/>
      <c r="E198" s="182"/>
      <c r="F198" s="182"/>
      <c r="G198" s="182"/>
      <c r="H198" s="47">
        <f>ПТО!G16</f>
        <v>150000</v>
      </c>
      <c r="I198" s="50" t="s">
        <v>73</v>
      </c>
    </row>
    <row r="199" spans="1:10" ht="18.75" customHeight="1">
      <c r="A199" s="182" t="str">
        <f>ПТО!F17</f>
        <v xml:space="preserve">  -  замена основания гидроизоляция конструкции ниже отметки 0.000</v>
      </c>
      <c r="B199" s="182"/>
      <c r="C199" s="182"/>
      <c r="D199" s="182"/>
      <c r="E199" s="182"/>
      <c r="F199" s="182"/>
      <c r="G199" s="182"/>
      <c r="H199" s="47">
        <f>ПТО!G17</f>
        <v>500000</v>
      </c>
      <c r="I199" s="48" t="s">
        <v>73</v>
      </c>
    </row>
    <row r="200" spans="1:10" hidden="1">
      <c r="A200" s="182">
        <f>ПТО!F18</f>
        <v>0</v>
      </c>
      <c r="B200" s="182"/>
      <c r="C200" s="182"/>
      <c r="D200" s="182"/>
      <c r="E200" s="182"/>
      <c r="F200" s="182"/>
      <c r="G200" s="182"/>
      <c r="H200" s="47">
        <f>ПТО!G18</f>
        <v>0</v>
      </c>
      <c r="I200" s="48" t="s">
        <v>73</v>
      </c>
    </row>
    <row r="201" spans="1:10" hidden="1">
      <c r="A201" s="182">
        <f>ПТО!F19</f>
        <v>0</v>
      </c>
      <c r="B201" s="182"/>
      <c r="C201" s="182"/>
      <c r="D201" s="182"/>
      <c r="E201" s="182"/>
      <c r="F201" s="182"/>
      <c r="G201" s="182"/>
      <c r="H201" s="47">
        <f>ПТО!G19</f>
        <v>0</v>
      </c>
      <c r="I201" s="48" t="s">
        <v>73</v>
      </c>
    </row>
    <row r="202" spans="1:10" hidden="1">
      <c r="A202" s="182">
        <f>ПТО!F20</f>
        <v>0</v>
      </c>
      <c r="B202" s="182"/>
      <c r="C202" s="182"/>
      <c r="D202" s="182"/>
      <c r="E202" s="182"/>
      <c r="F202" s="182"/>
      <c r="G202" s="182"/>
      <c r="H202" s="47">
        <f>ПТО!G20</f>
        <v>0</v>
      </c>
      <c r="I202" s="48" t="s">
        <v>73</v>
      </c>
    </row>
    <row r="203" spans="1:10" hidden="1">
      <c r="A203" s="182">
        <f>ПТО!F21</f>
        <v>0</v>
      </c>
      <c r="B203" s="182"/>
      <c r="C203" s="182"/>
      <c r="D203" s="182"/>
      <c r="E203" s="182"/>
      <c r="F203" s="182"/>
      <c r="G203" s="182"/>
      <c r="H203" s="47">
        <f>ПТО!G21</f>
        <v>0</v>
      </c>
      <c r="I203" s="48" t="s">
        <v>73</v>
      </c>
    </row>
    <row r="204" spans="1:10" hidden="1">
      <c r="A204" s="182">
        <f>ПТО!F22</f>
        <v>0</v>
      </c>
      <c r="B204" s="182"/>
      <c r="C204" s="182"/>
      <c r="D204" s="182"/>
      <c r="E204" s="182"/>
      <c r="F204" s="182"/>
      <c r="G204" s="182"/>
      <c r="H204" s="47">
        <f>ПТО!G22</f>
        <v>0</v>
      </c>
      <c r="I204" s="48" t="s">
        <v>73</v>
      </c>
    </row>
    <row r="205" spans="1:10" hidden="1">
      <c r="A205" s="182">
        <f>ПТО!F23</f>
        <v>0</v>
      </c>
      <c r="B205" s="182"/>
      <c r="C205" s="182"/>
      <c r="D205" s="182"/>
      <c r="E205" s="182"/>
      <c r="F205" s="182"/>
      <c r="G205" s="182"/>
      <c r="H205" s="47">
        <f>ПТО!G23</f>
        <v>0</v>
      </c>
      <c r="I205" s="48" t="s">
        <v>73</v>
      </c>
    </row>
    <row r="206" spans="1:10" hidden="1">
      <c r="A206" s="182">
        <f>ПТО!F24</f>
        <v>0</v>
      </c>
      <c r="B206" s="182"/>
      <c r="C206" s="182"/>
      <c r="D206" s="182"/>
      <c r="E206" s="182"/>
      <c r="F206" s="182"/>
      <c r="G206" s="182"/>
      <c r="H206" s="47">
        <f>ПТО!G24</f>
        <v>0</v>
      </c>
      <c r="I206" s="48" t="s">
        <v>73</v>
      </c>
    </row>
    <row r="207" spans="1:10" hidden="1">
      <c r="A207" s="182">
        <f>ПТО!F25</f>
        <v>0</v>
      </c>
      <c r="B207" s="182"/>
      <c r="C207" s="182"/>
      <c r="D207" s="182"/>
      <c r="E207" s="182"/>
      <c r="F207" s="182"/>
      <c r="G207" s="182"/>
      <c r="H207" s="47">
        <f>ПТО!G25</f>
        <v>0</v>
      </c>
      <c r="I207" s="48" t="s">
        <v>73</v>
      </c>
    </row>
    <row r="208" spans="1:10" hidden="1">
      <c r="A208" s="182">
        <f>ПТО!F26</f>
        <v>0</v>
      </c>
      <c r="B208" s="182"/>
      <c r="C208" s="182"/>
      <c r="D208" s="182"/>
      <c r="E208" s="182"/>
      <c r="F208" s="182"/>
      <c r="G208" s="182"/>
      <c r="H208" s="47">
        <f>ПТО!G26</f>
        <v>0</v>
      </c>
      <c r="I208" s="48" t="s">
        <v>73</v>
      </c>
    </row>
    <row r="209" spans="1:9" hidden="1">
      <c r="A209" s="182">
        <f>ПТО!F27</f>
        <v>0</v>
      </c>
      <c r="B209" s="182"/>
      <c r="C209" s="182"/>
      <c r="D209" s="182"/>
      <c r="E209" s="182"/>
      <c r="F209" s="182"/>
      <c r="G209" s="182"/>
      <c r="H209" s="47">
        <f>ПТО!G27</f>
        <v>0</v>
      </c>
      <c r="I209" s="48" t="s">
        <v>73</v>
      </c>
    </row>
    <row r="210" spans="1:9" hidden="1">
      <c r="A210" s="182">
        <f>ПТО!F28</f>
        <v>0</v>
      </c>
      <c r="B210" s="182"/>
      <c r="C210" s="182"/>
      <c r="D210" s="182"/>
      <c r="E210" s="182"/>
      <c r="F210" s="182"/>
      <c r="G210" s="182"/>
      <c r="H210" s="47">
        <f>ПТО!G28</f>
        <v>0</v>
      </c>
      <c r="I210" s="48" t="s">
        <v>73</v>
      </c>
    </row>
    <row r="211" spans="1:9" hidden="1">
      <c r="A211" s="182">
        <f>ПТО!F29</f>
        <v>0</v>
      </c>
      <c r="B211" s="182"/>
      <c r="C211" s="182"/>
      <c r="D211" s="182"/>
      <c r="E211" s="182"/>
      <c r="F211" s="182"/>
      <c r="G211" s="182"/>
      <c r="H211" s="47">
        <f>ПТО!G29</f>
        <v>0</v>
      </c>
      <c r="I211" s="48" t="s">
        <v>73</v>
      </c>
    </row>
    <row r="212" spans="1:9" hidden="1">
      <c r="A212" s="182">
        <f>ПТО!F30</f>
        <v>0</v>
      </c>
      <c r="B212" s="182"/>
      <c r="C212" s="182"/>
      <c r="D212" s="182"/>
      <c r="E212" s="182"/>
      <c r="F212" s="182"/>
      <c r="G212" s="182"/>
      <c r="H212" s="47">
        <f>ПТО!G30</f>
        <v>0</v>
      </c>
      <c r="I212" s="48" t="s">
        <v>73</v>
      </c>
    </row>
    <row r="213" spans="1:9" hidden="1">
      <c r="A213" s="182">
        <f>ПТО!F31</f>
        <v>0</v>
      </c>
      <c r="B213" s="182"/>
      <c r="C213" s="182"/>
      <c r="D213" s="182"/>
      <c r="E213" s="182"/>
      <c r="F213" s="182"/>
      <c r="G213" s="182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725505</v>
      </c>
      <c r="I214" s="54" t="s">
        <v>76</v>
      </c>
    </row>
  </sheetData>
  <sheetProtection algorithmName="SHA-512" hashValue="ijxNJZi+xgKIQOrRs+YYRamoKByIZSPZ1ZGt/TYKAppAp2N5TW/+FnIQKjS8k7/2YLHnQ1QUZadTz2MG0YuFDA==" saltValue="vuj/H8Nytysm4q3lwCPw9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3" ht="110.25" customHeight="1" thickBot="1">
      <c r="A1" s="135" t="s">
        <v>19</v>
      </c>
      <c r="B1" s="135" t="s">
        <v>56</v>
      </c>
      <c r="C1" s="135" t="s">
        <v>21</v>
      </c>
      <c r="D1" s="135" t="s">
        <v>20</v>
      </c>
      <c r="E1" s="136"/>
      <c r="F1" s="99" t="s">
        <v>188</v>
      </c>
      <c r="G1" s="100">
        <f>-201142.29</f>
        <v>-201142.29</v>
      </c>
      <c r="H1" s="122"/>
      <c r="I1" s="122"/>
      <c r="J1" s="122"/>
      <c r="K1" s="122"/>
      <c r="L1" s="130"/>
      <c r="M1" s="130"/>
    </row>
    <row r="2" spans="1:13" ht="18.75" customHeight="1">
      <c r="A2" s="138" t="s">
        <v>181</v>
      </c>
      <c r="B2" s="139" t="s">
        <v>182</v>
      </c>
      <c r="C2" s="140">
        <v>6</v>
      </c>
      <c r="D2" s="141">
        <f>5240/12*6</f>
        <v>2620</v>
      </c>
      <c r="E2" s="137"/>
      <c r="F2" s="32"/>
      <c r="G2" s="32"/>
      <c r="L2" s="33" t="str">
        <f t="shared" ref="L2:L22" si="0">IF(A2&gt;0,"ТР",0)</f>
        <v>ТР</v>
      </c>
    </row>
    <row r="3" spans="1:13" ht="18.75" customHeight="1">
      <c r="A3" s="142" t="s">
        <v>190</v>
      </c>
      <c r="B3" s="143" t="s">
        <v>189</v>
      </c>
      <c r="C3" s="144">
        <v>1</v>
      </c>
      <c r="D3" s="145">
        <v>1999</v>
      </c>
      <c r="E3" s="146" t="s">
        <v>191</v>
      </c>
      <c r="F3" s="30"/>
      <c r="G3" s="30"/>
      <c r="L3" s="33" t="str">
        <f t="shared" si="0"/>
        <v>ТР</v>
      </c>
    </row>
    <row r="4" spans="1:13" ht="18.75" customHeight="1">
      <c r="A4" s="147" t="s">
        <v>192</v>
      </c>
      <c r="B4" s="148" t="s">
        <v>189</v>
      </c>
      <c r="C4" s="140">
        <v>1</v>
      </c>
      <c r="D4" s="141">
        <v>7677</v>
      </c>
      <c r="E4" s="137" t="s">
        <v>193</v>
      </c>
      <c r="F4" s="30"/>
      <c r="G4" s="30"/>
      <c r="L4" s="33" t="str">
        <f t="shared" si="0"/>
        <v>ТР</v>
      </c>
    </row>
    <row r="5" spans="1:13" ht="18.75" customHeight="1">
      <c r="A5" s="131"/>
      <c r="B5" s="132"/>
      <c r="C5" s="41"/>
      <c r="D5" s="45"/>
      <c r="E5" s="122"/>
      <c r="F5" s="43"/>
      <c r="G5" s="43"/>
      <c r="K5" s="45"/>
      <c r="L5" s="33">
        <f t="shared" si="0"/>
        <v>0</v>
      </c>
    </row>
    <row r="6" spans="1:13" ht="18.75" customHeight="1">
      <c r="A6" s="133"/>
      <c r="B6" s="134"/>
      <c r="C6" s="41"/>
      <c r="D6" s="45"/>
      <c r="E6" s="122"/>
      <c r="F6" s="43"/>
      <c r="G6" s="43"/>
      <c r="K6" s="45"/>
      <c r="L6" s="33">
        <f t="shared" si="0"/>
        <v>0</v>
      </c>
    </row>
    <row r="7" spans="1:13" ht="18.75" customHeight="1">
      <c r="A7" s="133"/>
      <c r="B7" s="134"/>
      <c r="C7" s="41"/>
      <c r="D7" s="45"/>
      <c r="E7" s="122"/>
      <c r="F7" s="44"/>
      <c r="G7" s="44"/>
      <c r="K7" s="45"/>
      <c r="L7" s="33">
        <f t="shared" si="0"/>
        <v>0</v>
      </c>
    </row>
    <row r="8" spans="1:13" ht="18.75" customHeight="1">
      <c r="A8" s="124"/>
      <c r="B8" s="125"/>
      <c r="C8" s="126"/>
      <c r="D8" s="127"/>
      <c r="E8" s="127"/>
      <c r="F8" s="44"/>
      <c r="G8" s="44"/>
      <c r="K8" s="42"/>
      <c r="L8" s="33">
        <f t="shared" si="0"/>
        <v>0</v>
      </c>
    </row>
    <row r="9" spans="1:13">
      <c r="A9" s="43"/>
      <c r="B9" s="116"/>
      <c r="C9" s="41"/>
      <c r="D9" s="42"/>
      <c r="E9" s="43"/>
      <c r="F9" s="43"/>
      <c r="G9" s="43"/>
      <c r="K9" s="42"/>
      <c r="L9" s="33">
        <f t="shared" si="0"/>
        <v>0</v>
      </c>
    </row>
    <row r="10" spans="1:13">
      <c r="A10" s="96"/>
      <c r="D10" s="45"/>
      <c r="L10" s="33">
        <f t="shared" si="0"/>
        <v>0</v>
      </c>
    </row>
    <row r="11" spans="1:13" ht="94.5">
      <c r="A11" s="30"/>
      <c r="F11" s="110" t="s">
        <v>184</v>
      </c>
      <c r="G11" s="110"/>
      <c r="L11" s="33">
        <f t="shared" si="0"/>
        <v>0</v>
      </c>
    </row>
    <row r="12" spans="1:13" ht="31.5">
      <c r="A12" s="30"/>
      <c r="F12" s="111" t="s">
        <v>72</v>
      </c>
      <c r="G12" s="112">
        <v>1200</v>
      </c>
      <c r="L12" s="33">
        <f t="shared" si="0"/>
        <v>0</v>
      </c>
    </row>
    <row r="13" spans="1:13" ht="31.5">
      <c r="A13" s="30"/>
      <c r="F13" s="111" t="s">
        <v>74</v>
      </c>
      <c r="G13" s="112">
        <v>4305</v>
      </c>
      <c r="L13" s="33">
        <f t="shared" si="0"/>
        <v>0</v>
      </c>
    </row>
    <row r="14" spans="1:13" ht="15.75">
      <c r="A14" s="30"/>
      <c r="F14" s="128" t="s">
        <v>179</v>
      </c>
      <c r="G14" s="129">
        <v>25000</v>
      </c>
      <c r="L14" s="33">
        <f t="shared" si="0"/>
        <v>0</v>
      </c>
    </row>
    <row r="15" spans="1:13" ht="15.75">
      <c r="A15" s="30"/>
      <c r="F15" s="128" t="s">
        <v>180</v>
      </c>
      <c r="G15" s="129">
        <v>45000</v>
      </c>
      <c r="L15" s="33">
        <f t="shared" si="0"/>
        <v>0</v>
      </c>
    </row>
    <row r="16" spans="1:13" ht="15.75">
      <c r="A16" s="30"/>
      <c r="F16" s="111" t="s">
        <v>183</v>
      </c>
      <c r="G16" s="112">
        <v>150000</v>
      </c>
      <c r="L16" s="33">
        <f t="shared" si="0"/>
        <v>0</v>
      </c>
    </row>
    <row r="17" spans="1:12" ht="31.5">
      <c r="A17" s="30"/>
      <c r="F17" s="153" t="s">
        <v>195</v>
      </c>
      <c r="G17" s="154">
        <v>500000</v>
      </c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149" t="s">
        <v>22</v>
      </c>
      <c r="B39" s="150">
        <f>G39*F39*'Абонентский отдел'!$F$1</f>
        <v>100161.88799999999</v>
      </c>
      <c r="C39" s="150" t="s">
        <v>67</v>
      </c>
      <c r="D39" s="151">
        <v>12</v>
      </c>
      <c r="E39" s="34"/>
      <c r="F39" s="121">
        <v>3.76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100161.88799999999</v>
      </c>
      <c r="O39" s="39" t="str">
        <f>C39</f>
        <v>Ежемесячно</v>
      </c>
      <c r="P39">
        <f>D39</f>
        <v>12</v>
      </c>
    </row>
    <row r="40" spans="1:16" ht="31.5" customHeight="1">
      <c r="A40" s="149" t="s">
        <v>174</v>
      </c>
      <c r="B40" s="150">
        <f>G40*F40*'Абонентский отдел'!$F$1</f>
        <v>67928.94</v>
      </c>
      <c r="C40" s="150" t="s">
        <v>67</v>
      </c>
      <c r="D40" s="151">
        <v>12</v>
      </c>
      <c r="E40" s="34"/>
      <c r="F40" s="121">
        <v>2.5499999999999998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67928.94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9" t="s">
        <v>194</v>
      </c>
      <c r="B41" s="150">
        <f>G41*F41*'Абонентский отдел'!$F$1</f>
        <v>45285.96</v>
      </c>
      <c r="C41" s="150" t="s">
        <v>68</v>
      </c>
      <c r="D41" s="151">
        <v>12</v>
      </c>
      <c r="E41" s="34"/>
      <c r="F41" s="121">
        <v>1.7</v>
      </c>
      <c r="G41" s="3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45285.96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9" t="s">
        <v>23</v>
      </c>
      <c r="B42" s="150">
        <f>G42*F42*'Абонентский отдел'!$F$1</f>
        <v>31966.559999999998</v>
      </c>
      <c r="C42" s="150" t="s">
        <v>67</v>
      </c>
      <c r="D42" s="151">
        <v>12</v>
      </c>
      <c r="E42" s="34"/>
      <c r="F42" s="152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31966.559999999998</v>
      </c>
      <c r="O42" s="39" t="str">
        <f t="shared" si="5"/>
        <v>Ежемесячно</v>
      </c>
      <c r="P42">
        <f t="shared" si="6"/>
        <v>12</v>
      </c>
    </row>
    <row r="43" spans="1:16" ht="15.75">
      <c r="A43" s="149"/>
      <c r="B43" s="150"/>
      <c r="C43" s="150"/>
      <c r="D43" s="151"/>
      <c r="E43" s="34"/>
      <c r="F43" s="121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9" t="s">
        <v>24</v>
      </c>
      <c r="B44" s="150">
        <f>G44*F44*'Абонентский отдел'!$F$1</f>
        <v>9323.5799999999981</v>
      </c>
      <c r="C44" s="150" t="s">
        <v>69</v>
      </c>
      <c r="D44" s="151">
        <v>12</v>
      </c>
      <c r="E44" s="34"/>
      <c r="F44" s="152">
        <v>0.35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9323.5799999999981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9" t="s">
        <v>25</v>
      </c>
      <c r="B45" s="150">
        <f>G45*F45*'Абонентский отдел'!$F$1</f>
        <v>46884.288000000008</v>
      </c>
      <c r="C45" s="150" t="s">
        <v>68</v>
      </c>
      <c r="D45" s="151">
        <v>12</v>
      </c>
      <c r="E45" s="34"/>
      <c r="F45" s="152">
        <v>1.76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46884.288000000008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49" t="s">
        <v>175</v>
      </c>
      <c r="B46" s="150">
        <f>G46*F46*'Абонентский отдел'!$F$1</f>
        <v>106288.81200000001</v>
      </c>
      <c r="C46" s="150" t="s">
        <v>67</v>
      </c>
      <c r="D46" s="151">
        <v>12</v>
      </c>
      <c r="F46" s="152">
        <v>3.99</v>
      </c>
      <c r="G46" s="31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106288.81200000001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7"/>
      <c r="C47" s="118"/>
      <c r="D47" s="119"/>
      <c r="E47" s="117"/>
      <c r="F47" s="117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6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6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6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6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6:16">
      <c r="F53" s="120"/>
      <c r="G53" s="121"/>
      <c r="I53" s="120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9" spans="6:16">
      <c r="F59" s="120"/>
      <c r="G59" s="121"/>
    </row>
    <row r="63" spans="6:16">
      <c r="F63" s="120"/>
      <c r="G63" s="121"/>
    </row>
    <row r="65" spans="4:13" ht="18.75" customHeight="1">
      <c r="D65" s="98"/>
      <c r="J65" s="98"/>
      <c r="K65" s="98"/>
      <c r="L65" s="98"/>
      <c r="M65" s="98"/>
    </row>
    <row r="66" spans="4:13" ht="18.75" customHeight="1">
      <c r="D66" s="101"/>
      <c r="F66" s="120"/>
      <c r="G66" s="121"/>
      <c r="J66" s="101"/>
      <c r="M66" s="1"/>
    </row>
    <row r="67" spans="4:13" ht="18.75" customHeight="1">
      <c r="D67" s="101"/>
      <c r="J67" s="101"/>
      <c r="M67" s="1"/>
    </row>
    <row r="68" spans="4:13" ht="18.75" customHeight="1">
      <c r="D68" s="101"/>
      <c r="J68" s="101"/>
      <c r="M68" s="1"/>
    </row>
    <row r="69" spans="4:13" ht="18.75" customHeight="1">
      <c r="D69" s="101"/>
      <c r="E69" s="47"/>
      <c r="F69" s="48"/>
      <c r="G69" s="101"/>
      <c r="H69" s="101"/>
      <c r="I69" s="101"/>
      <c r="J69" s="101"/>
      <c r="M69" s="1"/>
    </row>
    <row r="70" spans="4:13" ht="18.75" customHeight="1">
      <c r="D70" s="101"/>
      <c r="E70" s="49"/>
      <c r="F70" s="50"/>
      <c r="G70" s="101"/>
      <c r="H70" s="101"/>
      <c r="I70" s="101"/>
      <c r="J70" s="101"/>
      <c r="M70" s="1"/>
    </row>
    <row r="71" spans="4:13" ht="18.75" customHeight="1">
      <c r="D71" s="101"/>
      <c r="E71" s="47"/>
      <c r="F71" s="48"/>
      <c r="G71" s="101"/>
      <c r="H71" s="101"/>
      <c r="I71" s="101"/>
      <c r="J71" s="101"/>
      <c r="M71" s="1"/>
    </row>
  </sheetData>
  <sheetProtection algorithmName="SHA-512" hashValue="OEIYR9wcRn45wyE5jEszypzm22ug6uCNXp5wUYy8zXQCnOsrd8zJ2RchWE9T3HbV2pZGg5tL7+7KKzMZouTLZA==" saltValue="46UHfmBAIrzP6QldjHI+/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177</v>
      </c>
      <c r="F1" s="58">
        <v>2219.9</v>
      </c>
    </row>
    <row r="2" spans="1:10" ht="15.75" customHeight="1">
      <c r="A2" s="68" t="s">
        <v>81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4</v>
      </c>
      <c r="C4" s="81">
        <v>134849.03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5</v>
      </c>
      <c r="C5" s="77">
        <f>SUM(C6:C8)</f>
        <v>527293.51199999999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6</v>
      </c>
      <c r="C6" s="81">
        <v>401025.6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7</v>
      </c>
      <c r="C7" s="81">
        <f>F1*4.74*12</f>
        <v>126267.91200000001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9</v>
      </c>
      <c r="C9" s="77">
        <f>SUM(C10:C14)</f>
        <v>559888.12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10</v>
      </c>
      <c r="C10" s="81">
        <v>559888.12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15</v>
      </c>
      <c r="C15" s="77">
        <f>C9</f>
        <v>559888.12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18</v>
      </c>
      <c r="C18" s="77">
        <f>IF(C16&gt;0,0,IF(C4&gt;0,C4+C5-C9,C5-C2-C9))</f>
        <v>102254.42200000002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86"/>
      <c r="N20" s="60"/>
    </row>
    <row r="21" spans="1:15" ht="15.75" customHeight="1">
      <c r="A21" s="68" t="s">
        <v>99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86"/>
      <c r="N21" s="60"/>
    </row>
    <row r="22" spans="1:15" ht="15.75" customHeight="1">
      <c r="A22" s="68" t="s">
        <v>100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86"/>
      <c r="N22" s="60"/>
    </row>
    <row r="23" spans="1:15" ht="15.75" customHeight="1">
      <c r="A23" s="68" t="s">
        <v>101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86"/>
      <c r="N23" s="60"/>
    </row>
    <row r="24" spans="1:15" ht="18.75">
      <c r="A24" s="71" t="s">
        <v>161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85"/>
      <c r="N25" s="61"/>
    </row>
    <row r="26" spans="1:15" ht="18.75" customHeight="1">
      <c r="A26" s="68" t="s">
        <v>103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85"/>
      <c r="N26" s="61"/>
    </row>
    <row r="27" spans="1:15" ht="18.75" customHeight="1">
      <c r="A27" s="68" t="s">
        <v>104</v>
      </c>
      <c r="B27" s="73" t="s">
        <v>4</v>
      </c>
      <c r="C27" s="84">
        <v>104319.3</v>
      </c>
      <c r="D27" s="79" t="s">
        <v>59</v>
      </c>
      <c r="E27" s="62"/>
      <c r="F27" s="62"/>
      <c r="G27" s="62"/>
      <c r="H27" s="62"/>
      <c r="I27" s="62"/>
      <c r="J27" s="62"/>
      <c r="M27" s="185"/>
      <c r="N27" s="61"/>
    </row>
    <row r="28" spans="1:15" ht="18.75" customHeight="1">
      <c r="A28" s="68" t="s">
        <v>105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85"/>
      <c r="N28" s="61"/>
    </row>
    <row r="29" spans="1:15" ht="18.75" customHeight="1">
      <c r="A29" s="68" t="s">
        <v>106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85"/>
      <c r="N29" s="61"/>
    </row>
    <row r="30" spans="1:15" ht="18.75" customHeight="1">
      <c r="A30" s="68" t="s">
        <v>107</v>
      </c>
      <c r="B30" s="73" t="s">
        <v>18</v>
      </c>
      <c r="C30" s="84">
        <f>C27+E37+E45+E53+E61-C39-C47-C55-C63</f>
        <v>67832.610000000059</v>
      </c>
      <c r="D30" s="79" t="s">
        <v>65</v>
      </c>
      <c r="E30" s="62"/>
      <c r="F30" s="62"/>
      <c r="G30" s="62"/>
      <c r="H30" s="62"/>
      <c r="I30" s="62"/>
      <c r="J30" s="62"/>
      <c r="M30" s="185"/>
      <c r="N30" s="61"/>
    </row>
    <row r="31" spans="1:15" ht="18.75" customHeight="1">
      <c r="A31" s="68" t="s">
        <v>108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85"/>
      <c r="N31" s="61"/>
    </row>
    <row r="32" spans="1:15" ht="18.75" customHeight="1">
      <c r="A32" s="68" t="s">
        <v>109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85"/>
      <c r="N32" s="61"/>
    </row>
    <row r="33" spans="1:15" ht="18.75" customHeight="1">
      <c r="A33" s="68" t="s">
        <v>110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85"/>
      <c r="N33" s="61"/>
    </row>
    <row r="34" spans="1:15" ht="18.75" customHeight="1">
      <c r="A34" s="68" t="s">
        <v>111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85"/>
      <c r="N34" s="61"/>
    </row>
    <row r="35" spans="1:15" ht="18.75">
      <c r="A35" s="71" t="s">
        <v>162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163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190493.07</v>
      </c>
      <c r="F37" s="92" t="s">
        <v>166</v>
      </c>
      <c r="G37" s="64"/>
      <c r="H37" s="64"/>
      <c r="I37" s="64"/>
      <c r="L37" s="61"/>
      <c r="M37" s="184"/>
      <c r="N37" s="61"/>
      <c r="O37" s="61"/>
    </row>
    <row r="38" spans="1:15" ht="18.75" customHeight="1">
      <c r="A38" s="68" t="s">
        <v>112</v>
      </c>
      <c r="B38" s="76" t="s">
        <v>36</v>
      </c>
      <c r="C38" s="88">
        <f>E37/1.5</f>
        <v>126995.38</v>
      </c>
      <c r="D38" s="92" t="s">
        <v>164</v>
      </c>
      <c r="E38" s="66"/>
      <c r="G38" s="65"/>
      <c r="H38" s="65"/>
      <c r="L38" s="61"/>
      <c r="M38" s="184"/>
      <c r="N38" s="61"/>
      <c r="O38" s="61"/>
    </row>
    <row r="39" spans="1:15" ht="18.75" customHeight="1">
      <c r="A39" s="68" t="s">
        <v>113</v>
      </c>
      <c r="B39" s="76" t="s">
        <v>37</v>
      </c>
      <c r="C39" s="89">
        <v>214496.14</v>
      </c>
      <c r="D39" s="92" t="s">
        <v>165</v>
      </c>
      <c r="E39" s="66"/>
      <c r="G39" s="65"/>
      <c r="H39" s="65"/>
      <c r="L39" s="61"/>
      <c r="M39" s="184"/>
      <c r="N39" s="61"/>
      <c r="O39" s="61"/>
    </row>
    <row r="40" spans="1:15" ht="18.75" customHeight="1">
      <c r="A40" s="68" t="s">
        <v>114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184"/>
      <c r="N40" s="61"/>
      <c r="O40" s="61"/>
    </row>
    <row r="41" spans="1:15" ht="18.75" customHeight="1">
      <c r="A41" s="68" t="s">
        <v>115</v>
      </c>
      <c r="B41" s="76" t="s">
        <v>39</v>
      </c>
      <c r="C41" s="91">
        <f>E37</f>
        <v>190493.07</v>
      </c>
      <c r="D41" s="78" t="s">
        <v>58</v>
      </c>
      <c r="E41" s="66"/>
      <c r="G41" s="65"/>
      <c r="H41" s="65"/>
      <c r="L41" s="61"/>
      <c r="M41" s="184"/>
      <c r="N41" s="61"/>
      <c r="O41" s="61"/>
    </row>
    <row r="42" spans="1:15" ht="18.75" customHeight="1">
      <c r="A42" s="68" t="s">
        <v>116</v>
      </c>
      <c r="B42" s="76" t="s">
        <v>40</v>
      </c>
      <c r="C42" s="91">
        <f>E37</f>
        <v>190493.07</v>
      </c>
      <c r="D42" s="78" t="s">
        <v>58</v>
      </c>
      <c r="E42" s="66"/>
      <c r="G42" s="65"/>
      <c r="H42" s="65"/>
      <c r="L42" s="61"/>
      <c r="M42" s="184"/>
      <c r="N42" s="61"/>
      <c r="O42" s="61"/>
    </row>
    <row r="43" spans="1:15" ht="18.75" customHeight="1">
      <c r="A43" s="68" t="s">
        <v>117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84"/>
      <c r="N43" s="61"/>
      <c r="O43" s="61"/>
    </row>
    <row r="44" spans="1:15" ht="30" customHeight="1">
      <c r="A44" s="68" t="s">
        <v>118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84"/>
      <c r="N44" s="61"/>
      <c r="O44" s="61"/>
    </row>
    <row r="45" spans="1:15" ht="18.75">
      <c r="A45" s="71" t="s">
        <v>120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54039.46</v>
      </c>
      <c r="F45" s="92" t="s">
        <v>166</v>
      </c>
      <c r="G45" s="64"/>
      <c r="H45" s="64"/>
      <c r="L45" s="61"/>
      <c r="M45" s="184"/>
      <c r="N45" s="61"/>
      <c r="O45" s="61"/>
    </row>
    <row r="46" spans="1:15" ht="18.75" customHeight="1">
      <c r="A46" s="71" t="s">
        <v>121</v>
      </c>
      <c r="B46" s="76" t="s">
        <v>36</v>
      </c>
      <c r="C46" s="88">
        <f>E45/15.95</f>
        <v>3388.0539184952977</v>
      </c>
      <c r="D46" s="92" t="s">
        <v>167</v>
      </c>
      <c r="E46" s="66"/>
      <c r="G46" s="65"/>
      <c r="H46" s="65"/>
      <c r="L46" s="61"/>
      <c r="M46" s="184"/>
      <c r="N46" s="61"/>
      <c r="O46" s="61"/>
    </row>
    <row r="47" spans="1:15" ht="18.75" customHeight="1">
      <c r="A47" s="71" t="s">
        <v>122</v>
      </c>
      <c r="B47" s="76" t="s">
        <v>37</v>
      </c>
      <c r="C47" s="89">
        <v>55492.47</v>
      </c>
      <c r="D47" s="92" t="s">
        <v>165</v>
      </c>
      <c r="E47" s="66"/>
      <c r="G47" s="65"/>
      <c r="H47" s="65"/>
      <c r="L47" s="61"/>
      <c r="M47" s="184"/>
      <c r="N47" s="61"/>
      <c r="O47" s="61"/>
    </row>
    <row r="48" spans="1:15" ht="18.75" customHeight="1">
      <c r="A48" s="71" t="s">
        <v>123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84"/>
      <c r="N48" s="61"/>
      <c r="O48" s="61"/>
    </row>
    <row r="49" spans="1:15" ht="18.75" customHeight="1">
      <c r="A49" s="71" t="s">
        <v>124</v>
      </c>
      <c r="B49" s="76" t="s">
        <v>39</v>
      </c>
      <c r="C49" s="91">
        <f>E45</f>
        <v>54039.46</v>
      </c>
      <c r="D49" s="78" t="s">
        <v>58</v>
      </c>
      <c r="E49" s="66"/>
      <c r="G49" s="65"/>
      <c r="H49" s="65"/>
      <c r="L49" s="61"/>
      <c r="M49" s="184"/>
      <c r="N49" s="61"/>
      <c r="O49" s="61"/>
    </row>
    <row r="50" spans="1:15" ht="18.75" customHeight="1">
      <c r="A50" s="71" t="s">
        <v>125</v>
      </c>
      <c r="B50" s="76" t="s">
        <v>40</v>
      </c>
      <c r="C50" s="91">
        <f>E45</f>
        <v>54039.46</v>
      </c>
      <c r="D50" s="78" t="s">
        <v>58</v>
      </c>
      <c r="E50" s="66"/>
      <c r="G50" s="65"/>
      <c r="H50" s="65"/>
      <c r="L50" s="61"/>
      <c r="M50" s="184"/>
      <c r="N50" s="61"/>
      <c r="O50" s="61"/>
    </row>
    <row r="51" spans="1:15" ht="18.75" customHeight="1">
      <c r="A51" s="71" t="s">
        <v>126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84"/>
      <c r="N51" s="61"/>
      <c r="O51" s="61"/>
    </row>
    <row r="52" spans="1:15" ht="29.25" customHeight="1">
      <c r="A52" s="71" t="s">
        <v>127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84"/>
      <c r="N52" s="61"/>
      <c r="O52" s="61"/>
    </row>
    <row r="53" spans="1:15" ht="18.75">
      <c r="A53" s="71" t="s">
        <v>128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102310.26</v>
      </c>
      <c r="F53" s="92" t="s">
        <v>166</v>
      </c>
      <c r="G53" s="64"/>
      <c r="H53" s="64"/>
      <c r="L53" s="61"/>
      <c r="M53" s="184"/>
      <c r="N53" s="61"/>
      <c r="O53" s="61"/>
    </row>
    <row r="54" spans="1:15" ht="18.75" customHeight="1">
      <c r="A54" s="71" t="s">
        <v>129</v>
      </c>
      <c r="B54" s="73" t="s">
        <v>36</v>
      </c>
      <c r="C54" s="97">
        <f>E53/19.39</f>
        <v>5276.4445590510568</v>
      </c>
      <c r="D54" s="92" t="s">
        <v>167</v>
      </c>
      <c r="E54" s="67"/>
      <c r="F54" s="87"/>
      <c r="G54" s="62"/>
      <c r="H54" s="62"/>
      <c r="L54" s="61"/>
      <c r="M54" s="184"/>
      <c r="N54" s="61"/>
      <c r="O54" s="61"/>
    </row>
    <row r="55" spans="1:15" ht="18.75" customHeight="1">
      <c r="A55" s="71" t="s">
        <v>130</v>
      </c>
      <c r="B55" s="73" t="s">
        <v>37</v>
      </c>
      <c r="C55" s="84">
        <v>108575.17</v>
      </c>
      <c r="D55" s="92" t="s">
        <v>165</v>
      </c>
      <c r="E55" s="67"/>
      <c r="G55" s="62"/>
      <c r="H55" s="62"/>
      <c r="L55" s="61"/>
      <c r="M55" s="184"/>
      <c r="N55" s="61"/>
      <c r="O55" s="61"/>
    </row>
    <row r="56" spans="1:15" ht="18.75" customHeight="1">
      <c r="A56" s="71" t="s">
        <v>131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84"/>
      <c r="N56" s="61"/>
      <c r="O56" s="61"/>
    </row>
    <row r="57" spans="1:15" ht="18.75" customHeight="1">
      <c r="A57" s="71" t="s">
        <v>132</v>
      </c>
      <c r="B57" s="73" t="s">
        <v>39</v>
      </c>
      <c r="C57" s="91">
        <f>E53</f>
        <v>102310.26</v>
      </c>
      <c r="D57" s="78" t="s">
        <v>58</v>
      </c>
      <c r="E57" s="67"/>
      <c r="G57" s="62"/>
      <c r="H57" s="62"/>
      <c r="L57" s="61"/>
      <c r="M57" s="184"/>
      <c r="N57" s="61"/>
      <c r="O57" s="61"/>
    </row>
    <row r="58" spans="1:15" ht="18.75" customHeight="1">
      <c r="A58" s="71" t="s">
        <v>133</v>
      </c>
      <c r="B58" s="73" t="s">
        <v>40</v>
      </c>
      <c r="C58" s="91">
        <f>E53</f>
        <v>102310.26</v>
      </c>
      <c r="D58" s="78" t="s">
        <v>58</v>
      </c>
      <c r="E58" s="67"/>
      <c r="G58" s="62"/>
      <c r="H58" s="62"/>
      <c r="L58" s="61"/>
      <c r="M58" s="184"/>
      <c r="N58" s="61"/>
      <c r="O58" s="61"/>
    </row>
    <row r="59" spans="1:15" ht="18.75" customHeight="1">
      <c r="A59" s="71" t="s">
        <v>134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84"/>
      <c r="N59" s="61"/>
      <c r="O59" s="61"/>
    </row>
    <row r="60" spans="1:15" ht="33.75" customHeight="1">
      <c r="A60" s="71" t="s">
        <v>135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84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54</v>
      </c>
      <c r="E61" s="93">
        <v>92563.31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36</v>
      </c>
      <c r="C62" s="97">
        <f>E61/591.84</f>
        <v>156.39921262503378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37</v>
      </c>
      <c r="C63" s="84">
        <v>97329.01</v>
      </c>
      <c r="D63" s="92" t="s">
        <v>165</v>
      </c>
      <c r="E63" s="123"/>
      <c r="G63" s="62"/>
      <c r="H63" s="62"/>
    </row>
    <row r="64" spans="1:15" ht="15.75" customHeight="1">
      <c r="A64" s="71" t="s">
        <v>139</v>
      </c>
      <c r="B64" s="73" t="s">
        <v>38</v>
      </c>
      <c r="C64" s="91">
        <f>IF(E61-C63&lt;0,0,E61-C63)</f>
        <v>0</v>
      </c>
      <c r="D64" s="78" t="s">
        <v>58</v>
      </c>
      <c r="E64" s="123"/>
      <c r="G64" s="62"/>
      <c r="H64" s="62"/>
    </row>
    <row r="65" spans="1:8" ht="15.75" customHeight="1">
      <c r="A65" s="71" t="s">
        <v>140</v>
      </c>
      <c r="B65" s="73" t="s">
        <v>39</v>
      </c>
      <c r="C65" s="91">
        <f>E61</f>
        <v>92563.31</v>
      </c>
      <c r="D65" s="78" t="s">
        <v>58</v>
      </c>
      <c r="E65" s="123"/>
      <c r="G65" s="62"/>
      <c r="H65" s="62"/>
    </row>
    <row r="66" spans="1:8" ht="15.75" customHeight="1">
      <c r="A66" s="71" t="s">
        <v>141</v>
      </c>
      <c r="B66" s="73" t="s">
        <v>40</v>
      </c>
      <c r="C66" s="91">
        <f>E61</f>
        <v>92563.31</v>
      </c>
      <c r="D66" s="78" t="s">
        <v>58</v>
      </c>
      <c r="E66" s="123"/>
      <c r="G66" s="62"/>
      <c r="H66" s="62"/>
    </row>
    <row r="67" spans="1:8" ht="15.75" customHeight="1">
      <c r="A67" s="71" t="s">
        <v>142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143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54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36</v>
      </c>
      <c r="C70" s="97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37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148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149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150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151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36</v>
      </c>
      <c r="C78" s="97"/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37</v>
      </c>
      <c r="C79" s="84"/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156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157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158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159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I15" sqref="I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44</v>
      </c>
      <c r="C2" s="104"/>
      <c r="D2" s="106" t="s">
        <v>66</v>
      </c>
      <c r="E2" s="62"/>
      <c r="F2" s="62"/>
      <c r="G2" s="62"/>
      <c r="H2" s="62"/>
      <c r="I2" s="62"/>
      <c r="J2" s="62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45</v>
      </c>
      <c r="C3" s="104">
        <v>4</v>
      </c>
      <c r="D3" s="106" t="s">
        <v>66</v>
      </c>
      <c r="E3" s="62"/>
      <c r="F3" s="62"/>
      <c r="G3" s="62"/>
      <c r="H3" s="62"/>
      <c r="I3" s="62"/>
      <c r="J3" s="62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7" t="s">
        <v>46</v>
      </c>
      <c r="C4" s="105">
        <v>102250</v>
      </c>
      <c r="D4" s="106" t="s">
        <v>66</v>
      </c>
      <c r="E4" s="62"/>
      <c r="F4" s="62"/>
      <c r="G4" s="62"/>
      <c r="H4" s="62"/>
      <c r="I4" s="62"/>
      <c r="J4" s="62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2025-03-27T00:25:29Z</dcterms:modified>
</cp:coreProperties>
</file>