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1" i="1"/>
  <c r="A100" i="1"/>
  <c r="A97" i="1"/>
  <c r="G94" i="1"/>
  <c r="F94" i="1"/>
  <c r="D94" i="1"/>
  <c r="K94" i="1"/>
  <c r="A113" i="1" l="1"/>
  <c r="A114" i="1"/>
  <c r="A110" i="1"/>
  <c r="F110" i="1"/>
  <c r="A105" i="1"/>
  <c r="A119" i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F183" i="1" l="1"/>
  <c r="H183" i="1"/>
  <c r="H178" i="1"/>
  <c r="H164" i="1"/>
  <c r="F179" i="1"/>
  <c r="H179" i="1"/>
  <c r="F178" i="1"/>
  <c r="H172" i="1"/>
  <c r="F164" i="1"/>
  <c r="F185" i="1"/>
  <c r="F172" i="1"/>
  <c r="H185" i="1"/>
  <c r="F186" i="1"/>
  <c r="H171" i="1"/>
  <c r="F176" i="1"/>
  <c r="F182" i="1"/>
  <c r="H169" i="1"/>
  <c r="H186" i="1"/>
  <c r="F169" i="1"/>
  <c r="F180" i="1"/>
  <c r="F187" i="1"/>
  <c r="F170" i="1"/>
  <c r="F171" i="1"/>
  <c r="H181" i="1"/>
  <c r="F181" i="1"/>
  <c r="H165" i="1"/>
  <c r="H170" i="1"/>
  <c r="H167" i="1"/>
  <c r="H177" i="1"/>
  <c r="F177" i="1"/>
  <c r="H182" i="1"/>
  <c r="H180" i="1"/>
  <c r="F167" i="1"/>
  <c r="F175" i="1"/>
  <c r="F173" i="1"/>
  <c r="H176" i="1"/>
  <c r="F166" i="1"/>
  <c r="H168" i="1"/>
  <c r="F168" i="1"/>
  <c r="H166" i="1"/>
  <c r="H173" i="1"/>
  <c r="H174" i="1"/>
  <c r="H187" i="1"/>
  <c r="F165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<sst xmlns="http://schemas.openxmlformats.org/spreadsheetml/2006/main" count="550" uniqueCount="202">
  <si>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</si>
  <si>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</si>
  <si>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</si>
  <si>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</si>
  <si>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</si>
  <si>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</si>
  <si>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</si>
  <si>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</si>
  <si>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</si>
  <si>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</si>
  <si>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</si>
  <si>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</si>
  <si>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</si>
  <si>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</si>
  <si>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</si>
  <si>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</si>
  <si>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</si>
  <si>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</si>
  <si>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</si>
  <si>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</si>
  <si>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</si>
  <si>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</si>
  <si>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</si>
  <si>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</si>
  <si>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</si>
  <si>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</si>
  <si>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</si>
  <si>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</si>
  <si>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</si>
  <si>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</si>
  <si>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</si>
  <si>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</si>
  <si>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</si>
  <si>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</si>
  <si>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</si>
  <si>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</si>
  <si>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</si>
  <si>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</si>
  <si>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</si>
  <si>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</si>
  <si>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</si>
  <si>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</si>
  <si>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</si>
  <si>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</si>
  <si>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</si>
  <si>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</si>
  <si>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</si>
  <si>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</si>
  <si>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</si>
  <si>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</si>
  <si>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</si>
  <si>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</si>
  <si>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</si>
  <si>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</si>
  <si>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</si>
  <si>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</si>
  <si>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</si>
  <si>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</si>
  <si>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</si>
  <si>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</si>
  <si>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</si>
  <si>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</si>
  <si>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</si>
  <si>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</si>
  <si>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</si>
  <si>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</si>
  <si>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</si>
  <si>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</si>
  <si>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</si>
  <si>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</si>
  <si>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</si>
  <si>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</si>
  <si>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</si>
  <si>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</si>
  <si>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</si>
  <si>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</si>
  <si>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</si>
  <si>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</si>
  <si>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</si>
  <si>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</si>
  <si>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</si>
  <si>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</si>
  <si>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</si>
  <si>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</si>
  <si>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</si>
  <si>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</si>
  <si>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</si>
  <si>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</si>
  <si>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</si>
  <si>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</si>
  <si>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</si>
  <si>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</si>
  <si>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</si>
  <si>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</si>
  <si>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</si>
  <si>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</si>
  <si>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</si>
  <si>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</si>
  <si>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</si>
  <si>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</si>
  <si>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</si>
  <si>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</si>
  <si>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</si>
  <si>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</si>
  <si>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</si>
  <si>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</si>
  <si>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</si>
  <si>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</si>
  <si>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</si>
  <si>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</si>
  <si>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</si>
  <si>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</si>
  <si>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</si>
  <si>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</si>
  <si>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</si>
  <si>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</si>
  <si>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</si>
  <si>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</si>
  <si>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</si>
  <si>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</si>
  <si>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</si>
  <si>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</si>
  <si>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</si>
  <si>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</si>
  <si>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</si>
  <si>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</si>
  <si>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</si>
  <si>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</si>
  <si>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</si>
  <si>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</si>
  <si>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</si>
  <si>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</si>
  <si>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</si>
  <si>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</si>
  <si>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</si>
  <si>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</si>
  <si>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</si>
  <si>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</si>
  <si>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</si>
  <si>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</si>
  <si>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</si>
  <si>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</si>
  <si>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</si>
  <si>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</si>
  <si>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</si>
  <si>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</si>
  <si>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</si>
  <si>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</si>
  <si>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</si>
  <si>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</si>
  <si>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</si>
  <si>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</si>
  <si>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</si>
  <si>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</si>
  <si>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</si>
  <si>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</si>
  <si>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</si>
  <si>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</si>
  <si>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</si>
  <si>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</si>
  <si>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</si>
  <si>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</si>
  <si>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</si>
  <si>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</si>
  <si>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</si>
  <si>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</si>
  <si>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</si>
  <si>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</si>
  <si>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</si>
  <si>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</si>
  <si>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</si>
  <si>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</si>
  <si>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</si>
  <si>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</si>
  <si>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</si>
  <si>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</si>
  <si>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</si>
  <si>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</si>
  <si>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</si>
  <si>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</si>
  <si>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</si>
  <si>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</si>
  <si>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</si>
  <si>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</si>
  <si>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</si>
  <si>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</si>
  <si>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</si>
  <si>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</si>
  <si>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замена тамбурной двери 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</si>
  <si>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</si>
  <si>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</si>
  <si>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</si>
  <si>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</si>
  <si>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</si>
  <si>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Изготовление и монтаж ограждения контейнерной площадки.</t>
  </si>
  <si>
    <t>Замена светильников в кабине лифта (2 шт.).</t>
  </si>
  <si>
    <t>Работы по содержанию земельного участка</t>
  </si>
  <si>
    <t>АВР 1/24 от 18.04.2024, Решение, счет №49 от 18.03.2024</t>
  </si>
  <si>
    <t>АВР 3/24 от 31.12.2024, Решение, счет №103 от 14.08.2024</t>
  </si>
  <si>
    <t>АВР 4/24 от 31.12.2024</t>
  </si>
  <si>
    <t>АВР 5/24 от 31.12.2024</t>
  </si>
  <si>
    <t>АВР 2/24 от 31.12.2024, Решение, калькуляция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</si>
</sst>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39" fillId="0" borderId="0"/>
    <xf numFmtId="0" fontId="4" fillId="0" borderId="0"/>
  </cellStyleXfs>
  <cellXfs count="201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28" fillId="0" borderId="0" xfId="5" applyFont="1" applyFill="1" applyBorder="1" applyAlignment="1">
      <alignment horizontal="center"/>
    </xf>
    <xf numFmtId="4" fontId="28" fillId="0" borderId="0" xfId="5" applyNumberFormat="1" applyFont="1" applyFill="1" applyBorder="1" applyAlignment="1"/>
    <xf numFmtId="0" fontId="14" fillId="0" borderId="0" xfId="5" applyFill="1" applyBorder="1" applyAlignment="1">
      <alignment horizontal="center"/>
    </xf>
    <xf numFmtId="0" fontId="28" fillId="0" borderId="0" xfId="5" applyFont="1" applyFill="1" applyBorder="1" applyAlignment="1"/>
    <xf numFmtId="4" fontId="14" fillId="0" borderId="0" xfId="5" applyNumberFormat="1" applyFill="1" applyBorder="1" applyAlignment="1"/>
    <xf numFmtId="0" fontId="28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2" fillId="0" borderId="0" xfId="5" applyFont="1" applyFill="1" applyBorder="1"/>
    <xf numFmtId="0" fontId="12" fillId="0" borderId="0" xfId="2" applyFont="1" applyFill="1" applyBorder="1" applyAlignment="1"/>
    <xf numFmtId="0" fontId="13" fillId="0" borderId="0" xfId="6" applyFont="1" applyFill="1" applyBorder="1" applyAlignment="1"/>
    <xf numFmtId="0" fontId="13" fillId="0" borderId="0" xfId="7" applyFont="1" applyFill="1" applyBorder="1" applyAlignment="1">
      <alignment horizontal="center"/>
    </xf>
    <xf numFmtId="0" fontId="13" fillId="0" borderId="0" xfId="7" applyFill="1" applyBorder="1" applyAlignment="1">
      <alignment horizontal="center"/>
    </xf>
    <xf numFmtId="4" fontId="13" fillId="0" borderId="0" xfId="6" applyNumberFormat="1" applyFill="1" applyBorder="1" applyAlignment="1"/>
    <xf numFmtId="0" fontId="13" fillId="0" borderId="0" xfId="6" applyFont="1" applyFill="1" applyBorder="1"/>
    <xf numFmtId="4" fontId="0" fillId="0" borderId="0" xfId="0" applyNumberFormat="1" applyBorder="1" applyAlignment="1">
      <alignment horizontal="center"/>
    </xf>
    <xf numFmtId="4" fontId="30" fillId="3" borderId="0" xfId="13" applyNumberFormat="1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21" fillId="0" borderId="0" xfId="14" applyFont="1" applyFill="1" applyBorder="1" applyAlignment="1">
      <alignment wrapText="1"/>
    </xf>
    <xf numFmtId="4" fontId="20" fillId="0" borderId="0" xfId="14" applyNumberFormat="1" applyFont="1"/>
    <xf numFmtId="0" fontId="20" fillId="0" borderId="0" xfId="0" applyFont="1" applyFill="1" applyBorder="1" applyAlignment="1">
      <alignment horizontal="left"/>
    </xf>
    <xf numFmtId="0" fontId="8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5" applyFont="1" applyFill="1" applyBorder="1"/>
    <xf numFmtId="0" fontId="5" fillId="0" borderId="0" xfId="5" applyFont="1" applyFill="1" applyBorder="1" applyAlignment="1"/>
    <xf numFmtId="0" fontId="5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0" fillId="0" borderId="0" xfId="0" applyFill="1" applyBorder="1"/>
    <xf numFmtId="0" fontId="9" fillId="0" borderId="1" xfId="2" applyFont="1" applyFill="1" applyBorder="1" applyAlignment="1"/>
    <xf numFmtId="0" fontId="9" fillId="0" borderId="1" xfId="4" applyFont="1" applyFill="1" applyBorder="1" applyAlignment="1">
      <alignment horizontal="center"/>
    </xf>
    <xf numFmtId="0" fontId="15" fillId="0" borderId="1" xfId="4" applyFill="1" applyBorder="1" applyAlignment="1">
      <alignment horizontal="center"/>
    </xf>
    <xf numFmtId="4" fontId="28" fillId="0" borderId="1" xfId="4" applyNumberFormat="1" applyFont="1" applyFill="1" applyBorder="1" applyAlignment="1"/>
    <xf numFmtId="0" fontId="0" fillId="0" borderId="1" xfId="0" applyFill="1" applyBorder="1"/>
    <xf numFmtId="0" fontId="28" fillId="0" borderId="1" xfId="5" applyFont="1" applyFill="1" applyBorder="1" applyAlignment="1"/>
    <xf numFmtId="0" fontId="28" fillId="0" borderId="1" xfId="5" applyFont="1" applyFill="1" applyBorder="1" applyAlignment="1">
      <alignment horizontal="center" vertical="center"/>
    </xf>
    <xf numFmtId="0" fontId="28" fillId="0" borderId="1" xfId="5" applyFont="1" applyFill="1" applyBorder="1" applyAlignment="1">
      <alignment horizontal="center"/>
    </xf>
    <xf numFmtId="4" fontId="28" fillId="0" borderId="1" xfId="5" applyNumberFormat="1" applyFont="1" applyFill="1" applyBorder="1" applyAlignment="1"/>
    <xf numFmtId="0" fontId="28" fillId="0" borderId="1" xfId="15" applyFont="1" applyFill="1" applyBorder="1" applyAlignment="1"/>
    <xf numFmtId="0" fontId="28" fillId="0" borderId="1" xfId="15" applyFont="1" applyFill="1" applyBorder="1" applyAlignment="1">
      <alignment horizontal="center" vertical="center"/>
    </xf>
    <xf numFmtId="0" fontId="28" fillId="0" borderId="1" xfId="15" applyFont="1" applyFill="1" applyBorder="1" applyAlignment="1">
      <alignment horizontal="center"/>
    </xf>
    <xf numFmtId="4" fontId="28" fillId="0" borderId="1" xfId="15" applyNumberFormat="1" applyFont="1" applyFill="1" applyBorder="1" applyAlignment="1"/>
    <xf numFmtId="0" fontId="3" fillId="0" borderId="1" xfId="15" applyFont="1" applyFill="1" applyBorder="1"/>
    <xf numFmtId="0" fontId="14" fillId="0" borderId="1" xfId="5" applyFill="1" applyBorder="1" applyAlignment="1"/>
    <xf numFmtId="0" fontId="14" fillId="0" borderId="1" xfId="5" applyFill="1" applyBorder="1" applyAlignment="1">
      <alignment horizontal="center"/>
    </xf>
    <xf numFmtId="0" fontId="2" fillId="0" borderId="1" xfId="5" applyFont="1" applyFill="1" applyBorder="1"/>
    <xf numFmtId="0" fontId="1" fillId="0" borderId="1" xfId="5" applyFont="1" applyFill="1" applyBorder="1"/>
    <xf numFmtId="4" fontId="14" fillId="0" borderId="1" xfId="5" applyNumberForma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8"/>
    <cellStyle name="Обычный 2 5" xfId="13"/>
    <cellStyle name="Обычный 3" xfId="2"/>
    <cellStyle name="Обычный 3 2" xfId="9"/>
    <cellStyle name="Обычный 4" xfId="4"/>
    <cellStyle name="Обычный 4 2" xfId="12"/>
    <cellStyle name="Обычный 4 2 2" xfId="7"/>
    <cellStyle name="Обычный 4 3" xfId="10"/>
    <cellStyle name="Обычный 5" xfId="5"/>
    <cellStyle name="Обычный 5 2" xfId="11"/>
    <cellStyle name="Обычный 5 2 2 2" xfId="15"/>
    <cellStyle name="Обычный 5 3" xfId="6"/>
    <cellStyle name="Обычный 6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8"/>
      <c r="L1" s="108"/>
      <c r="M1" s="108"/>
      <c r="N1" s="108"/>
    </row>
    <row r="2" spans="1:18" ht="42" customHeight="1">
      <c r="A2" s="191" t="s">
        <v>177</v>
      </c>
      <c r="B2" s="191"/>
      <c r="C2" s="191"/>
      <c r="D2" s="191"/>
      <c r="E2" s="191"/>
      <c r="F2" s="191"/>
      <c r="G2" s="191"/>
      <c r="H2" s="191"/>
      <c r="I2" s="191"/>
      <c r="J2" s="19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184</v>
      </c>
      <c r="E4" s="116">
        <v>45292</v>
      </c>
      <c r="K4" s="108"/>
      <c r="L4" s="108"/>
      <c r="M4" s="108"/>
      <c r="N4" s="108"/>
    </row>
    <row r="5" spans="1:18">
      <c r="A5" s="1" t="s">
        <v>0</v>
      </c>
      <c r="E5" s="116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31</v>
      </c>
      <c r="K7" s="108"/>
      <c r="L7" s="108"/>
      <c r="M7" s="108"/>
      <c r="N7" s="108"/>
    </row>
    <row r="8" spans="1:18" ht="18.75" customHeight="1" outlineLevel="1">
      <c r="A8" s="188" t="s">
        <v>1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8"/>
      <c r="L8" s="192"/>
      <c r="M8" s="108"/>
      <c r="N8" s="108"/>
      <c r="O8" s="69" t="s">
        <v>82</v>
      </c>
      <c r="R8" s="16"/>
    </row>
    <row r="9" spans="1:18" ht="18.75" customHeight="1" outlineLevel="1">
      <c r="A9" s="188" t="s">
        <v>2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8"/>
      <c r="L9" s="192"/>
      <c r="M9" s="108"/>
      <c r="N9" s="108"/>
      <c r="O9" s="69" t="s">
        <v>83</v>
      </c>
    </row>
    <row r="10" spans="1:18" ht="18.75" customHeight="1" outlineLevel="1">
      <c r="A10" s="188" t="s">
        <v>3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87278.18</v>
      </c>
      <c r="K10" s="108"/>
      <c r="L10" s="192"/>
      <c r="M10" s="108"/>
      <c r="N10" s="108"/>
      <c r="O10" s="69" t="s">
        <v>84</v>
      </c>
    </row>
    <row r="11" spans="1:18" outlineLevel="1">
      <c r="A11" s="188" t="s">
        <v>4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657807.43200000003</v>
      </c>
      <c r="K11" s="108"/>
      <c r="L11" s="192"/>
      <c r="M11" s="108"/>
      <c r="N11" s="108"/>
      <c r="O11" s="69" t="s">
        <v>85</v>
      </c>
    </row>
    <row r="12" spans="1:18" ht="18.75" customHeight="1" outlineLevel="1">
      <c r="A12" s="188" t="s">
        <v>5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496956.48</v>
      </c>
      <c r="K12" s="108"/>
      <c r="L12" s="192"/>
      <c r="M12" s="108"/>
      <c r="N12" s="108"/>
      <c r="O12" s="69" t="s">
        <v>86</v>
      </c>
    </row>
    <row r="13" spans="1:18" ht="18.75" customHeight="1" outlineLevel="1">
      <c r="A13" s="188" t="s">
        <v>6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160850.95200000002</v>
      </c>
      <c r="K13" s="108"/>
      <c r="L13" s="192"/>
      <c r="M13" s="108"/>
      <c r="N13" s="108"/>
      <c r="O13" s="69" t="s">
        <v>87</v>
      </c>
    </row>
    <row r="14" spans="1:18" ht="18.75" customHeight="1" outlineLevel="1">
      <c r="A14" s="188" t="s">
        <v>7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8"/>
      <c r="L14" s="192"/>
      <c r="M14" s="108"/>
      <c r="N14" s="108"/>
      <c r="O14" s="69" t="s">
        <v>88</v>
      </c>
    </row>
    <row r="15" spans="1:18" ht="18.75" customHeight="1" outlineLevel="1">
      <c r="A15" s="188" t="s">
        <v>8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724839.35</v>
      </c>
      <c r="K15" s="108"/>
      <c r="L15" s="192"/>
      <c r="M15" s="108"/>
      <c r="N15" s="108"/>
      <c r="O15" s="69" t="s">
        <v>89</v>
      </c>
    </row>
    <row r="16" spans="1:18" ht="18.75" customHeight="1" outlineLevel="1">
      <c r="A16" s="188" t="s">
        <v>9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724839.35</v>
      </c>
      <c r="K16" s="108"/>
      <c r="L16" s="192"/>
      <c r="M16" s="108"/>
      <c r="N16" s="108"/>
      <c r="O16" s="69" t="s">
        <v>90</v>
      </c>
    </row>
    <row r="17" spans="1:23" ht="18.75" customHeight="1" outlineLevel="1">
      <c r="A17" s="188" t="s">
        <v>10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8"/>
      <c r="L17" s="192"/>
      <c r="M17" s="108"/>
      <c r="N17" s="108"/>
      <c r="O17" s="69" t="s">
        <v>91</v>
      </c>
    </row>
    <row r="18" spans="1:23" ht="18.75" customHeight="1" outlineLevel="1">
      <c r="A18" s="188" t="s">
        <v>11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8"/>
      <c r="L18" s="192"/>
      <c r="M18" s="108"/>
      <c r="N18" s="108"/>
      <c r="O18" s="69" t="s">
        <v>92</v>
      </c>
    </row>
    <row r="19" spans="1:23" ht="18.75" customHeight="1" outlineLevel="1">
      <c r="A19" s="188" t="s">
        <v>12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8"/>
      <c r="L19" s="192"/>
      <c r="M19" s="108"/>
      <c r="N19" s="108"/>
      <c r="O19" s="69" t="s">
        <v>93</v>
      </c>
    </row>
    <row r="20" spans="1:23" ht="18.75" customHeight="1" outlineLevel="1">
      <c r="A20" s="188" t="s">
        <v>13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8"/>
      <c r="L20" s="192"/>
      <c r="M20" s="108"/>
      <c r="N20" s="108"/>
      <c r="O20" s="69" t="s">
        <v>94</v>
      </c>
    </row>
    <row r="21" spans="1:23" ht="18.75" customHeight="1" outlineLevel="1">
      <c r="A21" s="188" t="s">
        <v>14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724839.35</v>
      </c>
      <c r="K21" s="108"/>
      <c r="L21" s="192"/>
      <c r="M21" s="108"/>
      <c r="N21" s="108"/>
      <c r="O21" s="69" t="s">
        <v>95</v>
      </c>
    </row>
    <row r="22" spans="1:23" ht="18.75" customHeight="1" outlineLevel="1">
      <c r="A22" s="188" t="s">
        <v>15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8"/>
      <c r="L22" s="192"/>
      <c r="M22" s="108"/>
      <c r="N22" s="108"/>
      <c r="O22" s="69" t="s">
        <v>96</v>
      </c>
    </row>
    <row r="23" spans="1:23" ht="18.75" customHeight="1" outlineLevel="1">
      <c r="A23" s="188" t="s">
        <v>16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8"/>
      <c r="L23" s="192"/>
      <c r="M23" s="108"/>
      <c r="N23" s="108"/>
      <c r="O23" s="69" t="s">
        <v>97</v>
      </c>
    </row>
    <row r="24" spans="1:23" ht="18.75" customHeight="1" outlineLevel="1">
      <c r="A24" s="188" t="s">
        <v>17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20246.261999999988</v>
      </c>
      <c r="K24" s="108"/>
      <c r="L24" s="192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30</v>
      </c>
      <c r="K26" s="108"/>
      <c r="L26" s="108"/>
      <c r="M26" s="108"/>
      <c r="N26" s="108"/>
    </row>
    <row r="27" spans="1:23" ht="92.25" customHeight="1" outlineLevel="1">
      <c r="A27" s="175" t="s">
        <v>18</v>
      </c>
      <c r="B27" s="175"/>
      <c r="C27" s="175"/>
      <c r="D27" s="175"/>
      <c r="E27" s="175"/>
      <c r="F27" s="175" t="s">
        <v>19</v>
      </c>
      <c r="G27" s="175"/>
      <c r="H27" s="5" t="s">
        <v>55</v>
      </c>
      <c r="I27" s="175" t="s">
        <v>20</v>
      </c>
      <c r="J27" s="175"/>
      <c r="K27" s="108"/>
      <c r="L27" s="19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108252.012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8"/>
      <c r="L28" s="19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60064.596000000005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8"/>
      <c r="L29" s="193"/>
      <c r="M29" s="108"/>
      <c r="N29" s="108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69" t="str">
        <f>ПТО!A41</f>
        <v>Работы по содержанию земельного участка</v>
      </c>
      <c r="B30" s="169"/>
      <c r="C30" s="169"/>
      <c r="D30" s="169"/>
      <c r="E30" s="169"/>
      <c r="F30" s="170">
        <f>VLOOKUP(A30,ПТО!$A$39:$D$53,2,FALSE)</f>
        <v>109609.40399999999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8"/>
      <c r="L30" s="193"/>
      <c r="M30" s="108"/>
      <c r="N30" s="108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40721.759999999995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8"/>
      <c r="L31" s="19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8"/>
      <c r="L32" s="193"/>
      <c r="M32" s="108"/>
      <c r="N32" s="108"/>
      <c r="O32" s="23">
        <f t="shared" si="1"/>
        <v>0</v>
      </c>
      <c r="R32" s="1" t="s">
        <v>69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13234.572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8"/>
      <c r="L33" s="19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46830.023999999998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8"/>
      <c r="L34" s="19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9"/>
      <c r="C35" s="169"/>
      <c r="D35" s="169"/>
      <c r="E35" s="169"/>
      <c r="F35" s="170">
        <f>VLOOKUP(A35,ПТО!$A$39:$D$53,2,FALSE)</f>
        <v>135399.85200000001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8"/>
      <c r="L35" s="193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69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8"/>
      <c r="L36" s="193"/>
      <c r="M36" s="115"/>
      <c r="N36" s="108"/>
      <c r="O36" s="23">
        <f t="shared" si="1"/>
        <v>0</v>
      </c>
      <c r="R36" s="1" t="s">
        <v>69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8"/>
      <c r="L37" s="193"/>
      <c r="M37" s="115"/>
      <c r="N37" s="108"/>
      <c r="O37" s="23">
        <f t="shared" si="1"/>
        <v>0</v>
      </c>
      <c r="R37" s="1" t="s">
        <v>69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8"/>
      <c r="L38" s="193"/>
      <c r="M38" s="115"/>
      <c r="N38" s="108"/>
      <c r="O38" s="23">
        <f t="shared" si="1"/>
        <v>0</v>
      </c>
      <c r="R38" s="1" t="s">
        <v>69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8"/>
      <c r="L39" s="193"/>
      <c r="M39" s="115"/>
      <c r="N39" s="108"/>
      <c r="O39" s="23">
        <f t="shared" si="1"/>
        <v>0</v>
      </c>
      <c r="R39" s="1" t="s">
        <v>69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8"/>
      <c r="L40" s="193"/>
      <c r="M40" s="115"/>
      <c r="N40" s="108"/>
      <c r="O40" s="23">
        <f t="shared" si="1"/>
        <v>0</v>
      </c>
      <c r="R40" s="1" t="s">
        <v>69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8"/>
      <c r="L41" s="193"/>
      <c r="M41" s="115"/>
      <c r="N41" s="108"/>
      <c r="O41" s="23">
        <f t="shared" si="1"/>
        <v>0</v>
      </c>
      <c r="R41" s="1" t="s">
        <v>69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8"/>
      <c r="L42" s="193"/>
      <c r="M42" s="115"/>
      <c r="N42" s="108"/>
      <c r="O42" s="23">
        <f t="shared" si="1"/>
        <v>0</v>
      </c>
      <c r="R42" s="1" t="s">
        <v>69</v>
      </c>
    </row>
    <row r="43" spans="1:18" ht="51" customHeight="1" outlineLevel="1">
      <c r="A43" s="169" t="str">
        <f>ПТО!A2</f>
        <v>Техническое освидетельствование лифта.</v>
      </c>
      <c r="B43" s="169"/>
      <c r="C43" s="169"/>
      <c r="D43" s="169"/>
      <c r="E43" s="169"/>
      <c r="F43" s="170">
        <f>VLOOKUP(A43,ПТО!$A$2:$D$31,4,FALSE)</f>
        <v>8100</v>
      </c>
      <c r="G43" s="170"/>
      <c r="H43" s="19" t="str">
        <f>VLOOKUP(A43,ПТО!$A$2:$D$31,2,FALSE)</f>
        <v>ежегодно</v>
      </c>
      <c r="I43" s="171">
        <f>VLOOKUP(A43,ПТО!$A$2:$D$31,3,FALSE)</f>
        <v>1</v>
      </c>
      <c r="J43" s="171"/>
      <c r="K43" s="108"/>
      <c r="L43" s="193"/>
      <c r="M43" s="115"/>
      <c r="N43" s="108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69" t="str">
        <f>ПТО!A3</f>
        <v>Техническое обслуживание видеонаблюдения.</v>
      </c>
      <c r="B44" s="169"/>
      <c r="C44" s="169"/>
      <c r="D44" s="169"/>
      <c r="E44" s="169"/>
      <c r="F44" s="170">
        <f>VLOOKUP(A44,ПТО!$A$2:$D$31,4,FALSE)</f>
        <v>33600</v>
      </c>
      <c r="G44" s="170"/>
      <c r="H44" s="25" t="str">
        <f>VLOOKUP(A44,ПТО!$A$2:$D$31,2,FALSE)</f>
        <v>ежемесячно</v>
      </c>
      <c r="I44" s="171">
        <f>VLOOKUP(A44,ПТО!$A$2:$D$31,3,FALSE)</f>
        <v>12</v>
      </c>
      <c r="J44" s="171"/>
      <c r="K44" s="108"/>
      <c r="L44" s="193"/>
      <c r="M44" s="115"/>
      <c r="N44" s="108"/>
      <c r="O44" s="23" t="str">
        <f t="shared" si="1"/>
        <v>Техническое обслуживание видеонаблюдения.</v>
      </c>
      <c r="R44" s="22" t="s">
        <v>70</v>
      </c>
    </row>
    <row r="45" spans="1:18" ht="51" customHeight="1" outlineLevel="1">
      <c r="A45" s="169" t="str">
        <f>ПТО!A4</f>
        <v>Механизированная уборка и вывоз снега с придомовой территории.</v>
      </c>
      <c r="B45" s="169"/>
      <c r="C45" s="169"/>
      <c r="D45" s="169"/>
      <c r="E45" s="169"/>
      <c r="F45" s="170">
        <f>VLOOKUP(A45,ПТО!$A$2:$D$31,4,FALSE)</f>
        <v>2385.9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8"/>
      <c r="L45" s="193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69" t="str">
        <f>ПТО!A5</f>
        <v>Изготовление и монтаж ограждения контейнерной площадки.</v>
      </c>
      <c r="B46" s="169"/>
      <c r="C46" s="169"/>
      <c r="D46" s="169"/>
      <c r="E46" s="169"/>
      <c r="F46" s="170">
        <f>VLOOKUP(A46,ПТО!$A$2:$D$31,4,FALSE)</f>
        <v>29534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8"/>
      <c r="L46" s="193"/>
      <c r="M46" s="115"/>
      <c r="N46" s="108"/>
      <c r="O46" s="23" t="str">
        <f t="shared" si="1"/>
        <v>Изготовление и монтаж ограждения контейнерной площадки.</v>
      </c>
      <c r="R46" s="22" t="s">
        <v>70</v>
      </c>
    </row>
    <row r="47" spans="1:18" ht="51" customHeight="1" outlineLevel="1">
      <c r="A47" s="169" t="str">
        <f>ПТО!A6</f>
        <v>Замена светильников в кабине лифта (2 шт.).</v>
      </c>
      <c r="B47" s="169"/>
      <c r="C47" s="169"/>
      <c r="D47" s="169"/>
      <c r="E47" s="169"/>
      <c r="F47" s="170">
        <f>VLOOKUP(A47,ПТО!$A$2:$D$31,4,FALSE)</f>
        <v>1700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8"/>
      <c r="L47" s="193"/>
      <c r="M47" s="115"/>
      <c r="N47" s="108"/>
      <c r="O47" s="23" t="str">
        <f t="shared" si="1"/>
        <v>Замена светильников в кабине лифта (2 шт.).</v>
      </c>
      <c r="R47" s="22" t="s">
        <v>70</v>
      </c>
    </row>
    <row r="48" spans="1:18" ht="51" hidden="1" customHeight="1" outlineLevel="1">
      <c r="A48" s="169">
        <f>ПТО!A7</f>
        <v>0</v>
      </c>
      <c r="B48" s="169"/>
      <c r="C48" s="169"/>
      <c r="D48" s="169"/>
      <c r="E48" s="169"/>
      <c r="F48" s="170" t="e">
        <f>VLOOKUP(A48,ПТО!$A$2:$D$31,4,FALSE)</f>
        <v>#N/A</v>
      </c>
      <c r="G48" s="170"/>
      <c r="H48" s="25" t="e">
        <f>VLOOKUP(A48,ПТО!$A$2:$D$31,2,FALSE)</f>
        <v>#N/A</v>
      </c>
      <c r="I48" s="171" t="e">
        <f>VLOOKUP(A48,ПТО!$A$2:$D$31,3,FALSE)</f>
        <v>#N/A</v>
      </c>
      <c r="J48" s="171"/>
      <c r="K48" s="108"/>
      <c r="L48" s="193"/>
      <c r="M48" s="115"/>
      <c r="N48" s="108"/>
      <c r="O48" s="23">
        <f t="shared" si="1"/>
        <v>0</v>
      </c>
      <c r="R48" s="22" t="s">
        <v>70</v>
      </c>
    </row>
    <row r="49" spans="1:18" ht="51" hidden="1" customHeight="1" outlineLevel="1">
      <c r="A49" s="169">
        <f>ПТО!A8</f>
        <v>0</v>
      </c>
      <c r="B49" s="169"/>
      <c r="C49" s="169"/>
      <c r="D49" s="169"/>
      <c r="E49" s="169"/>
      <c r="F49" s="170" t="e">
        <f>VLOOKUP(A49,ПТО!$A$2:$D$31,4,FALSE)</f>
        <v>#N/A</v>
      </c>
      <c r="G49" s="170"/>
      <c r="H49" s="25" t="e">
        <f>VLOOKUP(A49,ПТО!$A$2:$D$31,2,FALSE)</f>
        <v>#N/A</v>
      </c>
      <c r="I49" s="171" t="e">
        <f>VLOOKUP(A49,ПТО!$A$2:$D$31,3,FALSE)</f>
        <v>#N/A</v>
      </c>
      <c r="J49" s="171"/>
      <c r="K49" s="108"/>
      <c r="L49" s="193"/>
      <c r="M49" s="115"/>
      <c r="N49" s="108"/>
      <c r="O49" s="23">
        <f t="shared" si="1"/>
        <v>0</v>
      </c>
      <c r="R49" s="22" t="s">
        <v>70</v>
      </c>
    </row>
    <row r="50" spans="1:18" ht="51" hidden="1" customHeight="1" outlineLevel="1">
      <c r="A50" s="169">
        <f>ПТО!A9</f>
        <v>0</v>
      </c>
      <c r="B50" s="169"/>
      <c r="C50" s="169"/>
      <c r="D50" s="169"/>
      <c r="E50" s="169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8"/>
      <c r="L50" s="193"/>
      <c r="M50" s="115"/>
      <c r="N50" s="108"/>
      <c r="O50" s="23">
        <f t="shared" si="1"/>
        <v>0</v>
      </c>
      <c r="R50" s="22" t="s">
        <v>70</v>
      </c>
    </row>
    <row r="51" spans="1:18" ht="51" hidden="1" customHeight="1" outlineLevel="1">
      <c r="A51" s="169">
        <f>ПТО!A10</f>
        <v>0</v>
      </c>
      <c r="B51" s="169"/>
      <c r="C51" s="169"/>
      <c r="D51" s="169"/>
      <c r="E51" s="169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8"/>
      <c r="L51" s="193"/>
      <c r="M51" s="115"/>
      <c r="N51" s="108"/>
      <c r="O51" s="23">
        <f t="shared" si="1"/>
        <v>0</v>
      </c>
      <c r="R51" s="22" t="s">
        <v>70</v>
      </c>
    </row>
    <row r="52" spans="1:18" ht="51" hidden="1" customHeight="1" outlineLevel="1">
      <c r="A52" s="169">
        <f>ПТО!A11</f>
        <v>0</v>
      </c>
      <c r="B52" s="169"/>
      <c r="C52" s="169"/>
      <c r="D52" s="169"/>
      <c r="E52" s="169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8"/>
      <c r="L52" s="193"/>
      <c r="M52" s="115"/>
      <c r="N52" s="108"/>
      <c r="O52" s="23">
        <f t="shared" si="1"/>
        <v>0</v>
      </c>
      <c r="R52" s="22" t="s">
        <v>70</v>
      </c>
    </row>
    <row r="53" spans="1:18" ht="51" hidden="1" customHeight="1" outlineLevel="1">
      <c r="A53" s="169">
        <f>ПТО!A12</f>
        <v>0</v>
      </c>
      <c r="B53" s="169"/>
      <c r="C53" s="169"/>
      <c r="D53" s="169"/>
      <c r="E53" s="169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8"/>
      <c r="L53" s="193"/>
      <c r="M53" s="115"/>
      <c r="N53" s="108"/>
      <c r="O53" s="23">
        <f t="shared" si="1"/>
        <v>0</v>
      </c>
      <c r="R53" s="22" t="s">
        <v>70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8"/>
      <c r="L54" s="193"/>
      <c r="M54" s="115"/>
      <c r="N54" s="108"/>
      <c r="O54" s="23">
        <f t="shared" si="1"/>
        <v>0</v>
      </c>
      <c r="R54" s="22" t="s">
        <v>70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8"/>
      <c r="L55" s="193"/>
      <c r="M55" s="115"/>
      <c r="N55" s="108"/>
      <c r="O55" s="23">
        <f t="shared" si="1"/>
        <v>0</v>
      </c>
      <c r="R55" s="22" t="s">
        <v>70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8"/>
      <c r="L56" s="193"/>
      <c r="M56" s="115"/>
      <c r="N56" s="108"/>
      <c r="O56" s="23">
        <f t="shared" si="1"/>
        <v>0</v>
      </c>
      <c r="R56" s="22" t="s">
        <v>70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8"/>
      <c r="L57" s="193"/>
      <c r="M57" s="115"/>
      <c r="N57" s="108"/>
      <c r="O57" s="23">
        <f t="shared" si="1"/>
        <v>0</v>
      </c>
      <c r="R57" s="22" t="s">
        <v>70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8"/>
      <c r="L58" s="193"/>
      <c r="M58" s="115"/>
      <c r="N58" s="108"/>
      <c r="O58" s="23">
        <f t="shared" si="1"/>
        <v>0</v>
      </c>
      <c r="R58" s="22" t="s">
        <v>70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8"/>
      <c r="L59" s="193"/>
      <c r="M59" s="115"/>
      <c r="N59" s="108"/>
      <c r="O59" s="23">
        <f t="shared" si="1"/>
        <v>0</v>
      </c>
      <c r="R59" s="22" t="s">
        <v>70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8"/>
      <c r="L60" s="193"/>
      <c r="M60" s="115"/>
      <c r="N60" s="108"/>
      <c r="O60" s="23">
        <f t="shared" si="1"/>
        <v>0</v>
      </c>
      <c r="R60" s="22" t="s">
        <v>70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8"/>
      <c r="L61" s="193"/>
      <c r="M61" s="115"/>
      <c r="N61" s="108"/>
      <c r="O61" s="23">
        <f t="shared" si="1"/>
        <v>0</v>
      </c>
      <c r="R61" s="22" t="s">
        <v>70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8"/>
      <c r="L62" s="193"/>
      <c r="M62" s="115"/>
      <c r="N62" s="108"/>
      <c r="O62" s="23">
        <f t="shared" si="1"/>
        <v>0</v>
      </c>
      <c r="R62" s="22" t="s">
        <v>70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8"/>
      <c r="L63" s="193"/>
      <c r="M63" s="115"/>
      <c r="N63" s="108"/>
      <c r="O63" s="23">
        <f t="shared" si="1"/>
        <v>0</v>
      </c>
      <c r="R63" s="22" t="s">
        <v>70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8"/>
      <c r="L64" s="193"/>
      <c r="M64" s="115"/>
      <c r="N64" s="108"/>
      <c r="O64" s="23">
        <f t="shared" si="1"/>
        <v>0</v>
      </c>
      <c r="R64" s="22" t="s">
        <v>70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8"/>
      <c r="L65" s="193"/>
      <c r="M65" s="115"/>
      <c r="N65" s="108"/>
      <c r="O65" s="23">
        <f t="shared" si="1"/>
        <v>0</v>
      </c>
      <c r="R65" s="22" t="s">
        <v>70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8"/>
      <c r="L66" s="193"/>
      <c r="M66" s="115"/>
      <c r="N66" s="108"/>
      <c r="O66" s="23">
        <f t="shared" si="1"/>
        <v>0</v>
      </c>
      <c r="R66" s="22" t="s">
        <v>70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8"/>
      <c r="L67" s="193"/>
      <c r="M67" s="115"/>
      <c r="N67" s="108"/>
      <c r="O67" s="23">
        <f t="shared" si="1"/>
        <v>0</v>
      </c>
      <c r="R67" s="22" t="s">
        <v>70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8"/>
      <c r="L68" s="193"/>
      <c r="M68" s="115"/>
      <c r="N68" s="108"/>
      <c r="O68" s="23">
        <f t="shared" si="1"/>
        <v>0</v>
      </c>
      <c r="R68" s="22" t="s">
        <v>70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8"/>
      <c r="L69" s="193"/>
      <c r="M69" s="115"/>
      <c r="N69" s="108"/>
      <c r="O69" s="23">
        <f t="shared" si="1"/>
        <v>0</v>
      </c>
      <c r="R69" s="22" t="s">
        <v>70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8"/>
      <c r="L70" s="193"/>
      <c r="M70" s="115"/>
      <c r="N70" s="108"/>
      <c r="O70" s="23">
        <f t="shared" si="1"/>
        <v>0</v>
      </c>
      <c r="R70" s="22" t="s">
        <v>70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8"/>
      <c r="L72" s="193"/>
      <c r="M72" s="115"/>
      <c r="N72" s="108"/>
      <c r="O72" s="23">
        <f t="shared" si="1"/>
        <v>0</v>
      </c>
      <c r="R72" s="22" t="s">
        <v>70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29</v>
      </c>
      <c r="K74" s="108"/>
      <c r="L74" s="108"/>
      <c r="M74" s="108"/>
      <c r="N74" s="108"/>
    </row>
    <row r="75" spans="1:16384" ht="18.75" customHeight="1" outlineLevel="1">
      <c r="A75" s="187" t="s">
        <v>25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8"/>
      <c r="L75" s="176"/>
      <c r="M75" s="108"/>
      <c r="N75" s="108"/>
      <c r="O75" s="69" t="s">
        <v>99</v>
      </c>
    </row>
    <row r="76" spans="1:16384" ht="18.75" customHeight="1" outlineLevel="1">
      <c r="A76" s="187" t="s">
        <v>26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8"/>
      <c r="L76" s="176"/>
      <c r="M76" s="108"/>
      <c r="N76" s="108"/>
      <c r="O76" s="69" t="s">
        <v>100</v>
      </c>
    </row>
    <row r="77" spans="1:16384" ht="21.75" customHeight="1" outlineLevel="1">
      <c r="A77" s="187" t="s">
        <v>27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8"/>
      <c r="L77" s="176"/>
      <c r="M77" s="108"/>
      <c r="N77" s="108"/>
      <c r="O77" s="69" t="s">
        <v>101</v>
      </c>
    </row>
    <row r="78" spans="1:16384" ht="18.75" customHeight="1" outlineLevel="1">
      <c r="A78" s="187" t="s">
        <v>28</v>
      </c>
      <c r="B78" s="187"/>
      <c r="C78" s="187"/>
      <c r="D78" s="187"/>
      <c r="E78" s="187"/>
      <c r="F78" s="187"/>
      <c r="G78" s="187"/>
      <c r="H78" s="187"/>
      <c r="I78" s="187"/>
      <c r="J78" s="96">
        <f>VLOOKUP(O78,АО,3,FALSE)</f>
        <v>0</v>
      </c>
      <c r="K78" s="108"/>
      <c r="L78" s="176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32</v>
      </c>
      <c r="K80" s="108"/>
      <c r="L80" s="108"/>
      <c r="M80" s="108"/>
      <c r="N80" s="108"/>
    </row>
    <row r="81" spans="1:15" outlineLevel="1">
      <c r="A81" s="177" t="s">
        <v>1</v>
      </c>
      <c r="B81" s="177"/>
      <c r="C81" s="177"/>
      <c r="D81" s="177"/>
      <c r="E81" s="177"/>
      <c r="F81" s="177"/>
      <c r="G81" s="177"/>
      <c r="H81" s="177"/>
      <c r="I81" s="177"/>
      <c r="J81" s="96">
        <f t="shared" ref="J81:J90" si="2">VLOOKUP(O81,АО,3,FALSE)</f>
        <v>0</v>
      </c>
      <c r="K81" s="108"/>
      <c r="L81" s="194"/>
      <c r="M81" s="108"/>
      <c r="N81" s="108"/>
      <c r="O81" s="69" t="s">
        <v>103</v>
      </c>
    </row>
    <row r="82" spans="1:15" outlineLevel="1">
      <c r="A82" s="177" t="s">
        <v>2</v>
      </c>
      <c r="B82" s="177"/>
      <c r="C82" s="177"/>
      <c r="D82" s="177"/>
      <c r="E82" s="177"/>
      <c r="F82" s="177"/>
      <c r="G82" s="177"/>
      <c r="H82" s="177"/>
      <c r="I82" s="177"/>
      <c r="J82" s="96">
        <f t="shared" si="2"/>
        <v>0</v>
      </c>
      <c r="K82" s="108"/>
      <c r="L82" s="194"/>
      <c r="M82" s="108"/>
      <c r="N82" s="108"/>
      <c r="O82" s="69" t="s">
        <v>104</v>
      </c>
    </row>
    <row r="83" spans="1:15" outlineLevel="1">
      <c r="A83" s="184" t="s">
        <v>3</v>
      </c>
      <c r="B83" s="185"/>
      <c r="C83" s="185"/>
      <c r="D83" s="185"/>
      <c r="E83" s="185"/>
      <c r="F83" s="185"/>
      <c r="G83" s="185"/>
      <c r="H83" s="185"/>
      <c r="I83" s="186"/>
      <c r="J83" s="96">
        <f t="shared" si="2"/>
        <v>107088.46</v>
      </c>
      <c r="K83" s="108"/>
      <c r="L83" s="194"/>
      <c r="M83" s="108"/>
      <c r="N83" s="108"/>
      <c r="O83" s="69" t="s">
        <v>105</v>
      </c>
    </row>
    <row r="84" spans="1:15" outlineLevel="1">
      <c r="A84" s="184" t="s">
        <v>15</v>
      </c>
      <c r="B84" s="185"/>
      <c r="C84" s="185"/>
      <c r="D84" s="185"/>
      <c r="E84" s="185"/>
      <c r="F84" s="185"/>
      <c r="G84" s="185"/>
      <c r="H84" s="185"/>
      <c r="I84" s="186"/>
      <c r="J84" s="96">
        <f t="shared" si="2"/>
        <v>0</v>
      </c>
      <c r="K84" s="108"/>
      <c r="L84" s="194"/>
      <c r="M84" s="108"/>
      <c r="N84" s="108"/>
      <c r="O84" s="69" t="s">
        <v>106</v>
      </c>
    </row>
    <row r="85" spans="1:15" outlineLevel="1">
      <c r="A85" s="184" t="s">
        <v>16</v>
      </c>
      <c r="B85" s="185"/>
      <c r="C85" s="185"/>
      <c r="D85" s="185"/>
      <c r="E85" s="185"/>
      <c r="F85" s="185"/>
      <c r="G85" s="185"/>
      <c r="H85" s="185"/>
      <c r="I85" s="186"/>
      <c r="J85" s="96">
        <f t="shared" si="2"/>
        <v>0</v>
      </c>
      <c r="K85" s="108"/>
      <c r="L85" s="194"/>
      <c r="M85" s="108"/>
      <c r="N85" s="108"/>
      <c r="O85" s="69" t="s">
        <v>107</v>
      </c>
    </row>
    <row r="86" spans="1:15" outlineLevel="1">
      <c r="A86" s="184" t="s">
        <v>17</v>
      </c>
      <c r="B86" s="185"/>
      <c r="C86" s="185"/>
      <c r="D86" s="185"/>
      <c r="E86" s="185"/>
      <c r="F86" s="185"/>
      <c r="G86" s="185"/>
      <c r="H86" s="185"/>
      <c r="I86" s="186"/>
      <c r="J86" s="96">
        <f t="shared" si="2"/>
        <v>52409.820000000007</v>
      </c>
      <c r="K86" s="108"/>
      <c r="L86" s="194"/>
      <c r="M86" s="108"/>
      <c r="N86" s="108"/>
      <c r="O86" s="69" t="s">
        <v>108</v>
      </c>
    </row>
    <row r="87" spans="1:15" ht="18.75" customHeight="1" outlineLevel="1">
      <c r="A87" s="184" t="s">
        <v>25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8"/>
      <c r="L87" s="194"/>
      <c r="M87" s="108"/>
      <c r="N87" s="108"/>
      <c r="O87" s="69" t="s">
        <v>109</v>
      </c>
    </row>
    <row r="88" spans="1:15" ht="18.75" customHeight="1" outlineLevel="1">
      <c r="A88" s="184" t="s">
        <v>26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8"/>
      <c r="L88" s="194"/>
      <c r="M88" s="108"/>
      <c r="N88" s="108"/>
      <c r="O88" s="69" t="s">
        <v>110</v>
      </c>
    </row>
    <row r="89" spans="1:15" ht="18.75" customHeight="1" outlineLevel="1">
      <c r="A89" s="184" t="s">
        <v>27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8"/>
      <c r="L89" s="194"/>
      <c r="M89" s="108"/>
      <c r="N89" s="108"/>
      <c r="O89" s="69" t="s">
        <v>111</v>
      </c>
    </row>
    <row r="90" spans="1:15" ht="18.75" customHeight="1" outlineLevel="1">
      <c r="A90" s="184" t="s">
        <v>28</v>
      </c>
      <c r="B90" s="185"/>
      <c r="C90" s="185"/>
      <c r="D90" s="185"/>
      <c r="E90" s="185"/>
      <c r="F90" s="185"/>
      <c r="G90" s="185"/>
      <c r="H90" s="185"/>
      <c r="I90" s="186"/>
      <c r="J90" s="96">
        <f t="shared" si="2"/>
        <v>0</v>
      </c>
      <c r="K90" s="108"/>
      <c r="L90" s="194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33</v>
      </c>
      <c r="K92" s="108"/>
      <c r="L92" s="108"/>
      <c r="M92" s="108"/>
      <c r="N92" s="108"/>
    </row>
    <row r="93" spans="1:15" ht="30.75" customHeight="1" outlineLevel="1">
      <c r="A93" s="178" t="s">
        <v>46</v>
      </c>
      <c r="B93" s="178"/>
      <c r="C93" s="178"/>
      <c r="D93" s="181" t="s">
        <v>47</v>
      </c>
      <c r="E93" s="181"/>
      <c r="F93" s="10" t="s">
        <v>48</v>
      </c>
      <c r="G93" s="178" t="s">
        <v>49</v>
      </c>
      <c r="H93" s="178"/>
      <c r="I93" s="178"/>
      <c r="J93" s="178"/>
      <c r="K93" s="108"/>
      <c r="L93" s="108"/>
      <c r="M93" s="108"/>
      <c r="N93" s="108"/>
    </row>
    <row r="94" spans="1:15" outlineLevel="1">
      <c r="A94" s="182" t="str">
        <f>IF(VLOOKUP("эл",АО,3,FALSE)&gt;0,"Электроснабжение",0)</f>
        <v>Электроснабжение</v>
      </c>
      <c r="B94" s="182"/>
      <c r="C94" s="182"/>
      <c r="D94" s="180" t="str">
        <f>IF(VLOOKUP("эл",АО,3,FALSE)&gt;0,VLOOKUP("эл",АО,3,FALSE),0)</f>
        <v>Предоставляется</v>
      </c>
      <c r="E94" s="180"/>
      <c r="F94" s="13" t="str">
        <f>IF(VLOOKUP("эл",АО,3,FALSE)&gt;0,VLOOKUP("эл",АО,4,FALSE),0)</f>
        <v>кВт*ч</v>
      </c>
      <c r="G94" s="179">
        <f>VLOOKUP("эл",АО,5,FALSE)</f>
        <v>239947.49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159964.99333333332</v>
      </c>
      <c r="L95" s="195"/>
      <c r="O95" s="1" t="s">
        <v>113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260456.61</v>
      </c>
      <c r="L96" s="195"/>
      <c r="O96" s="1" t="s">
        <v>114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95"/>
      <c r="O97" s="1" t="s">
        <v>115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239947.49</v>
      </c>
      <c r="L98" s="195"/>
      <c r="O98" s="1" t="s">
        <v>116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239947.49</v>
      </c>
      <c r="L99" s="195"/>
      <c r="O99" s="1" t="s">
        <v>117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118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119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105892.12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6639.004388714734</v>
      </c>
      <c r="L103" s="195"/>
      <c r="O103" s="1" t="s">
        <v>122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110761.44</v>
      </c>
      <c r="L104" s="195"/>
      <c r="O104" s="1" t="s">
        <v>123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124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105892.12</v>
      </c>
      <c r="L106" s="195"/>
      <c r="O106" s="1" t="s">
        <v>125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105892.12</v>
      </c>
      <c r="L107" s="195"/>
      <c r="O107" s="1" t="s">
        <v>126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127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128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107635.52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5551.0840639504904</v>
      </c>
      <c r="L111" s="195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124170.2</v>
      </c>
      <c r="L112" s="195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107635.52</v>
      </c>
      <c r="L114" s="195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107635.52</v>
      </c>
      <c r="L115" s="195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136</v>
      </c>
    </row>
    <row r="118" spans="1:15" ht="32.25" customHeight="1" outlineLevel="1">
      <c r="A118" s="182" t="str">
        <f>IF(VLOOKUP("тко",АО,3,FALSE)&gt;0,"Обращение с ТКО",0)</f>
        <v>Обращение с ТКО</v>
      </c>
      <c r="B118" s="182"/>
      <c r="C118" s="182"/>
      <c r="D118" s="180" t="str">
        <f>IF(VLOOKUP("тко",АО,3,FALSE)&gt;0,VLOOKUP("тко",АО,3,FALSE),0)</f>
        <v>Предоставляется</v>
      </c>
      <c r="E118" s="180"/>
      <c r="F118" s="13" t="str">
        <f>IF(VLOOKUP("тко",АО,3,FALSE)&gt;0,VLOOKUP("тко",АО,4,FALSE),0)</f>
        <v>куб.м.</v>
      </c>
      <c r="G118" s="179">
        <f>VLOOKUP("тко",АО,5,FALSE)</f>
        <v>114279.54</v>
      </c>
      <c r="H118" s="180"/>
      <c r="I118" s="180"/>
      <c r="J118" s="180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193.09195052716947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127045.06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114279.54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114279.54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0">
        <f>IF(VLOOKUP("гвс",АО,3,FALSE)&gt;0,VLOOKUP("гвс",АО,3,FALSE),0)</f>
        <v>0</v>
      </c>
      <c r="E126" s="180"/>
      <c r="F126" s="13">
        <f>IF(VLOOKUP("гвс",АО,3,FALSE)&gt;0,VLOOKUP("гвс",АО,4,FALSE),0)</f>
        <v>0</v>
      </c>
      <c r="G126" s="179">
        <f>VLOOKUP("гвс",АО,5,FALSE)</f>
        <v>0</v>
      </c>
      <c r="H126" s="180"/>
      <c r="I126" s="180"/>
      <c r="J126" s="180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0">
        <f>IF(VLOOKUP("отопление",АО,3,FALSE)&gt;0,VLOOKUP("отопление",АО,3,FALSE),0)</f>
        <v>0</v>
      </c>
      <c r="E134" s="180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80"/>
      <c r="I134" s="180"/>
      <c r="J134" s="180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42</v>
      </c>
    </row>
    <row r="144" spans="1:15" ht="18.75" customHeight="1" outlineLevel="1">
      <c r="A144" s="177" t="s">
        <v>43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44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172</v>
      </c>
    </row>
    <row r="149" spans="1:15" ht="52.5" customHeight="1">
      <c r="A149" s="173" t="s">
        <v>183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184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72" t="s">
        <v>193</v>
      </c>
      <c r="B154" s="172"/>
      <c r="C154" s="172"/>
      <c r="D154" s="172"/>
      <c r="E154" s="27">
        <f>ПТО!G1</f>
        <v>-302873.28999999998</v>
      </c>
    </row>
    <row r="155" spans="1:15" ht="34.5" customHeight="1">
      <c r="A155" s="174" t="s">
        <v>192</v>
      </c>
      <c r="B155" s="174"/>
      <c r="C155" s="174"/>
      <c r="D155" s="174"/>
      <c r="E155" s="28">
        <f>J13</f>
        <v>160850.95200000002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18</v>
      </c>
      <c r="B157" s="175"/>
      <c r="C157" s="175"/>
      <c r="D157" s="175"/>
      <c r="E157" s="175"/>
      <c r="F157" s="175" t="s">
        <v>19</v>
      </c>
      <c r="G157" s="175"/>
      <c r="H157" s="20" t="s">
        <v>55</v>
      </c>
      <c r="I157" s="175" t="s">
        <v>20</v>
      </c>
      <c r="J157" s="175"/>
    </row>
    <row r="158" spans="1:15" ht="29.25" customHeight="1">
      <c r="A158" s="169" t="str">
        <f t="shared" ref="A158:A163" si="14">IF(N158&gt;0,N158,0)</f>
        <v>Техническое освидетельствование лифта.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8100</v>
      </c>
      <c r="G158" s="170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1</v>
      </c>
      <c r="J158" s="171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9" t="str">
        <f t="shared" si="14"/>
        <v>Техническое обслуживание видеонаблюдения.</v>
      </c>
      <c r="B159" s="169"/>
      <c r="C159" s="169"/>
      <c r="D159" s="169"/>
      <c r="E159" s="169"/>
      <c r="F159" s="170">
        <f t="shared" si="15"/>
        <v>33600</v>
      </c>
      <c r="G159" s="170"/>
      <c r="H159" s="24" t="str">
        <f t="shared" si="16"/>
        <v>ежемесячно</v>
      </c>
      <c r="I159" s="171">
        <f t="shared" si="17"/>
        <v>12</v>
      </c>
      <c r="J159" s="171"/>
      <c r="M159" s="22" t="s">
        <v>70</v>
      </c>
      <c r="N159" s="1" t="str">
        <v>Техническое обслуживание видеонаблюдения.</v>
      </c>
    </row>
    <row r="160" spans="1:15" ht="28.5" customHeight="1">
      <c r="A160" s="169" t="str">
        <f t="shared" si="14"/>
        <v>Механизированная уборка и вывоз снега с придомовой территории.</v>
      </c>
      <c r="B160" s="169"/>
      <c r="C160" s="169"/>
      <c r="D160" s="169"/>
      <c r="E160" s="169"/>
      <c r="F160" s="170">
        <f t="shared" si="15"/>
        <v>2385.9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9" t="str">
        <f>IF(N161&gt;0,N161,0)</f>
        <v>Изготовление и монтаж ограждения контейнерной площадки.</v>
      </c>
      <c r="B161" s="169"/>
      <c r="C161" s="169"/>
      <c r="D161" s="169"/>
      <c r="E161" s="169"/>
      <c r="F161" s="170">
        <f t="shared" si="15"/>
        <v>29534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70</v>
      </c>
      <c r="N161" s="1" t="str">
        <v>Изготовление и монтаж ограждения контейнерной площадки.</v>
      </c>
    </row>
    <row r="162" spans="1:14" ht="28.5" customHeight="1">
      <c r="A162" s="169" t="str">
        <f t="shared" si="14"/>
        <v>Замена светильников в кабине лифта (2 шт.).</v>
      </c>
      <c r="B162" s="169"/>
      <c r="C162" s="169"/>
      <c r="D162" s="169"/>
      <c r="E162" s="169"/>
      <c r="F162" s="170">
        <f t="shared" si="15"/>
        <v>1700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70</v>
      </c>
      <c r="N162" s="1" t="str">
        <v>Замена светильников в кабине лифта (2 шт.).</v>
      </c>
    </row>
    <row r="163" spans="1:14" ht="28.5" hidden="1" customHeight="1">
      <c r="A163" s="169">
        <f t="shared" si="14"/>
        <v>0</v>
      </c>
      <c r="B163" s="169"/>
      <c r="C163" s="169"/>
      <c r="D163" s="169"/>
      <c r="E163" s="169"/>
      <c r="F163" s="170">
        <f t="shared" si="15"/>
        <v>0</v>
      </c>
      <c r="G163" s="170"/>
      <c r="H163" s="24" t="e">
        <f t="shared" si="16"/>
        <v>#N/A</v>
      </c>
      <c r="I163" s="171" t="e">
        <f>VLOOKUP(A163,$A$28:$J$72,9,FALSE)</f>
        <v>#N/A</v>
      </c>
      <c r="J163" s="171"/>
      <c r="M163" s="22" t="s">
        <v>70</v>
      </c>
      <c r="N163" s="1">
        <v>0</v>
      </c>
    </row>
    <row r="164" spans="1:14" ht="28.5" hidden="1" customHeight="1">
      <c r="A164" s="169">
        <f t="shared" ref="A164:A187" si="18">IF(N164&gt;0,N164,0)</f>
        <v>0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0</v>
      </c>
      <c r="G164" s="170"/>
      <c r="H164" s="29" t="e">
        <f t="shared" si="16"/>
        <v>#N/A</v>
      </c>
      <c r="I164" s="171" t="e">
        <f t="shared" ref="I164:I187" si="20">VLOOKUP(A164,$A$28:$J$72,9,FALSE)</f>
        <v>#N/A</v>
      </c>
      <c r="J164" s="171"/>
      <c r="M164" s="22" t="s">
        <v>70</v>
      </c>
      <c r="N164" s="1">
        <v>0</v>
      </c>
    </row>
    <row r="165" spans="1:14" ht="28.5" hidden="1" customHeight="1">
      <c r="A165" s="169">
        <f t="shared" si="18"/>
        <v>0</v>
      </c>
      <c r="B165" s="169"/>
      <c r="C165" s="169"/>
      <c r="D165" s="169"/>
      <c r="E165" s="169"/>
      <c r="F165" s="170">
        <f t="shared" si="19"/>
        <v>0</v>
      </c>
      <c r="G165" s="170"/>
      <c r="H165" s="29" t="e">
        <f t="shared" si="16"/>
        <v>#N/A</v>
      </c>
      <c r="I165" s="171" t="e">
        <f t="shared" si="20"/>
        <v>#N/A</v>
      </c>
      <c r="J165" s="171"/>
      <c r="M165" s="22" t="s">
        <v>70</v>
      </c>
      <c r="N165" s="1">
        <v>0</v>
      </c>
    </row>
    <row r="166" spans="1:14" ht="28.5" hidden="1" customHeight="1">
      <c r="A166" s="169">
        <f t="shared" si="18"/>
        <v>0</v>
      </c>
      <c r="B166" s="169"/>
      <c r="C166" s="169"/>
      <c r="D166" s="169"/>
      <c r="E166" s="169"/>
      <c r="F166" s="170">
        <f t="shared" si="19"/>
        <v>0</v>
      </c>
      <c r="G166" s="170"/>
      <c r="H166" s="29" t="e">
        <f t="shared" si="16"/>
        <v>#N/A</v>
      </c>
      <c r="I166" s="171" t="e">
        <f t="shared" si="20"/>
        <v>#N/A</v>
      </c>
      <c r="J166" s="171"/>
      <c r="M166" s="22" t="s">
        <v>70</v>
      </c>
      <c r="N166" s="1">
        <v>0</v>
      </c>
    </row>
    <row r="167" spans="1:14" ht="28.5" hidden="1" customHeight="1">
      <c r="A167" s="169">
        <f t="shared" si="18"/>
        <v>0</v>
      </c>
      <c r="B167" s="169"/>
      <c r="C167" s="169"/>
      <c r="D167" s="169"/>
      <c r="E167" s="169"/>
      <c r="F167" s="170">
        <f t="shared" si="19"/>
        <v>0</v>
      </c>
      <c r="G167" s="170"/>
      <c r="H167" s="29" t="e">
        <f t="shared" si="16"/>
        <v>#N/A</v>
      </c>
      <c r="I167" s="171" t="e">
        <f t="shared" si="20"/>
        <v>#N/A</v>
      </c>
      <c r="J167" s="171"/>
      <c r="M167" s="22" t="s">
        <v>70</v>
      </c>
      <c r="N167" s="1">
        <v>0</v>
      </c>
    </row>
    <row r="168" spans="1:14" ht="28.5" hidden="1" customHeight="1">
      <c r="A168" s="169">
        <f t="shared" si="18"/>
        <v>0</v>
      </c>
      <c r="B168" s="169"/>
      <c r="C168" s="169"/>
      <c r="D168" s="169"/>
      <c r="E168" s="169"/>
      <c r="F168" s="170">
        <f t="shared" si="19"/>
        <v>0</v>
      </c>
      <c r="G168" s="170"/>
      <c r="H168" s="29" t="e">
        <f t="shared" si="16"/>
        <v>#N/A</v>
      </c>
      <c r="I168" s="171" t="e">
        <f t="shared" si="20"/>
        <v>#N/A</v>
      </c>
      <c r="J168" s="171"/>
      <c r="M168" s="22" t="s">
        <v>70</v>
      </c>
      <c r="N168" s="1">
        <v>0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0">
        <f t="shared" si="19"/>
        <v>0</v>
      </c>
      <c r="G169" s="170"/>
      <c r="H169" s="29" t="e">
        <f t="shared" si="16"/>
        <v>#N/A</v>
      </c>
      <c r="I169" s="171" t="e">
        <f t="shared" si="20"/>
        <v>#N/A</v>
      </c>
      <c r="J169" s="171"/>
      <c r="M169" s="22" t="s">
        <v>70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0">
        <f t="shared" si="19"/>
        <v>0</v>
      </c>
      <c r="G170" s="170"/>
      <c r="H170" s="29" t="e">
        <f t="shared" si="16"/>
        <v>#N/A</v>
      </c>
      <c r="I170" s="171" t="e">
        <f t="shared" si="20"/>
        <v>#N/A</v>
      </c>
      <c r="J170" s="171"/>
      <c r="M170" s="22" t="s">
        <v>70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0">
        <f t="shared" si="19"/>
        <v>0</v>
      </c>
      <c r="G171" s="170"/>
      <c r="H171" s="29" t="e">
        <f t="shared" si="16"/>
        <v>#N/A</v>
      </c>
      <c r="I171" s="171" t="e">
        <f t="shared" si="20"/>
        <v>#N/A</v>
      </c>
      <c r="J171" s="171"/>
      <c r="M171" s="22" t="s">
        <v>70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0">
        <f t="shared" si="19"/>
        <v>0</v>
      </c>
      <c r="G172" s="170"/>
      <c r="H172" s="29" t="e">
        <f t="shared" si="16"/>
        <v>#N/A</v>
      </c>
      <c r="I172" s="171" t="e">
        <f t="shared" si="20"/>
        <v>#N/A</v>
      </c>
      <c r="J172" s="171"/>
      <c r="M172" s="22" t="s">
        <v>70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0">
        <f t="shared" si="19"/>
        <v>0</v>
      </c>
      <c r="G173" s="170"/>
      <c r="H173" s="29" t="e">
        <f t="shared" si="16"/>
        <v>#N/A</v>
      </c>
      <c r="I173" s="171" t="e">
        <f t="shared" si="20"/>
        <v>#N/A</v>
      </c>
      <c r="J173" s="171"/>
      <c r="M173" s="22" t="s">
        <v>70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0">
        <f t="shared" si="19"/>
        <v>0</v>
      </c>
      <c r="G174" s="170"/>
      <c r="H174" s="29" t="e">
        <f t="shared" si="16"/>
        <v>#N/A</v>
      </c>
      <c r="I174" s="171" t="e">
        <f t="shared" si="20"/>
        <v>#N/A</v>
      </c>
      <c r="J174" s="171"/>
      <c r="M174" s="22" t="s">
        <v>70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70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70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70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70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70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70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70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70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70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70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70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70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70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72" t="s">
        <v>191</v>
      </c>
      <c r="B190" s="172"/>
      <c r="C190" s="172"/>
      <c r="D190" s="172"/>
      <c r="E190" s="27">
        <f>SUM(F158:G187)</f>
        <v>75319.899999999994</v>
      </c>
    </row>
    <row r="191" spans="1:14" ht="51.75" customHeight="1">
      <c r="A191" s="172" t="s">
        <v>190</v>
      </c>
      <c r="B191" s="172"/>
      <c r="C191" s="172"/>
      <c r="D191" s="172"/>
      <c r="E191" s="27">
        <f>E190+E154-E155</f>
        <v>-388404.342</v>
      </c>
    </row>
    <row r="192" spans="1:14">
      <c r="A192" s="103" t="s">
        <v>174</v>
      </c>
    </row>
    <row r="193" spans="1:10" ht="62.25" customHeight="1">
      <c r="A193" s="197" t="s">
        <v>189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8">
        <f>ПТО!G12</f>
        <v>1200</v>
      </c>
      <c r="I194" s="49" t="s">
        <v>73</v>
      </c>
    </row>
    <row r="195" spans="1:10" ht="18.75" customHeight="1">
      <c r="A195" s="196" t="str">
        <f>ПТО!F13</f>
        <v xml:space="preserve">  -  техническое освидетельствование лифта</v>
      </c>
      <c r="B195" s="196"/>
      <c r="C195" s="196"/>
      <c r="D195" s="196"/>
      <c r="E195" s="196"/>
      <c r="F195" s="196"/>
      <c r="G195" s="196"/>
      <c r="H195" s="48">
        <f>ПТО!G13</f>
        <v>4305</v>
      </c>
      <c r="I195" s="49" t="s">
        <v>73</v>
      </c>
    </row>
    <row r="196" spans="1:10" ht="18.75" customHeight="1">
      <c r="A196" s="196" t="str">
        <f>ПТО!F14</f>
        <v xml:space="preserve">  -  техническое обслуживание системы видеонаблюдения</v>
      </c>
      <c r="B196" s="196"/>
      <c r="C196" s="196"/>
      <c r="D196" s="196"/>
      <c r="E196" s="196"/>
      <c r="F196" s="196"/>
      <c r="G196" s="196"/>
      <c r="H196" s="48">
        <f>ПТО!G14</f>
        <v>33600</v>
      </c>
      <c r="I196" s="49" t="s">
        <v>73</v>
      </c>
    </row>
    <row r="197" spans="1:10" ht="18.75" customHeight="1">
      <c r="A197" s="196" t="str">
        <f>ПТО!F15</f>
        <v xml:space="preserve">  -  ремонт подъезда</v>
      </c>
      <c r="B197" s="196"/>
      <c r="C197" s="196"/>
      <c r="D197" s="196"/>
      <c r="E197" s="196"/>
      <c r="F197" s="196"/>
      <c r="G197" s="196"/>
      <c r="H197" s="48">
        <f>ПТО!G15</f>
        <v>500000</v>
      </c>
      <c r="I197" s="49" t="s">
        <v>73</v>
      </c>
    </row>
    <row r="198" spans="1:10" ht="19.5" customHeight="1">
      <c r="A198" s="196" t="str">
        <f>ПТО!F16</f>
        <v xml:space="preserve">  -  замена тамбурной двери </v>
      </c>
      <c r="B198" s="196"/>
      <c r="C198" s="196"/>
      <c r="D198" s="196"/>
      <c r="E198" s="196"/>
      <c r="F198" s="196"/>
      <c r="G198" s="196"/>
      <c r="H198" s="48">
        <f>ПТО!G16</f>
        <v>55000</v>
      </c>
      <c r="I198" s="51" t="s">
        <v>73</v>
      </c>
    </row>
    <row r="199" spans="1:10" ht="36" customHeight="1">
      <c r="A199" s="196" t="str">
        <f>ПТО!F17</f>
        <v xml:space="preserve">  -  механизированная уборка и вывоз снега с придомовой территории</v>
      </c>
      <c r="B199" s="196"/>
      <c r="C199" s="196"/>
      <c r="D199" s="196"/>
      <c r="E199" s="196"/>
      <c r="F199" s="196"/>
      <c r="G199" s="196"/>
      <c r="H199" s="48">
        <f>ПТО!G17</f>
        <v>20000</v>
      </c>
      <c r="I199" s="49" t="s">
        <v>73</v>
      </c>
    </row>
    <row r="200" spans="1:10" hidden="1">
      <c r="A200" s="196">
        <f>ПТО!F18</f>
        <v>0</v>
      </c>
      <c r="B200" s="196"/>
      <c r="C200" s="196"/>
      <c r="D200" s="196"/>
      <c r="E200" s="196"/>
      <c r="F200" s="196"/>
      <c r="G200" s="196"/>
      <c r="H200" s="48">
        <f>ПТО!G18</f>
        <v>0</v>
      </c>
      <c r="I200" s="49" t="s">
        <v>73</v>
      </c>
    </row>
    <row r="201" spans="1:10" hidden="1">
      <c r="A201" s="196">
        <f>ПТО!F19</f>
        <v>0</v>
      </c>
      <c r="B201" s="196"/>
      <c r="C201" s="196"/>
      <c r="D201" s="196"/>
      <c r="E201" s="196"/>
      <c r="F201" s="196"/>
      <c r="G201" s="196"/>
      <c r="H201" s="48">
        <f>ПТО!G19</f>
        <v>0</v>
      </c>
      <c r="I201" s="49" t="s">
        <v>73</v>
      </c>
    </row>
    <row r="202" spans="1:10" hidden="1">
      <c r="A202" s="196">
        <f>ПТО!F20</f>
        <v>0</v>
      </c>
      <c r="B202" s="196"/>
      <c r="C202" s="196"/>
      <c r="D202" s="196"/>
      <c r="E202" s="196"/>
      <c r="F202" s="196"/>
      <c r="G202" s="196"/>
      <c r="H202" s="48">
        <f>ПТО!G20</f>
        <v>0</v>
      </c>
      <c r="I202" s="49" t="s">
        <v>73</v>
      </c>
    </row>
    <row r="203" spans="1:10" hidden="1">
      <c r="A203" s="196">
        <f>ПТО!F21</f>
        <v>0</v>
      </c>
      <c r="B203" s="196"/>
      <c r="C203" s="196"/>
      <c r="D203" s="196"/>
      <c r="E203" s="196"/>
      <c r="F203" s="196"/>
      <c r="G203" s="196"/>
      <c r="H203" s="48">
        <f>ПТО!G21</f>
        <v>0</v>
      </c>
      <c r="I203" s="49" t="s">
        <v>73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48">
        <f>ПТО!G22</f>
        <v>0</v>
      </c>
      <c r="I204" s="49" t="s">
        <v>73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8">
        <f>ПТО!G23</f>
        <v>0</v>
      </c>
      <c r="I205" s="49" t="s">
        <v>73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8">
        <f>ПТО!G24</f>
        <v>0</v>
      </c>
      <c r="I206" s="49" t="s">
        <v>73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8">
        <f>ПТО!G25</f>
        <v>0</v>
      </c>
      <c r="I207" s="49" t="s">
        <v>73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8">
        <f>ПТО!G26</f>
        <v>0</v>
      </c>
      <c r="I208" s="49" t="s">
        <v>73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8">
        <f>ПТО!G27</f>
        <v>0</v>
      </c>
      <c r="I209" s="49" t="s">
        <v>73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8">
        <f>ПТО!G28</f>
        <v>0</v>
      </c>
      <c r="I210" s="49" t="s">
        <v>73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8">
        <f>ПТО!G29</f>
        <v>0</v>
      </c>
      <c r="I211" s="49" t="s">
        <v>73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8">
        <f>ПТО!G30</f>
        <v>0</v>
      </c>
      <c r="I212" s="49" t="s">
        <v>73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8">
        <f>ПТО!G31</f>
        <v>0</v>
      </c>
      <c r="I213" s="49" t="s">
        <v>73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614105</v>
      </c>
      <c r="I214" s="55" t="s">
        <v>77</v>
      </c>
    </row>
  </sheetData>
  <sheetProtection algorithmName="SHA-512" hashValue="zvl1uSMGMPJUJqX5nQLhuOM4v6V6jKbzdK5l5h3L+FqKl2pcfKUrnB7jXnL4Qgw56h4CW/t07WTxWWaij0rSTA==" saltValue="ItzG9+X7ZKL5A2+Y7baow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8" sqref="E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22.855468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7" t="s">
        <v>18</v>
      </c>
      <c r="B1" s="147" t="s">
        <v>55</v>
      </c>
      <c r="C1" s="147" t="s">
        <v>20</v>
      </c>
      <c r="D1" s="147" t="s">
        <v>19</v>
      </c>
      <c r="E1" s="148"/>
      <c r="F1" s="99" t="s">
        <v>193</v>
      </c>
      <c r="G1" s="100">
        <f>-302873.29</f>
        <v>-302873.28999999998</v>
      </c>
    </row>
    <row r="2" spans="1:12" ht="18.75" customHeight="1">
      <c r="A2" s="164" t="s">
        <v>71</v>
      </c>
      <c r="B2" s="165" t="s">
        <v>179</v>
      </c>
      <c r="C2" s="165">
        <v>1</v>
      </c>
      <c r="D2" s="158">
        <v>8100</v>
      </c>
      <c r="E2" s="166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5" t="s">
        <v>178</v>
      </c>
      <c r="B3" s="157" t="s">
        <v>180</v>
      </c>
      <c r="C3" s="165">
        <v>12</v>
      </c>
      <c r="D3" s="168">
        <f>2800*12</f>
        <v>33600</v>
      </c>
      <c r="E3" s="167" t="s">
        <v>200</v>
      </c>
      <c r="F3" s="30"/>
      <c r="G3" s="30"/>
      <c r="L3" s="33" t="str">
        <f t="shared" si="0"/>
        <v>ТР</v>
      </c>
    </row>
    <row r="4" spans="1:12" ht="18.75" customHeight="1">
      <c r="A4" s="150" t="s">
        <v>186</v>
      </c>
      <c r="B4" s="151" t="s">
        <v>185</v>
      </c>
      <c r="C4" s="152">
        <v>1</v>
      </c>
      <c r="D4" s="153">
        <v>2385.9</v>
      </c>
      <c r="E4" s="154" t="s">
        <v>197</v>
      </c>
      <c r="F4" s="30"/>
      <c r="G4" s="30"/>
      <c r="L4" s="33" t="str">
        <f t="shared" si="0"/>
        <v>ТР</v>
      </c>
    </row>
    <row r="5" spans="1:12" ht="18.75" customHeight="1">
      <c r="A5" s="155" t="s">
        <v>194</v>
      </c>
      <c r="B5" s="156" t="s">
        <v>185</v>
      </c>
      <c r="C5" s="157">
        <v>1</v>
      </c>
      <c r="D5" s="158">
        <v>29534</v>
      </c>
      <c r="E5" s="167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59" t="s">
        <v>195</v>
      </c>
      <c r="B6" s="160" t="s">
        <v>185</v>
      </c>
      <c r="C6" s="161">
        <v>1</v>
      </c>
      <c r="D6" s="162">
        <v>1700</v>
      </c>
      <c r="E6" s="163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43"/>
      <c r="B7" s="140"/>
      <c r="C7" s="119"/>
      <c r="D7" s="121"/>
      <c r="E7" s="141"/>
      <c r="F7" s="45"/>
      <c r="G7" s="45"/>
      <c r="K7" s="46"/>
      <c r="L7" s="33">
        <f t="shared" si="0"/>
        <v>0</v>
      </c>
    </row>
    <row r="8" spans="1:12" ht="18.75" customHeight="1">
      <c r="A8" s="120"/>
      <c r="B8" s="117"/>
      <c r="C8" s="122"/>
      <c r="D8" s="118"/>
      <c r="E8" s="142"/>
      <c r="F8" s="45"/>
      <c r="G8" s="45"/>
      <c r="K8" s="43"/>
      <c r="L8" s="33">
        <f t="shared" si="0"/>
        <v>0</v>
      </c>
    </row>
    <row r="9" spans="1:12">
      <c r="A9" s="144"/>
      <c r="B9" s="145"/>
      <c r="C9" s="119"/>
      <c r="D9" s="121"/>
      <c r="E9" s="146"/>
      <c r="F9" s="44"/>
      <c r="G9" s="44"/>
      <c r="K9" s="43"/>
      <c r="L9" s="33">
        <f t="shared" si="0"/>
        <v>0</v>
      </c>
    </row>
    <row r="10" spans="1:12">
      <c r="A10" s="125"/>
      <c r="B10" s="123"/>
      <c r="C10" s="123"/>
      <c r="D10" s="46"/>
      <c r="E10" s="124"/>
      <c r="L10" s="33">
        <f t="shared" si="0"/>
        <v>0</v>
      </c>
    </row>
    <row r="11" spans="1:12" ht="94.5">
      <c r="A11" s="125"/>
      <c r="B11" s="123"/>
      <c r="C11" s="123"/>
      <c r="D11" s="46"/>
      <c r="E11" s="124"/>
      <c r="F11" s="110" t="s">
        <v>189</v>
      </c>
      <c r="G11" s="110"/>
      <c r="L11" s="33">
        <f t="shared" si="0"/>
        <v>0</v>
      </c>
    </row>
    <row r="12" spans="1:12" ht="31.5">
      <c r="A12" s="120"/>
      <c r="B12" s="117"/>
      <c r="C12" s="122"/>
      <c r="D12" s="118"/>
      <c r="E12" s="124"/>
      <c r="F12" s="111" t="s">
        <v>72</v>
      </c>
      <c r="G12" s="112">
        <v>1200</v>
      </c>
      <c r="L12" s="33">
        <f t="shared" si="0"/>
        <v>0</v>
      </c>
    </row>
    <row r="13" spans="1:12" ht="31.5">
      <c r="A13" s="126"/>
      <c r="B13" s="127"/>
      <c r="C13" s="128"/>
      <c r="D13" s="129"/>
      <c r="E13" s="130"/>
      <c r="F13" s="111" t="s">
        <v>74</v>
      </c>
      <c r="G13" s="112">
        <v>4305</v>
      </c>
      <c r="L13" s="33">
        <f t="shared" si="0"/>
        <v>0</v>
      </c>
    </row>
    <row r="14" spans="1:12" ht="31.5">
      <c r="A14" s="30"/>
      <c r="F14" s="111" t="s">
        <v>75</v>
      </c>
      <c r="G14" s="113">
        <v>33600</v>
      </c>
      <c r="L14" s="33">
        <f t="shared" si="0"/>
        <v>0</v>
      </c>
    </row>
    <row r="15" spans="1:12" ht="15.75">
      <c r="A15" s="30"/>
      <c r="F15" s="137" t="s">
        <v>182</v>
      </c>
      <c r="G15" s="138">
        <v>500000</v>
      </c>
      <c r="L15" s="33">
        <f t="shared" si="0"/>
        <v>0</v>
      </c>
    </row>
    <row r="16" spans="1:12" ht="15.75">
      <c r="A16" s="30"/>
      <c r="F16" s="111" t="s">
        <v>188</v>
      </c>
      <c r="G16" s="112">
        <v>55000</v>
      </c>
      <c r="L16" s="33">
        <f t="shared" si="0"/>
        <v>0</v>
      </c>
    </row>
    <row r="17" spans="1:12" ht="15.75">
      <c r="A17" s="30"/>
      <c r="F17" s="139" t="s">
        <v>187</v>
      </c>
      <c r="G17" s="113">
        <v>20000</v>
      </c>
      <c r="L17" s="33">
        <f t="shared" si="0"/>
        <v>0</v>
      </c>
    </row>
    <row r="18" spans="1:12" ht="15.75">
      <c r="A18" s="30"/>
      <c r="F18" s="111"/>
      <c r="G18" s="11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f>G39*F39*'Абонентский отдел'!$F$1</f>
        <v>108252.012</v>
      </c>
      <c r="C39" s="38" t="s">
        <v>66</v>
      </c>
      <c r="D39" s="39">
        <v>12</v>
      </c>
      <c r="E39" s="34"/>
      <c r="F39" s="31">
        <v>3.19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108252.012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G40*F40*'Абонентский отдел'!$F$1</f>
        <v>60064.596000000005</v>
      </c>
      <c r="C40" s="38" t="s">
        <v>66</v>
      </c>
      <c r="D40" s="39">
        <v>12</v>
      </c>
      <c r="E40" s="34"/>
      <c r="F40" s="31">
        <v>1.77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60064.596000000005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196</v>
      </c>
      <c r="B41" s="38">
        <f>G41*F41*'Абонентский отдел'!$F$1</f>
        <v>109609.40399999999</v>
      </c>
      <c r="C41" s="38" t="s">
        <v>67</v>
      </c>
      <c r="D41" s="39">
        <v>12</v>
      </c>
      <c r="E41" s="34"/>
      <c r="F41" s="31">
        <v>3.23</v>
      </c>
      <c r="G41" s="31">
        <v>12</v>
      </c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109609.40399999999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f>G42*F42*'Абонентский отдел'!$F$1</f>
        <v>40721.759999999995</v>
      </c>
      <c r="C42" s="38" t="s">
        <v>66</v>
      </c>
      <c r="D42" s="39">
        <v>12</v>
      </c>
      <c r="E42" s="34"/>
      <c r="F42" s="149">
        <v>1.2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40721.759999999995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G43" s="31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f>G44*F44*'Абонентский отдел'!$F$1</f>
        <v>13234.572</v>
      </c>
      <c r="C44" s="38" t="s">
        <v>68</v>
      </c>
      <c r="D44" s="39">
        <v>12</v>
      </c>
      <c r="E44" s="34"/>
      <c r="F44" s="149">
        <v>0.39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13234.572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f>G45*F45*'Абонентский отдел'!$F$1</f>
        <v>46830.023999999998</v>
      </c>
      <c r="C45" s="38" t="s">
        <v>67</v>
      </c>
      <c r="D45" s="39">
        <v>12</v>
      </c>
      <c r="E45" s="34"/>
      <c r="F45" s="149">
        <v>1.38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46830.023999999998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f>G46*F46*'Абонентский отдел'!$F$1</f>
        <v>135399.85200000001</v>
      </c>
      <c r="C46" s="38" t="s">
        <v>66</v>
      </c>
      <c r="D46" s="39">
        <v>12</v>
      </c>
      <c r="F46" s="149">
        <v>3.99</v>
      </c>
      <c r="G46" s="31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135399.85200000001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133"/>
      <c r="E47" s="131"/>
      <c r="F47" s="131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4"/>
      <c r="C48" s="132"/>
      <c r="D48" s="133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5"/>
      <c r="F52" s="135"/>
      <c r="G52" s="135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5"/>
      <c r="F53" s="131"/>
      <c r="G53" s="135"/>
      <c r="H53" s="135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5"/>
      <c r="F54" s="135"/>
      <c r="G54" s="135"/>
      <c r="H54" s="135"/>
    </row>
    <row r="55" spans="5:16">
      <c r="E55" s="135"/>
      <c r="F55" s="135"/>
      <c r="G55" s="135"/>
      <c r="H55" s="135"/>
    </row>
    <row r="56" spans="5:16">
      <c r="E56" s="135"/>
      <c r="F56" s="135"/>
      <c r="G56" s="135"/>
      <c r="H56" s="135"/>
    </row>
    <row r="57" spans="5:16">
      <c r="E57" s="135"/>
      <c r="F57" s="135"/>
      <c r="G57" s="135"/>
      <c r="H57" s="135"/>
    </row>
    <row r="58" spans="5:16">
      <c r="E58" s="135"/>
      <c r="F58" s="135"/>
      <c r="G58" s="135"/>
      <c r="H58" s="135"/>
    </row>
    <row r="59" spans="5:16">
      <c r="E59" s="135"/>
      <c r="F59" s="131"/>
      <c r="G59" s="135"/>
      <c r="H59" s="135"/>
    </row>
    <row r="60" spans="5:16">
      <c r="E60" s="135"/>
      <c r="F60" s="135"/>
      <c r="G60" s="135"/>
      <c r="H60" s="135"/>
    </row>
    <row r="61" spans="5:16">
      <c r="E61" s="135"/>
      <c r="F61" s="135"/>
      <c r="G61" s="135"/>
      <c r="H61" s="135"/>
    </row>
    <row r="62" spans="5:16">
      <c r="E62" s="135"/>
      <c r="F62" s="135"/>
      <c r="G62" s="135"/>
      <c r="H62" s="135"/>
    </row>
    <row r="63" spans="5:16">
      <c r="E63" s="135"/>
      <c r="F63" s="131"/>
      <c r="G63" s="135"/>
      <c r="H63" s="135"/>
    </row>
    <row r="64" spans="5:16">
      <c r="E64" s="135"/>
      <c r="F64" s="135"/>
      <c r="G64" s="135"/>
      <c r="H64" s="135"/>
    </row>
    <row r="65" spans="4:13" ht="18.75" customHeight="1">
      <c r="E65" s="135"/>
      <c r="F65" s="135"/>
      <c r="G65" s="135"/>
      <c r="H65" s="135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R0gfw+Qce1bB1oFug/FKpymdz31k6RixndeeFrwj8AxFSmsgOluSRzxX1Z9xDsOfWL0TJiE15vASSYzXaDEmog==" saltValue="vyMajUDXPVp9ZrgG3XZXd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31</v>
      </c>
      <c r="E1" s="59" t="s">
        <v>181</v>
      </c>
      <c r="F1" s="59">
        <v>2827.9</v>
      </c>
    </row>
    <row r="2" spans="1:10" ht="15.75" customHeight="1">
      <c r="A2" s="69" t="s">
        <v>82</v>
      </c>
      <c r="B2" s="71" t="s">
        <v>1</v>
      </c>
      <c r="C2" s="82">
        <v>0</v>
      </c>
      <c r="D2" s="80" t="s">
        <v>56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2</v>
      </c>
      <c r="C3" s="78">
        <v>0</v>
      </c>
      <c r="D3" s="79" t="s">
        <v>57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3</v>
      </c>
      <c r="C4" s="82">
        <v>87278.18</v>
      </c>
      <c r="D4" s="80" t="s">
        <v>58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4</v>
      </c>
      <c r="C5" s="78">
        <f>SUM(C6:C8)</f>
        <v>657807.43200000003</v>
      </c>
      <c r="D5" s="79" t="s">
        <v>57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5</v>
      </c>
      <c r="C6" s="82">
        <v>496956.48</v>
      </c>
      <c r="D6" s="80" t="s">
        <v>59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6</v>
      </c>
      <c r="C7" s="82">
        <f>F1*4.74*12</f>
        <v>160850.95200000002</v>
      </c>
      <c r="D7" s="80" t="s">
        <v>60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7</v>
      </c>
      <c r="C8" s="82">
        <v>0</v>
      </c>
      <c r="D8" s="80" t="s">
        <v>61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8</v>
      </c>
      <c r="C9" s="78">
        <f>SUM(C10:C14)</f>
        <v>724839.35</v>
      </c>
      <c r="D9" s="79" t="s">
        <v>57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9</v>
      </c>
      <c r="C10" s="82">
        <v>724839.35</v>
      </c>
      <c r="D10" s="80" t="s">
        <v>62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10</v>
      </c>
      <c r="C11" s="82">
        <v>0</v>
      </c>
      <c r="D11" s="80" t="s">
        <v>62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11</v>
      </c>
      <c r="C12" s="82">
        <v>0</v>
      </c>
      <c r="D12" s="80" t="s">
        <v>62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12</v>
      </c>
      <c r="C13" s="82">
        <v>0</v>
      </c>
      <c r="D13" s="80" t="s">
        <v>62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13</v>
      </c>
      <c r="C14" s="82">
        <v>0</v>
      </c>
      <c r="D14" s="80" t="s">
        <v>62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14</v>
      </c>
      <c r="C15" s="78">
        <f>C9</f>
        <v>724839.35</v>
      </c>
      <c r="D15" s="79" t="s">
        <v>57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15</v>
      </c>
      <c r="C16" s="78">
        <f>IF(C2&gt;0,IF(C2+C9-C5&gt;0,C2+C9-C5,0),IF(C9-C5&gt;0,IF(C4+C5-C9&gt;0,0,C9-C5-C4),0))</f>
        <v>0</v>
      </c>
      <c r="D16" s="79" t="s">
        <v>57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16</v>
      </c>
      <c r="C17" s="78">
        <v>0</v>
      </c>
      <c r="D17" s="79" t="s">
        <v>57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17</v>
      </c>
      <c r="C18" s="78">
        <f>IF(C16&gt;0,0,IF(C4&gt;0,C4+C5-C9,C5-C2-C9))</f>
        <v>20246.261999999988</v>
      </c>
      <c r="D18" s="79" t="s">
        <v>57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29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25</v>
      </c>
      <c r="C20" s="83">
        <v>0</v>
      </c>
      <c r="D20" s="80" t="s">
        <v>65</v>
      </c>
      <c r="E20" s="60"/>
      <c r="F20" s="60"/>
      <c r="G20" s="60"/>
      <c r="H20" s="60"/>
      <c r="I20" s="60"/>
      <c r="J20" s="60"/>
      <c r="M20" s="200"/>
      <c r="N20" s="61"/>
    </row>
    <row r="21" spans="1:15" ht="15.75" customHeight="1">
      <c r="A21" s="69" t="s">
        <v>100</v>
      </c>
      <c r="B21" s="71" t="s">
        <v>26</v>
      </c>
      <c r="C21" s="83">
        <v>0</v>
      </c>
      <c r="D21" s="80" t="s">
        <v>65</v>
      </c>
      <c r="E21" s="60"/>
      <c r="F21" s="60"/>
      <c r="G21" s="60"/>
      <c r="H21" s="60"/>
      <c r="I21" s="60"/>
      <c r="J21" s="60"/>
      <c r="M21" s="200"/>
      <c r="N21" s="61"/>
    </row>
    <row r="22" spans="1:15" ht="15.75" customHeight="1">
      <c r="A22" s="69" t="s">
        <v>101</v>
      </c>
      <c r="B22" s="71" t="s">
        <v>27</v>
      </c>
      <c r="C22" s="83">
        <v>0</v>
      </c>
      <c r="D22" s="80" t="s">
        <v>65</v>
      </c>
      <c r="E22" s="60"/>
      <c r="F22" s="60"/>
      <c r="G22" s="60"/>
      <c r="H22" s="60"/>
      <c r="I22" s="60"/>
      <c r="J22" s="60"/>
      <c r="M22" s="200"/>
      <c r="N22" s="61"/>
    </row>
    <row r="23" spans="1:15" ht="15.75" customHeight="1">
      <c r="A23" s="69" t="s">
        <v>102</v>
      </c>
      <c r="B23" s="71" t="s">
        <v>28</v>
      </c>
      <c r="C23" s="84">
        <v>0</v>
      </c>
      <c r="D23" s="80" t="s">
        <v>65</v>
      </c>
      <c r="E23" s="60"/>
      <c r="F23" s="60"/>
      <c r="G23" s="60"/>
      <c r="H23" s="60"/>
      <c r="I23" s="60"/>
      <c r="J23" s="60"/>
      <c r="M23" s="200"/>
      <c r="N23" s="61"/>
    </row>
    <row r="24" spans="1:15" ht="18.75">
      <c r="A24" s="72" t="s">
        <v>162</v>
      </c>
      <c r="B24" s="70" t="s">
        <v>32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1</v>
      </c>
      <c r="C25" s="85">
        <v>0</v>
      </c>
      <c r="D25" s="80" t="s">
        <v>56</v>
      </c>
      <c r="E25" s="63"/>
      <c r="F25" s="63"/>
      <c r="G25" s="63"/>
      <c r="H25" s="63"/>
      <c r="I25" s="63"/>
      <c r="J25" s="63"/>
      <c r="M25" s="199"/>
      <c r="N25" s="62"/>
    </row>
    <row r="26" spans="1:15" ht="18.75" customHeight="1">
      <c r="A26" s="69" t="s">
        <v>104</v>
      </c>
      <c r="B26" s="74" t="s">
        <v>2</v>
      </c>
      <c r="C26" s="81">
        <v>0</v>
      </c>
      <c r="D26" s="79" t="s">
        <v>57</v>
      </c>
      <c r="E26" s="63"/>
      <c r="F26" s="63"/>
      <c r="G26" s="63"/>
      <c r="H26" s="63"/>
      <c r="I26" s="63"/>
      <c r="J26" s="63"/>
      <c r="M26" s="199"/>
      <c r="N26" s="62"/>
    </row>
    <row r="27" spans="1:15" ht="18.75" customHeight="1">
      <c r="A27" s="69" t="s">
        <v>105</v>
      </c>
      <c r="B27" s="74" t="s">
        <v>3</v>
      </c>
      <c r="C27" s="85">
        <v>107088.46</v>
      </c>
      <c r="D27" s="80" t="s">
        <v>58</v>
      </c>
      <c r="E27" s="63"/>
      <c r="F27" s="63"/>
      <c r="G27" s="63"/>
      <c r="H27" s="63"/>
      <c r="I27" s="63"/>
      <c r="J27" s="63"/>
      <c r="M27" s="199"/>
      <c r="N27" s="62"/>
    </row>
    <row r="28" spans="1:15" ht="18.75" customHeight="1">
      <c r="A28" s="69" t="s">
        <v>106</v>
      </c>
      <c r="B28" s="74" t="s">
        <v>15</v>
      </c>
      <c r="C28" s="85">
        <v>0</v>
      </c>
      <c r="D28" s="80" t="s">
        <v>63</v>
      </c>
      <c r="E28" s="63"/>
      <c r="F28" s="63"/>
      <c r="G28" s="63"/>
      <c r="H28" s="63"/>
      <c r="I28" s="63"/>
      <c r="J28" s="63"/>
      <c r="M28" s="199"/>
      <c r="N28" s="62"/>
    </row>
    <row r="29" spans="1:15" ht="18.75" customHeight="1">
      <c r="A29" s="69" t="s">
        <v>107</v>
      </c>
      <c r="B29" s="74" t="s">
        <v>16</v>
      </c>
      <c r="C29" s="81">
        <v>0</v>
      </c>
      <c r="D29" s="79" t="s">
        <v>57</v>
      </c>
      <c r="E29" s="63"/>
      <c r="F29" s="63"/>
      <c r="G29" s="63"/>
      <c r="H29" s="63"/>
      <c r="I29" s="63"/>
      <c r="J29" s="63"/>
      <c r="M29" s="199"/>
      <c r="N29" s="62"/>
    </row>
    <row r="30" spans="1:15" ht="18.75" customHeight="1">
      <c r="A30" s="69" t="s">
        <v>108</v>
      </c>
      <c r="B30" s="74" t="s">
        <v>17</v>
      </c>
      <c r="C30" s="85">
        <f>C27+E37+E45+E53+E61-C39-C47-C55-C63</f>
        <v>52409.820000000007</v>
      </c>
      <c r="D30" s="80" t="s">
        <v>64</v>
      </c>
      <c r="E30" s="63"/>
      <c r="F30" s="63"/>
      <c r="G30" s="63"/>
      <c r="H30" s="63"/>
      <c r="I30" s="63"/>
      <c r="J30" s="63"/>
      <c r="M30" s="199"/>
      <c r="N30" s="62"/>
    </row>
    <row r="31" spans="1:15" ht="18.75" customHeight="1">
      <c r="A31" s="69" t="s">
        <v>109</v>
      </c>
      <c r="B31" s="74" t="s">
        <v>25</v>
      </c>
      <c r="C31" s="86">
        <v>0</v>
      </c>
      <c r="D31" s="80" t="s">
        <v>65</v>
      </c>
      <c r="E31" s="63"/>
      <c r="F31" s="63"/>
      <c r="G31" s="63"/>
      <c r="H31" s="63"/>
      <c r="I31" s="63"/>
      <c r="J31" s="63"/>
      <c r="M31" s="199"/>
      <c r="N31" s="62"/>
    </row>
    <row r="32" spans="1:15" ht="18.75" customHeight="1">
      <c r="A32" s="69" t="s">
        <v>110</v>
      </c>
      <c r="B32" s="74" t="s">
        <v>26</v>
      </c>
      <c r="C32" s="86">
        <v>0</v>
      </c>
      <c r="D32" s="80" t="s">
        <v>65</v>
      </c>
      <c r="E32" s="63"/>
      <c r="F32" s="63"/>
      <c r="G32" s="63"/>
      <c r="H32" s="63"/>
      <c r="I32" s="63"/>
      <c r="J32" s="63"/>
      <c r="M32" s="199"/>
      <c r="N32" s="62"/>
    </row>
    <row r="33" spans="1:15" ht="18.75" customHeight="1">
      <c r="A33" s="69" t="s">
        <v>111</v>
      </c>
      <c r="B33" s="74" t="s">
        <v>27</v>
      </c>
      <c r="C33" s="86">
        <v>0</v>
      </c>
      <c r="D33" s="80" t="s">
        <v>65</v>
      </c>
      <c r="E33" s="63"/>
      <c r="F33" s="63"/>
      <c r="G33" s="63"/>
      <c r="H33" s="63"/>
      <c r="I33" s="63"/>
      <c r="J33" s="63"/>
      <c r="M33" s="199"/>
      <c r="N33" s="62"/>
    </row>
    <row r="34" spans="1:15" ht="18.75" customHeight="1">
      <c r="A34" s="69" t="s">
        <v>112</v>
      </c>
      <c r="B34" s="74" t="s">
        <v>28</v>
      </c>
      <c r="C34" s="87">
        <v>0</v>
      </c>
      <c r="D34" s="80" t="s">
        <v>65</v>
      </c>
      <c r="E34" s="63"/>
      <c r="F34" s="63"/>
      <c r="G34" s="63"/>
      <c r="H34" s="63"/>
      <c r="I34" s="63"/>
      <c r="J34" s="63"/>
      <c r="M34" s="199"/>
      <c r="N34" s="62"/>
    </row>
    <row r="35" spans="1:15" ht="18.75">
      <c r="A35" s="72" t="s">
        <v>163</v>
      </c>
      <c r="B35" s="70" t="s">
        <v>33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164</v>
      </c>
      <c r="B36" s="75" t="s">
        <v>46</v>
      </c>
      <c r="C36" s="91" t="s">
        <v>47</v>
      </c>
      <c r="D36" s="75" t="s">
        <v>48</v>
      </c>
      <c r="E36" s="75" t="s">
        <v>49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51</v>
      </c>
      <c r="C37" s="95" t="str">
        <f>IF(E37&gt;0,"Предоставляется",0)</f>
        <v>Предоставляется</v>
      </c>
      <c r="D37" s="95" t="s">
        <v>50</v>
      </c>
      <c r="E37" s="94">
        <v>239947.49</v>
      </c>
      <c r="F37" s="93" t="s">
        <v>167</v>
      </c>
      <c r="G37" s="65"/>
      <c r="H37" s="65"/>
      <c r="I37" s="65"/>
      <c r="L37" s="62"/>
      <c r="M37" s="198"/>
      <c r="N37" s="62"/>
      <c r="O37" s="62"/>
    </row>
    <row r="38" spans="1:15" ht="18.75" customHeight="1">
      <c r="A38" s="69" t="s">
        <v>113</v>
      </c>
      <c r="B38" s="77" t="s">
        <v>35</v>
      </c>
      <c r="C38" s="89">
        <f>E37/1.5</f>
        <v>159964.99333333332</v>
      </c>
      <c r="D38" s="93" t="s">
        <v>165</v>
      </c>
      <c r="E38" s="67"/>
      <c r="G38" s="66"/>
      <c r="H38" s="66"/>
      <c r="L38" s="62"/>
      <c r="M38" s="198"/>
      <c r="N38" s="62"/>
      <c r="O38" s="62"/>
    </row>
    <row r="39" spans="1:15" ht="18.75" customHeight="1">
      <c r="A39" s="69" t="s">
        <v>114</v>
      </c>
      <c r="B39" s="77" t="s">
        <v>36</v>
      </c>
      <c r="C39" s="90">
        <v>260456.61</v>
      </c>
      <c r="D39" s="93" t="s">
        <v>166</v>
      </c>
      <c r="E39" s="136"/>
      <c r="G39" s="66"/>
      <c r="H39" s="66"/>
      <c r="L39" s="62"/>
      <c r="M39" s="198"/>
      <c r="N39" s="62"/>
      <c r="O39" s="62"/>
    </row>
    <row r="40" spans="1:15" ht="18.75" customHeight="1">
      <c r="A40" s="69" t="s">
        <v>115</v>
      </c>
      <c r="B40" s="77" t="s">
        <v>37</v>
      </c>
      <c r="C40" s="92">
        <f>IF(E37-C39&lt;0,0,E37-C39)</f>
        <v>0</v>
      </c>
      <c r="D40" s="79" t="s">
        <v>57</v>
      </c>
      <c r="E40" s="136"/>
      <c r="G40" s="66"/>
      <c r="H40" s="66"/>
      <c r="L40" s="62"/>
      <c r="M40" s="198"/>
      <c r="N40" s="62"/>
      <c r="O40" s="62"/>
    </row>
    <row r="41" spans="1:15" ht="18.75" customHeight="1">
      <c r="A41" s="69" t="s">
        <v>116</v>
      </c>
      <c r="B41" s="77" t="s">
        <v>38</v>
      </c>
      <c r="C41" s="92">
        <f>E37</f>
        <v>239947.49</v>
      </c>
      <c r="D41" s="79" t="s">
        <v>57</v>
      </c>
      <c r="E41" s="136"/>
      <c r="G41" s="66"/>
      <c r="H41" s="66"/>
      <c r="L41" s="62"/>
      <c r="M41" s="198"/>
      <c r="N41" s="62"/>
      <c r="O41" s="62"/>
    </row>
    <row r="42" spans="1:15" ht="18.75" customHeight="1">
      <c r="A42" s="69" t="s">
        <v>117</v>
      </c>
      <c r="B42" s="77" t="s">
        <v>39</v>
      </c>
      <c r="C42" s="92">
        <f>E37</f>
        <v>239947.49</v>
      </c>
      <c r="D42" s="79" t="s">
        <v>57</v>
      </c>
      <c r="E42" s="136"/>
      <c r="G42" s="66"/>
      <c r="H42" s="66"/>
      <c r="L42" s="62"/>
      <c r="M42" s="198"/>
      <c r="N42" s="62"/>
      <c r="O42" s="62"/>
    </row>
    <row r="43" spans="1:15" ht="18.75" customHeight="1">
      <c r="A43" s="69" t="s">
        <v>118</v>
      </c>
      <c r="B43" s="77" t="s">
        <v>40</v>
      </c>
      <c r="C43" s="92">
        <f>IF(C41-C42&lt;=0,,C41-C42)</f>
        <v>0</v>
      </c>
      <c r="D43" s="79" t="s">
        <v>57</v>
      </c>
      <c r="E43" s="67"/>
      <c r="G43" s="66"/>
      <c r="H43" s="66"/>
      <c r="L43" s="62"/>
      <c r="M43" s="198"/>
      <c r="N43" s="62"/>
      <c r="O43" s="62"/>
    </row>
    <row r="44" spans="1:15" ht="30" customHeight="1">
      <c r="A44" s="69" t="s">
        <v>119</v>
      </c>
      <c r="B44" s="77" t="s">
        <v>41</v>
      </c>
      <c r="C44" s="92">
        <v>0</v>
      </c>
      <c r="D44" s="79" t="s">
        <v>57</v>
      </c>
      <c r="E44" s="67"/>
      <c r="G44" s="66"/>
      <c r="H44" s="66"/>
      <c r="L44" s="62"/>
      <c r="M44" s="198"/>
      <c r="N44" s="62"/>
      <c r="O44" s="62"/>
    </row>
    <row r="45" spans="1:15" ht="18.75">
      <c r="A45" s="72" t="s">
        <v>121</v>
      </c>
      <c r="B45" s="76" t="s">
        <v>52</v>
      </c>
      <c r="C45" s="95" t="str">
        <f>IF(E45&gt;0,"Предоставляется",0)</f>
        <v>Предоставляется</v>
      </c>
      <c r="D45" s="95" t="s">
        <v>53</v>
      </c>
      <c r="E45" s="94">
        <v>105892.12</v>
      </c>
      <c r="F45" s="93" t="s">
        <v>167</v>
      </c>
      <c r="G45" s="65"/>
      <c r="H45" s="65"/>
      <c r="L45" s="62"/>
      <c r="M45" s="198"/>
      <c r="N45" s="62"/>
      <c r="O45" s="62"/>
    </row>
    <row r="46" spans="1:15" ht="18.75" customHeight="1">
      <c r="A46" s="72" t="s">
        <v>122</v>
      </c>
      <c r="B46" s="77" t="s">
        <v>35</v>
      </c>
      <c r="C46" s="89">
        <f>E45/15.95</f>
        <v>6639.004388714734</v>
      </c>
      <c r="D46" s="93" t="s">
        <v>168</v>
      </c>
      <c r="E46" s="67"/>
      <c r="G46" s="66"/>
      <c r="H46" s="66"/>
      <c r="L46" s="62"/>
      <c r="M46" s="198"/>
      <c r="N46" s="62"/>
      <c r="O46" s="62"/>
    </row>
    <row r="47" spans="1:15" ht="18.75" customHeight="1">
      <c r="A47" s="72" t="s">
        <v>123</v>
      </c>
      <c r="B47" s="77" t="s">
        <v>36</v>
      </c>
      <c r="C47" s="90">
        <v>110761.44</v>
      </c>
      <c r="D47" s="93" t="s">
        <v>166</v>
      </c>
      <c r="E47" s="67"/>
      <c r="G47" s="66"/>
      <c r="H47" s="66"/>
      <c r="L47" s="62"/>
      <c r="M47" s="198"/>
      <c r="N47" s="62"/>
      <c r="O47" s="62"/>
    </row>
    <row r="48" spans="1:15" ht="18.75" customHeight="1">
      <c r="A48" s="72" t="s">
        <v>124</v>
      </c>
      <c r="B48" s="77" t="s">
        <v>37</v>
      </c>
      <c r="C48" s="92">
        <f>IF(E45-C47&lt;0,0,E45-C47)</f>
        <v>0</v>
      </c>
      <c r="D48" s="79" t="s">
        <v>57</v>
      </c>
      <c r="E48" s="67"/>
      <c r="G48" s="66"/>
      <c r="H48" s="66"/>
      <c r="L48" s="62"/>
      <c r="M48" s="198"/>
      <c r="N48" s="62"/>
      <c r="O48" s="62"/>
    </row>
    <row r="49" spans="1:15" ht="18.75" customHeight="1">
      <c r="A49" s="72" t="s">
        <v>125</v>
      </c>
      <c r="B49" s="77" t="s">
        <v>38</v>
      </c>
      <c r="C49" s="92">
        <f>E45</f>
        <v>105892.12</v>
      </c>
      <c r="D49" s="79" t="s">
        <v>57</v>
      </c>
      <c r="E49" s="67"/>
      <c r="G49" s="66"/>
      <c r="H49" s="66"/>
      <c r="L49" s="62"/>
      <c r="M49" s="198"/>
      <c r="N49" s="62"/>
      <c r="O49" s="62"/>
    </row>
    <row r="50" spans="1:15" ht="18.75" customHeight="1">
      <c r="A50" s="72" t="s">
        <v>126</v>
      </c>
      <c r="B50" s="77" t="s">
        <v>39</v>
      </c>
      <c r="C50" s="92">
        <f>E45</f>
        <v>105892.12</v>
      </c>
      <c r="D50" s="79" t="s">
        <v>57</v>
      </c>
      <c r="E50" s="67"/>
      <c r="G50" s="66"/>
      <c r="H50" s="66"/>
      <c r="L50" s="62"/>
      <c r="M50" s="198"/>
      <c r="N50" s="62"/>
      <c r="O50" s="62"/>
    </row>
    <row r="51" spans="1:15" ht="18.75" customHeight="1">
      <c r="A51" s="72" t="s">
        <v>127</v>
      </c>
      <c r="B51" s="77" t="s">
        <v>40</v>
      </c>
      <c r="C51" s="92">
        <f>IF(C49-C50&lt;=0,,C49-C50)</f>
        <v>0</v>
      </c>
      <c r="D51" s="79" t="s">
        <v>57</v>
      </c>
      <c r="E51" s="67"/>
      <c r="G51" s="66"/>
      <c r="H51" s="66"/>
      <c r="L51" s="62"/>
      <c r="M51" s="198"/>
      <c r="N51" s="62"/>
      <c r="O51" s="62"/>
    </row>
    <row r="52" spans="1:15" ht="29.25" customHeight="1">
      <c r="A52" s="72" t="s">
        <v>128</v>
      </c>
      <c r="B52" s="77" t="s">
        <v>41</v>
      </c>
      <c r="C52" s="92">
        <v>0</v>
      </c>
      <c r="D52" s="79" t="s">
        <v>57</v>
      </c>
      <c r="E52" s="67"/>
      <c r="G52" s="66"/>
      <c r="H52" s="66"/>
      <c r="L52" s="62"/>
      <c r="M52" s="198"/>
      <c r="N52" s="62"/>
      <c r="O52" s="62"/>
    </row>
    <row r="53" spans="1:15" ht="18.75">
      <c r="A53" s="72" t="s">
        <v>129</v>
      </c>
      <c r="B53" s="76" t="s">
        <v>54</v>
      </c>
      <c r="C53" s="95" t="str">
        <f>IF(E53&gt;0,"Предоставляется",0)</f>
        <v>Предоставляется</v>
      </c>
      <c r="D53" s="95" t="s">
        <v>53</v>
      </c>
      <c r="E53" s="94">
        <v>107635.52</v>
      </c>
      <c r="F53" s="93" t="s">
        <v>167</v>
      </c>
      <c r="G53" s="65"/>
      <c r="H53" s="65"/>
      <c r="L53" s="62"/>
      <c r="M53" s="198"/>
      <c r="N53" s="62"/>
      <c r="O53" s="62"/>
    </row>
    <row r="54" spans="1:15" ht="18.75" customHeight="1">
      <c r="A54" s="72" t="s">
        <v>130</v>
      </c>
      <c r="B54" s="74" t="s">
        <v>35</v>
      </c>
      <c r="C54" s="97">
        <f>E53/19.39</f>
        <v>5551.0840639504904</v>
      </c>
      <c r="D54" s="93" t="s">
        <v>168</v>
      </c>
      <c r="E54" s="68"/>
      <c r="F54" s="88"/>
      <c r="G54" s="63"/>
      <c r="H54" s="63"/>
      <c r="L54" s="62"/>
      <c r="M54" s="198"/>
      <c r="N54" s="62"/>
      <c r="O54" s="62"/>
    </row>
    <row r="55" spans="1:15" ht="18.75" customHeight="1">
      <c r="A55" s="72" t="s">
        <v>131</v>
      </c>
      <c r="B55" s="74" t="s">
        <v>36</v>
      </c>
      <c r="C55" s="85">
        <v>124170.2</v>
      </c>
      <c r="D55" s="93" t="s">
        <v>166</v>
      </c>
      <c r="E55" s="68"/>
      <c r="G55" s="63"/>
      <c r="H55" s="63"/>
      <c r="L55" s="62"/>
      <c r="M55" s="198"/>
      <c r="N55" s="62"/>
      <c r="O55" s="62"/>
    </row>
    <row r="56" spans="1:15" ht="18.75" customHeight="1">
      <c r="A56" s="72" t="s">
        <v>132</v>
      </c>
      <c r="B56" s="74" t="s">
        <v>37</v>
      </c>
      <c r="C56" s="92">
        <f>IF(E53-C55&lt;0,0,E53-C55)</f>
        <v>0</v>
      </c>
      <c r="D56" s="79" t="s">
        <v>57</v>
      </c>
      <c r="E56" s="68"/>
      <c r="G56" s="63"/>
      <c r="H56" s="63"/>
      <c r="L56" s="62"/>
      <c r="M56" s="198"/>
      <c r="N56" s="62"/>
      <c r="O56" s="62"/>
    </row>
    <row r="57" spans="1:15" ht="18.75" customHeight="1">
      <c r="A57" s="72" t="s">
        <v>133</v>
      </c>
      <c r="B57" s="74" t="s">
        <v>38</v>
      </c>
      <c r="C57" s="92">
        <f>E53</f>
        <v>107635.52</v>
      </c>
      <c r="D57" s="79" t="s">
        <v>57</v>
      </c>
      <c r="E57" s="68"/>
      <c r="G57" s="63"/>
      <c r="H57" s="63"/>
      <c r="L57" s="62"/>
      <c r="M57" s="198"/>
      <c r="N57" s="62"/>
      <c r="O57" s="62"/>
    </row>
    <row r="58" spans="1:15" ht="18.75" customHeight="1">
      <c r="A58" s="72" t="s">
        <v>134</v>
      </c>
      <c r="B58" s="74" t="s">
        <v>39</v>
      </c>
      <c r="C58" s="92">
        <f>E53</f>
        <v>107635.52</v>
      </c>
      <c r="D58" s="79" t="s">
        <v>57</v>
      </c>
      <c r="E58" s="68"/>
      <c r="G58" s="63"/>
      <c r="H58" s="63"/>
      <c r="L58" s="62"/>
      <c r="M58" s="198"/>
      <c r="N58" s="62"/>
      <c r="O58" s="62"/>
    </row>
    <row r="59" spans="1:15" ht="18.75" customHeight="1">
      <c r="A59" s="72" t="s">
        <v>135</v>
      </c>
      <c r="B59" s="74" t="s">
        <v>40</v>
      </c>
      <c r="C59" s="92">
        <f>IF(C57-C58&lt;=0,,C57-C58)</f>
        <v>0</v>
      </c>
      <c r="D59" s="79" t="s">
        <v>57</v>
      </c>
      <c r="E59" s="68"/>
      <c r="G59" s="63"/>
      <c r="H59" s="63"/>
      <c r="L59" s="62"/>
      <c r="M59" s="198"/>
      <c r="N59" s="62"/>
      <c r="O59" s="62"/>
    </row>
    <row r="60" spans="1:15" ht="33.75" customHeight="1">
      <c r="A60" s="72" t="s">
        <v>136</v>
      </c>
      <c r="B60" s="74" t="s">
        <v>41</v>
      </c>
      <c r="C60" s="92">
        <v>0</v>
      </c>
      <c r="D60" s="79" t="s">
        <v>57</v>
      </c>
      <c r="E60" s="68"/>
      <c r="G60" s="63"/>
      <c r="H60" s="63"/>
      <c r="L60" s="62"/>
      <c r="M60" s="198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53</v>
      </c>
      <c r="E61" s="94">
        <v>114279.54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35</v>
      </c>
      <c r="C62" s="97">
        <f>E61/591.84</f>
        <v>193.09195052716947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36</v>
      </c>
      <c r="C63" s="85">
        <v>127045.06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37</v>
      </c>
      <c r="C64" s="92">
        <f>IF(E61-C63&lt;0,0,E61-C63)</f>
        <v>0</v>
      </c>
      <c r="D64" s="79" t="s">
        <v>57</v>
      </c>
      <c r="E64" s="68"/>
      <c r="G64" s="63"/>
      <c r="H64" s="63"/>
    </row>
    <row r="65" spans="1:8" ht="15.75" customHeight="1">
      <c r="A65" s="72" t="s">
        <v>141</v>
      </c>
      <c r="B65" s="74" t="s">
        <v>38</v>
      </c>
      <c r="C65" s="92">
        <f>E61</f>
        <v>114279.54</v>
      </c>
      <c r="D65" s="79" t="s">
        <v>57</v>
      </c>
      <c r="E65" s="68"/>
      <c r="G65" s="63"/>
      <c r="H65" s="63"/>
    </row>
    <row r="66" spans="1:8" ht="15.75" customHeight="1">
      <c r="A66" s="72" t="s">
        <v>142</v>
      </c>
      <c r="B66" s="74" t="s">
        <v>39</v>
      </c>
      <c r="C66" s="92">
        <f>E61</f>
        <v>114279.54</v>
      </c>
      <c r="D66" s="79" t="s">
        <v>57</v>
      </c>
      <c r="E66" s="68"/>
      <c r="G66" s="63"/>
      <c r="H66" s="63"/>
    </row>
    <row r="67" spans="1:8" ht="15.75" customHeight="1">
      <c r="A67" s="72" t="s">
        <v>143</v>
      </c>
      <c r="B67" s="74" t="s">
        <v>40</v>
      </c>
      <c r="C67" s="92">
        <f>IF(C65-C66&lt;=0,,C65-C66)</f>
        <v>0</v>
      </c>
      <c r="D67" s="79" t="s">
        <v>57</v>
      </c>
      <c r="E67" s="68"/>
      <c r="G67" s="63"/>
      <c r="H67" s="63"/>
    </row>
    <row r="68" spans="1:8" ht="15.75" customHeight="1">
      <c r="A68" s="72" t="s">
        <v>144</v>
      </c>
      <c r="B68" s="74" t="s">
        <v>41</v>
      </c>
      <c r="C68" s="92">
        <v>0</v>
      </c>
      <c r="D68" s="79" t="s">
        <v>57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53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35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36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37</v>
      </c>
      <c r="C72" s="92">
        <f>IF(E69-C71&lt;0,0,E69-C71)</f>
        <v>0</v>
      </c>
      <c r="D72" s="79" t="s">
        <v>57</v>
      </c>
      <c r="E72" s="68"/>
      <c r="G72" s="63"/>
      <c r="H72" s="63"/>
    </row>
    <row r="73" spans="1:8" ht="15.75" customHeight="1">
      <c r="A73" s="72" t="s">
        <v>149</v>
      </c>
      <c r="B73" s="74" t="s">
        <v>38</v>
      </c>
      <c r="C73" s="92">
        <f>E69</f>
        <v>0</v>
      </c>
      <c r="D73" s="79" t="s">
        <v>57</v>
      </c>
      <c r="E73" s="68"/>
      <c r="G73" s="63"/>
      <c r="H73" s="63"/>
    </row>
    <row r="74" spans="1:8" ht="15.75" customHeight="1">
      <c r="A74" s="72" t="s">
        <v>150</v>
      </c>
      <c r="B74" s="74" t="s">
        <v>39</v>
      </c>
      <c r="C74" s="92">
        <f>E69</f>
        <v>0</v>
      </c>
      <c r="D74" s="79" t="s">
        <v>57</v>
      </c>
      <c r="E74" s="68"/>
      <c r="G74" s="63"/>
      <c r="H74" s="63"/>
    </row>
    <row r="75" spans="1:8" ht="15.75" customHeight="1">
      <c r="A75" s="72" t="s">
        <v>151</v>
      </c>
      <c r="B75" s="74" t="s">
        <v>40</v>
      </c>
      <c r="C75" s="92">
        <f>IF(C73-C74&lt;=0,,C73-C74)</f>
        <v>0</v>
      </c>
      <c r="D75" s="79" t="s">
        <v>57</v>
      </c>
      <c r="E75" s="68"/>
      <c r="G75" s="63"/>
      <c r="H75" s="63"/>
    </row>
    <row r="76" spans="1:8" ht="15.75" customHeight="1">
      <c r="A76" s="72" t="s">
        <v>152</v>
      </c>
      <c r="B76" s="74" t="s">
        <v>41</v>
      </c>
      <c r="C76" s="92">
        <v>0</v>
      </c>
      <c r="D76" s="79" t="s">
        <v>57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35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36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37</v>
      </c>
      <c r="C80" s="92">
        <f>IF(E77-C79&lt;0,0,E77-C79)</f>
        <v>0</v>
      </c>
      <c r="D80" s="79" t="s">
        <v>57</v>
      </c>
      <c r="E80" s="63"/>
      <c r="G80" s="63"/>
      <c r="H80" s="63"/>
    </row>
    <row r="81" spans="1:8" ht="15.75" customHeight="1">
      <c r="A81" s="72" t="s">
        <v>157</v>
      </c>
      <c r="B81" s="74" t="s">
        <v>38</v>
      </c>
      <c r="C81" s="92">
        <f>E77</f>
        <v>0</v>
      </c>
      <c r="D81" s="79" t="s">
        <v>57</v>
      </c>
      <c r="E81" s="63"/>
      <c r="G81" s="63"/>
      <c r="H81" s="63"/>
    </row>
    <row r="82" spans="1:8" ht="15.75" customHeight="1">
      <c r="A82" s="72" t="s">
        <v>158</v>
      </c>
      <c r="B82" s="74" t="s">
        <v>39</v>
      </c>
      <c r="C82" s="92">
        <f>E77</f>
        <v>0</v>
      </c>
      <c r="D82" s="79" t="s">
        <v>57</v>
      </c>
      <c r="E82" s="63"/>
      <c r="G82" s="63"/>
      <c r="H82" s="63"/>
    </row>
    <row r="83" spans="1:8" ht="15.75" customHeight="1">
      <c r="A83" s="72" t="s">
        <v>159</v>
      </c>
      <c r="B83" s="74" t="s">
        <v>40</v>
      </c>
      <c r="C83" s="92">
        <f>IF(C81-C82&lt;=0,,C81-C82)</f>
        <v>0</v>
      </c>
      <c r="D83" s="79" t="s">
        <v>57</v>
      </c>
      <c r="E83" s="63"/>
      <c r="G83" s="63"/>
      <c r="H83" s="63"/>
    </row>
    <row r="84" spans="1:8" ht="15.75" customHeight="1">
      <c r="A84" s="72" t="s">
        <v>160</v>
      </c>
      <c r="B84" s="74" t="s">
        <v>41</v>
      </c>
      <c r="C84" s="92">
        <v>0</v>
      </c>
      <c r="D84" s="79" t="s">
        <v>57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J9" sqref="J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42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43</v>
      </c>
      <c r="C2" s="104"/>
      <c r="D2" s="106" t="s">
        <v>65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44</v>
      </c>
      <c r="C3" s="104">
        <v>3</v>
      </c>
      <c r="D3" s="106" t="s">
        <v>65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45</v>
      </c>
      <c r="C4" s="105"/>
      <c r="D4" s="106" t="s">
        <v>65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2025-03-27T00:28:53Z</dcterms:modified>
</cp:coreProperties>
</file>