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4" i="2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D3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6" i="1"/>
  <c r="G94" i="1"/>
  <c r="D94" i="1"/>
  <c r="K94" i="1"/>
  <c r="A121" i="1" l="1"/>
  <c r="D118" i="1"/>
  <c r="A112" i="1"/>
  <c r="F102" i="1"/>
  <c r="A97" i="1"/>
  <c r="F94" i="1"/>
  <c r="A111" i="1"/>
  <c r="A117" i="1"/>
  <c r="D110" i="1"/>
  <c r="A114" i="1"/>
  <c r="A110" i="1"/>
  <c r="A109" i="1"/>
  <c r="F110" i="1"/>
  <c r="A115" i="1"/>
  <c r="A113" i="1"/>
  <c r="F118" i="1"/>
  <c r="A122" i="1"/>
  <c r="A125" i="1"/>
  <c r="A118" i="1"/>
  <c r="A119" i="1"/>
  <c r="A99" i="1"/>
  <c r="F134" i="1"/>
  <c r="A141" i="1"/>
  <c r="A94" i="1"/>
  <c r="A95" i="1"/>
  <c r="A100" i="1"/>
  <c r="A123" i="1"/>
  <c r="A101" i="1"/>
  <c r="A137" i="1"/>
  <c r="A120" i="1"/>
  <c r="A105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3" i="1" l="1"/>
  <c r="A173" i="1" s="1"/>
  <c r="I173" i="1" s="1"/>
  <c r="N186" i="1"/>
  <c r="A186" i="1" s="1"/>
  <c r="I186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6" i="1" l="1"/>
  <c r="F181" i="1"/>
  <c r="F177" i="1"/>
  <c r="H171" i="1"/>
  <c r="F187" i="1"/>
  <c r="F172" i="1"/>
  <c r="H172" i="1"/>
  <c r="H180" i="1"/>
  <c r="H166" i="1"/>
  <c r="F167" i="1"/>
  <c r="F186" i="1"/>
  <c r="H165" i="1"/>
  <c r="H170" i="1"/>
  <c r="H177" i="1"/>
  <c r="F165" i="1"/>
  <c r="F173" i="1"/>
  <c r="F175" i="1"/>
  <c r="H168" i="1"/>
  <c r="H175" i="1"/>
  <c r="H164" i="1"/>
  <c r="H176" i="1"/>
  <c r="H167" i="1"/>
  <c r="H179" i="1"/>
  <c r="F170" i="1"/>
  <c r="F171" i="1"/>
  <c r="F168" i="1"/>
  <c r="F180" i="1"/>
  <c r="H173" i="1"/>
  <c r="H178" i="1"/>
  <c r="H184" i="1"/>
  <c r="H182" i="1"/>
  <c r="F164" i="1"/>
  <c r="H181" i="1"/>
  <c r="H187" i="1"/>
  <c r="F179" i="1"/>
  <c r="F178" i="1"/>
  <c r="F176" i="1"/>
  <c r="H186" i="1"/>
  <c r="F185" i="1"/>
  <c r="F184" i="1"/>
  <c r="F182" i="1"/>
  <c r="H169" i="1"/>
  <c r="F169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<sst xmlns="http://schemas.openxmlformats.org/spreadsheetml/2006/main" count="564" uniqueCount="211">
  <si>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</si>
  <si>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</si>
  <si>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</si>
  <si>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</si>
  <si>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</si>
  <si>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</si>
  <si>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</si>
  <si>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</si>
  <si>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</si>
  <si>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</si>
  <si>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</si>
  <si>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</si>
  <si>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</si>
  <si>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</si>
  <si>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</si>
  <si>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</si>
  <si>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</si>
  <si>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</si>
  <si>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</si>
  <si>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</si>
  <si>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</si>
  <si>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</si>
  <si>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</si>
  <si>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</si>
  <si>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</si>
  <si>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</si>
  <si>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</si>
  <si>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</si>
  <si>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</si>
  <si>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</si>
  <si>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</si>
  <si>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</si>
  <si>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</si>
  <si>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</si>
  <si>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</si>
  <si>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</si>
  <si>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</si>
  <si>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</si>
  <si>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</si>
  <si>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</si>
  <si>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</si>
  <si>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</si>
  <si>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</si>
  <si>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</si>
  <si>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</si>
  <si>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</si>
  <si>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</si>
  <si>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</si>
  <si>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</si>
  <si>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</si>
  <si>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</si>
  <si>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</si>
  <si>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</si>
  <si>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</si>
  <si>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</si>
  <si>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</si>
  <si>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</si>
  <si>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</si>
  <si>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</si>
  <si>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</si>
  <si>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</si>
  <si>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</si>
  <si>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</si>
  <si>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</si>
  <si>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</si>
  <si>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</si>
  <si>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</si>
  <si>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</si>
  <si>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</si>
  <si>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</si>
  <si>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</si>
  <si>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</si>
  <si>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</si>
  <si>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</si>
  <si>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</si>
  <si>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</si>
  <si>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</si>
  <si>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</si>
  <si>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</si>
  <si>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</si>
  <si>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</si>
  <si>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</si>
  <si>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</si>
  <si>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</si>
  <si>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</si>
  <si>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</si>
  <si>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</si>
  <si>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</si>
  <si>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</si>
  <si>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</si>
  <si>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</si>
  <si>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</si>
  <si>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</si>
  <si>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</si>
  <si>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</si>
  <si>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</si>
  <si>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</si>
  <si>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</si>
  <si>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</si>
  <si>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</si>
  <si>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</si>
  <si>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</si>
  <si>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</si>
  <si>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</si>
  <si>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</si>
  <si>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</si>
  <si>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</si>
  <si>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</si>
  <si>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</si>
  <si>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</si>
  <si>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</si>
  <si>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</si>
  <si>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</si>
  <si>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</si>
  <si>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</si>
  <si>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</si>
  <si>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</si>
  <si>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</si>
  <si>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</si>
  <si>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</si>
  <si>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</si>
  <si>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</si>
  <si>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</si>
  <si>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</si>
  <si>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</si>
  <si>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</si>
  <si>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</si>
  <si>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</si>
  <si>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</si>
  <si>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</si>
  <si>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</si>
  <si>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</si>
  <si>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</si>
  <si>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</si>
  <si>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</si>
  <si>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</si>
  <si>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</si>
  <si>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</si>
  <si>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</si>
  <si>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</si>
  <si>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</si>
  <si>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</si>
  <si>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</si>
  <si>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</si>
  <si>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</si>
  <si>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</si>
  <si>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</si>
  <si>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</si>
  <si>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</si>
  <si>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</si>
  <si>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</si>
  <si>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</si>
  <si>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</si>
  <si>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</si>
  <si>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</si>
  <si>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</si>
  <si>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</si>
  <si>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</si>
  <si>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</si>
  <si>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</si>
  <si>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</si>
  <si>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</si>
  <si>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</si>
  <si>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</si>
  <si>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</si>
  <si>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</si>
  <si>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</si>
  <si>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</si>
  <si>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</si>
  <si>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</si>
  <si>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</si>
  <si>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</si>
  <si>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</si>
  <si>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</si>
  <si>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</si>
  <si>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</si>
  <si>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</si>
  <si>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</si>
  <si>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</si>
  <si>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</si>
  <si>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</si>
  <si>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</si>
  <si>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</si>
  <si>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</si>
  <si>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</si>
  <si>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</si>
  <si>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</si>
  <si>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Изготовление и монтаж козырька над подъездом.</t>
  </si>
  <si>
    <t>Проведение ремонта асфальтного покрытия на придомовой территории.</t>
  </si>
  <si>
    <t>Перерасход (+) или экономия 
(-) средств в 2023 году (руб.)</t>
  </si>
  <si>
    <t>Начислено за  текущий ремонт в 2024 году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</si>
  <si>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</si>
  <si>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</si>
  <si>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</si>
  <si>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АВР 2/24 от 04.03.2024, Решение</t>
  </si>
  <si>
    <t>АВР 3/24 от 30.04.2024, Решение, счет №17804 от 22.04.2024</t>
  </si>
  <si>
    <t>Приобретение и установка поручней в кабине лифта.</t>
  </si>
  <si>
    <t>АВР 4/24 от 29.04.2024, Решение</t>
  </si>
  <si>
    <t>АВР 5/24 от 19.08.2024, Решение</t>
  </si>
  <si>
    <t>Ремонт лифта (замена ролика, восстановление кронштейна привода дверей кабины).</t>
  </si>
  <si>
    <t>АВР 6/24 от 10.09.2024, Решение, счет №115 от 27.08.2024</t>
  </si>
  <si>
    <t>Замена лампы уличного освещения.</t>
  </si>
  <si>
    <t>АВР 7/24 от 23.10.2024, Решение</t>
  </si>
  <si>
    <t>Генеральная уборка в подъезде (сентябрь).</t>
  </si>
  <si>
    <t>АВР 8/24 от 25.09.2024</t>
  </si>
  <si>
    <t>1850 с 01.05.2024</t>
  </si>
  <si>
    <t>АВР 9/24 от 16.08.2024</t>
  </si>
  <si>
    <t>АВР 10/24 от 28.12.2024</t>
  </si>
  <si>
    <t xml:space="preserve">Работы по содержанию земельного участка </t>
  </si>
  <si>
    <t>АВР 1/24 от 09.01.2024, Решение, счет №16 от 01.12.2023</t>
  </si>
  <si>
    <t>Приобретение и замена доводчика на тамбурной двери.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</si>
</sst>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8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9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0" fillId="0" borderId="0" xfId="0" applyNumberFormat="1" applyBorder="1"/>
    <xf numFmtId="0" fontId="21" fillId="0" borderId="0" xfId="0" applyFont="1" applyBorder="1" applyAlignment="1">
      <alignment wrapText="1"/>
    </xf>
    <xf numFmtId="4" fontId="21" fillId="0" borderId="0" xfId="0" applyNumberFormat="1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30" fillId="3" borderId="0" xfId="7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4" fontId="20" fillId="0" borderId="0" xfId="0" applyNumberFormat="1" applyFont="1" applyBorder="1"/>
    <xf numFmtId="0" fontId="1" fillId="4" borderId="0" xfId="2" applyFont="1" applyFill="1" applyBorder="1" applyAlignment="1"/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14" fillId="0" borderId="1" xfId="5" applyFill="1" applyBorder="1" applyAlignment="1"/>
    <xf numFmtId="0" fontId="14" fillId="0" borderId="1" xfId="5" applyFill="1" applyBorder="1" applyAlignment="1">
      <alignment horizontal="center"/>
    </xf>
    <xf numFmtId="4" fontId="28" fillId="0" borderId="1" xfId="5" applyNumberFormat="1" applyFont="1" applyFill="1" applyBorder="1" applyAlignment="1"/>
    <xf numFmtId="0" fontId="0" fillId="0" borderId="1" xfId="0" applyFill="1" applyBorder="1"/>
    <xf numFmtId="0" fontId="14" fillId="0" borderId="1" xfId="5" applyNumberFormat="1" applyFill="1" applyBorder="1" applyAlignment="1">
      <alignment horizontal="center"/>
    </xf>
    <xf numFmtId="4" fontId="14" fillId="0" borderId="1" xfId="5" applyNumberFormat="1" applyFill="1" applyBorder="1" applyAlignment="1">
      <alignment vertical="center"/>
    </xf>
    <xf numFmtId="0" fontId="8" fillId="0" borderId="1" xfId="17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 applyAlignment="1"/>
    <xf numFmtId="4" fontId="11" fillId="0" borderId="1" xfId="12" applyNumberFormat="1" applyFill="1" applyBorder="1" applyAlignment="1"/>
    <xf numFmtId="0" fontId="7" fillId="0" borderId="1" xfId="12" applyFont="1" applyFill="1" applyBorder="1"/>
    <xf numFmtId="0" fontId="28" fillId="0" borderId="1" xfId="157" applyFont="1" applyFill="1" applyBorder="1" applyAlignment="1"/>
    <xf numFmtId="0" fontId="6" fillId="0" borderId="1" xfId="12" applyFont="1" applyFill="1" applyBorder="1" applyAlignment="1">
      <alignment horizontal="center"/>
    </xf>
    <xf numFmtId="0" fontId="11" fillId="0" borderId="1" xfId="12" applyFill="1" applyBorder="1" applyAlignment="1">
      <alignment horizontal="center"/>
    </xf>
    <xf numFmtId="0" fontId="5" fillId="0" borderId="1" xfId="12" applyFont="1" applyFill="1" applyBorder="1"/>
    <xf numFmtId="0" fontId="28" fillId="0" borderId="1" xfId="162" applyFont="1" applyFill="1" applyBorder="1" applyAlignment="1"/>
    <xf numFmtId="0" fontId="28" fillId="0" borderId="1" xfId="162" applyFont="1" applyFill="1" applyBorder="1" applyAlignment="1">
      <alignment horizontal="center"/>
    </xf>
    <xf numFmtId="4" fontId="28" fillId="0" borderId="1" xfId="162" applyNumberFormat="1" applyFont="1" applyFill="1" applyBorder="1" applyAlignment="1"/>
    <xf numFmtId="0" fontId="28" fillId="0" borderId="1" xfId="169" applyFont="1" applyFill="1" applyBorder="1"/>
    <xf numFmtId="0" fontId="3" fillId="0" borderId="1" xfId="149" applyFont="1" applyFill="1" applyBorder="1" applyAlignment="1"/>
    <xf numFmtId="0" fontId="3" fillId="0" borderId="1" xfId="149" applyFont="1" applyFill="1" applyBorder="1" applyAlignment="1">
      <alignment horizontal="center"/>
    </xf>
    <xf numFmtId="1" fontId="9" fillId="0" borderId="1" xfId="149" applyNumberFormat="1" applyFill="1" applyBorder="1" applyAlignment="1">
      <alignment horizontal="center"/>
    </xf>
    <xf numFmtId="4" fontId="9" fillId="0" borderId="1" xfId="149" applyNumberFormat="1" applyFill="1" applyBorder="1" applyAlignment="1"/>
    <xf numFmtId="0" fontId="2" fillId="0" borderId="1" xfId="149" applyFont="1" applyFill="1" applyBorder="1" applyAlignment="1"/>
    <xf numFmtId="0" fontId="9" fillId="0" borderId="1" xfId="149" applyFont="1" applyFill="1" applyBorder="1" applyAlignment="1">
      <alignment horizontal="center"/>
    </xf>
    <xf numFmtId="0" fontId="8" fillId="0" borderId="1" xfId="149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0" fontId="32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38">
    <cellStyle name="Обычный" xfId="0" builtinId="0"/>
    <cellStyle name="Обычный 2" xfId="1"/>
    <cellStyle name="Обычный 2 10" xfId="26"/>
    <cellStyle name="Обычный 2 11" xfId="14"/>
    <cellStyle name="Обычный 2 12" xfId="141"/>
    <cellStyle name="Обычный 2 13" xfId="158"/>
    <cellStyle name="Обычный 2 2" xfId="3"/>
    <cellStyle name="Обычный 2 3" xfId="8"/>
    <cellStyle name="Обычный 2 3 2" xfId="52"/>
    <cellStyle name="Обычный 2 3 2 2" xfId="133"/>
    <cellStyle name="Обычный 2 3 2 2 2" xfId="202"/>
    <cellStyle name="Обычный 2 3 2 3" xfId="99"/>
    <cellStyle name="Обычный 2 3 2 3 2" xfId="230"/>
    <cellStyle name="Обычный 2 3 2 4" xfId="180"/>
    <cellStyle name="Обычный 2 3 3" xfId="84"/>
    <cellStyle name="Обычный 2 3 3 2" xfId="190"/>
    <cellStyle name="Обычный 2 3 4" xfId="118"/>
    <cellStyle name="Обычный 2 3 4 2" xfId="215"/>
    <cellStyle name="Обычный 2 3 5" xfId="71"/>
    <cellStyle name="Обычный 2 3 6" xfId="37"/>
    <cellStyle name="Обычный 2 3 7" xfId="21"/>
    <cellStyle name="Обычный 2 3 8" xfId="145"/>
    <cellStyle name="Обычный 2 3 9" xfId="163"/>
    <cellStyle name="Обычный 2 4" xfId="56"/>
    <cellStyle name="Обычный 2 4 2" xfId="103"/>
    <cellStyle name="Обычный 2 4 2 2" xfId="197"/>
    <cellStyle name="Обычный 2 4 3" xfId="137"/>
    <cellStyle name="Обычный 2 4 3 2" xfId="234"/>
    <cellStyle name="Обычный 2 4 4" xfId="75"/>
    <cellStyle name="Обычный 2 4 5" xfId="151"/>
    <cellStyle name="Обычный 2 4 6" xfId="175"/>
    <cellStyle name="Обычный 2 5" xfId="7"/>
    <cellStyle name="Обычный 2 5 2" xfId="13"/>
    <cellStyle name="Обычный 2 5 2 2" xfId="129"/>
    <cellStyle name="Обычный 2 5 2 3" xfId="95"/>
    <cellStyle name="Обычный 2 5 2 4" xfId="48"/>
    <cellStyle name="Обычный 2 5 2 5" xfId="156"/>
    <cellStyle name="Обычный 2 5 2 6" xfId="209"/>
    <cellStyle name="Обычный 2 5 3" xfId="111"/>
    <cellStyle name="Обычный 2 5 3 2" xfId="226"/>
    <cellStyle name="Обычный 2 5 4" xfId="67"/>
    <cellStyle name="Обычный 2 5 5" xfId="30"/>
    <cellStyle name="Обычный 2 5 6" xfId="25"/>
    <cellStyle name="Обычный 2 5 7" xfId="150"/>
    <cellStyle name="Обычный 2 5 8" xfId="170"/>
    <cellStyle name="Обычный 2 6" xfId="41"/>
    <cellStyle name="Обычный 2 6 2" xfId="122"/>
    <cellStyle name="Обычный 2 6 2 2" xfId="219"/>
    <cellStyle name="Обычный 2 6 3" xfId="88"/>
    <cellStyle name="Обычный 2 6 4" xfId="185"/>
    <cellStyle name="Обычный 2 7" xfId="32"/>
    <cellStyle name="Обычный 2 7 2" xfId="113"/>
    <cellStyle name="Обычный 2 7 3" xfId="79"/>
    <cellStyle name="Обычный 2 7 4" xfId="210"/>
    <cellStyle name="Обычный 2 8" xfId="107"/>
    <cellStyle name="Обычный 2 9" xfId="60"/>
    <cellStyle name="Обычный 3" xfId="2"/>
    <cellStyle name="Обычный 3 10" xfId="15"/>
    <cellStyle name="Обычный 3 11" xfId="142"/>
    <cellStyle name="Обычный 3 12" xfId="159"/>
    <cellStyle name="Обычный 3 2" xfId="9"/>
    <cellStyle name="Обычный 3 2 10" xfId="164"/>
    <cellStyle name="Обычный 3 2 2" xfId="53"/>
    <cellStyle name="Обычный 3 2 2 2" xfId="100"/>
    <cellStyle name="Обычный 3 2 2 2 2" xfId="203"/>
    <cellStyle name="Обычный 3 2 2 3" xfId="134"/>
    <cellStyle name="Обычный 3 2 2 3 2" xfId="231"/>
    <cellStyle name="Обычный 3 2 2 4" xfId="72"/>
    <cellStyle name="Обычный 3 2 2 5" xfId="181"/>
    <cellStyle name="Обычный 3 2 3" xfId="46"/>
    <cellStyle name="Обычный 3 2 3 2" xfId="127"/>
    <cellStyle name="Обычный 3 2 3 2 2" xfId="224"/>
    <cellStyle name="Обычный 3 2 3 3" xfId="93"/>
    <cellStyle name="Обычный 3 2 3 4" xfId="191"/>
    <cellStyle name="Обычный 3 2 4" xfId="85"/>
    <cellStyle name="Обычный 3 2 4 2" xfId="216"/>
    <cellStyle name="Обычный 3 2 5" xfId="119"/>
    <cellStyle name="Обычный 3 2 6" xfId="65"/>
    <cellStyle name="Обычный 3 2 7" xfId="38"/>
    <cellStyle name="Обычный 3 2 8" xfId="20"/>
    <cellStyle name="Обычный 3 2 9" xfId="146"/>
    <cellStyle name="Обычный 3 3" xfId="19"/>
    <cellStyle name="Обычный 3 3 2" xfId="104"/>
    <cellStyle name="Обычный 3 3 2 2" xfId="198"/>
    <cellStyle name="Обычный 3 3 3" xfId="138"/>
    <cellStyle name="Обычный 3 3 3 2" xfId="235"/>
    <cellStyle name="Обычный 3 3 4" xfId="76"/>
    <cellStyle name="Обычный 3 3 5" xfId="57"/>
    <cellStyle name="Обычный 3 3 6" xfId="152"/>
    <cellStyle name="Обычный 3 3 7" xfId="176"/>
    <cellStyle name="Обычный 3 4" xfId="22"/>
    <cellStyle name="Обычный 3 4 2" xfId="96"/>
    <cellStyle name="Обычный 3 4 2 2" xfId="227"/>
    <cellStyle name="Обычный 3 4 3" xfId="130"/>
    <cellStyle name="Обычный 3 4 4" xfId="68"/>
    <cellStyle name="Обычный 3 4 5" xfId="49"/>
    <cellStyle name="Обычный 3 4 6" xfId="171"/>
    <cellStyle name="Обычный 3 5" xfId="42"/>
    <cellStyle name="Обычный 3 5 2" xfId="123"/>
    <cellStyle name="Обычный 3 5 2 2" xfId="220"/>
    <cellStyle name="Обычный 3 5 3" xfId="89"/>
    <cellStyle name="Обычный 3 5 4" xfId="186"/>
    <cellStyle name="Обычный 3 6" xfId="33"/>
    <cellStyle name="Обычный 3 6 2" xfId="114"/>
    <cellStyle name="Обычный 3 6 3" xfId="80"/>
    <cellStyle name="Обычный 3 6 4" xfId="211"/>
    <cellStyle name="Обычный 3 7" xfId="108"/>
    <cellStyle name="Обычный 3 8" xfId="61"/>
    <cellStyle name="Обычный 3 9" xfId="27"/>
    <cellStyle name="Обычный 4" xfId="4"/>
    <cellStyle name="Обычный 4 10" xfId="16"/>
    <cellStyle name="Обычный 4 11" xfId="143"/>
    <cellStyle name="Обычный 4 12" xfId="160"/>
    <cellStyle name="Обычный 4 2" xfId="10"/>
    <cellStyle name="Обычный 4 2 10" xfId="165"/>
    <cellStyle name="Обычный 4 2 2" xfId="54"/>
    <cellStyle name="Обычный 4 2 2 2" xfId="101"/>
    <cellStyle name="Обычный 4 2 2 2 2" xfId="204"/>
    <cellStyle name="Обычный 4 2 2 3" xfId="135"/>
    <cellStyle name="Обычный 4 2 2 3 2" xfId="232"/>
    <cellStyle name="Обычный 4 2 2 4" xfId="73"/>
    <cellStyle name="Обычный 4 2 2 5" xfId="182"/>
    <cellStyle name="Обычный 4 2 3" xfId="47"/>
    <cellStyle name="Обычный 4 2 3 2" xfId="128"/>
    <cellStyle name="Обычный 4 2 3 2 2" xfId="225"/>
    <cellStyle name="Обычный 4 2 3 3" xfId="94"/>
    <cellStyle name="Обычный 4 2 3 4" xfId="192"/>
    <cellStyle name="Обычный 4 2 4" xfId="86"/>
    <cellStyle name="Обычный 4 2 4 2" xfId="217"/>
    <cellStyle name="Обычный 4 2 5" xfId="120"/>
    <cellStyle name="Обычный 4 2 6" xfId="66"/>
    <cellStyle name="Обычный 4 2 7" xfId="39"/>
    <cellStyle name="Обычный 4 2 8" xfId="23"/>
    <cellStyle name="Обычный 4 2 9" xfId="147"/>
    <cellStyle name="Обычный 4 3" xfId="58"/>
    <cellStyle name="Обычный 4 3 2" xfId="105"/>
    <cellStyle name="Обычный 4 3 2 2" xfId="199"/>
    <cellStyle name="Обычный 4 3 3" xfId="139"/>
    <cellStyle name="Обычный 4 3 3 2" xfId="236"/>
    <cellStyle name="Обычный 4 3 4" xfId="77"/>
    <cellStyle name="Обычный 4 3 5" xfId="153"/>
    <cellStyle name="Обычный 4 3 6" xfId="177"/>
    <cellStyle name="Обычный 4 4" xfId="50"/>
    <cellStyle name="Обычный 4 4 2" xfId="97"/>
    <cellStyle name="Обычный 4 4 2 2" xfId="228"/>
    <cellStyle name="Обычный 4 4 3" xfId="131"/>
    <cellStyle name="Обычный 4 4 4" xfId="69"/>
    <cellStyle name="Обычный 4 4 5" xfId="172"/>
    <cellStyle name="Обычный 4 5" xfId="43"/>
    <cellStyle name="Обычный 4 5 2" xfId="124"/>
    <cellStyle name="Обычный 4 5 2 2" xfId="221"/>
    <cellStyle name="Обычный 4 5 3" xfId="90"/>
    <cellStyle name="Обычный 4 5 4" xfId="187"/>
    <cellStyle name="Обычный 4 6" xfId="34"/>
    <cellStyle name="Обычный 4 6 2" xfId="115"/>
    <cellStyle name="Обычный 4 6 3" xfId="81"/>
    <cellStyle name="Обычный 4 6 4" xfId="212"/>
    <cellStyle name="Обычный 4 7" xfId="109"/>
    <cellStyle name="Обычный 4 8" xfId="62"/>
    <cellStyle name="Обычный 4 9" xfId="28"/>
    <cellStyle name="Обычный 5" xfId="5"/>
    <cellStyle name="Обычный 5 10" xfId="17"/>
    <cellStyle name="Обычный 5 11" xfId="144"/>
    <cellStyle name="Обычный 5 12" xfId="161"/>
    <cellStyle name="Обычный 5 2" xfId="6"/>
    <cellStyle name="Обычный 5 2 2" xfId="55"/>
    <cellStyle name="Обычный 5 2 2 2" xfId="136"/>
    <cellStyle name="Обычный 5 2 2 2 2" xfId="205"/>
    <cellStyle name="Обычный 5 2 2 3" xfId="102"/>
    <cellStyle name="Обычный 5 2 2 3 2" xfId="233"/>
    <cellStyle name="Обычный 5 2 2 4" xfId="183"/>
    <cellStyle name="Обычный 5 2 3" xfId="40"/>
    <cellStyle name="Обычный 5 2 3 2" xfId="121"/>
    <cellStyle name="Обычный 5 2 3 3" xfId="87"/>
    <cellStyle name="Обычный 5 2 3 4" xfId="193"/>
    <cellStyle name="Обычный 5 2 4" xfId="112"/>
    <cellStyle name="Обычный 5 2 4 2" xfId="218"/>
    <cellStyle name="Обычный 5 2 5" xfId="74"/>
    <cellStyle name="Обычный 5 2 6" xfId="31"/>
    <cellStyle name="Обычный 5 2 7" xfId="24"/>
    <cellStyle name="Обычный 5 2 8" xfId="149"/>
    <cellStyle name="Обычный 5 2 9" xfId="166"/>
    <cellStyle name="Обычный 5 3" xfId="11"/>
    <cellStyle name="Обычный 5 3 2" xfId="59"/>
    <cellStyle name="Обычный 5 3 2 2" xfId="140"/>
    <cellStyle name="Обычный 5 3 2 2 2" xfId="208"/>
    <cellStyle name="Обычный 5 3 2 3" xfId="106"/>
    <cellStyle name="Обычный 5 3 2 3 2" xfId="237"/>
    <cellStyle name="Обычный 5 3 2 4" xfId="178"/>
    <cellStyle name="Обычный 5 3 3" xfId="83"/>
    <cellStyle name="Обычный 5 3 3 2" xfId="196"/>
    <cellStyle name="Обычный 5 3 4" xfId="117"/>
    <cellStyle name="Обычный 5 3 4 2" xfId="214"/>
    <cellStyle name="Обычный 5 3 5" xfId="78"/>
    <cellStyle name="Обычный 5 3 6" xfId="36"/>
    <cellStyle name="Обычный 5 3 7" xfId="148"/>
    <cellStyle name="Обычный 5 3 8" xfId="169"/>
    <cellStyle name="Обычный 5 4" xfId="51"/>
    <cellStyle name="Обычный 5 4 2" xfId="98"/>
    <cellStyle name="Обычный 5 4 2 2" xfId="200"/>
    <cellStyle name="Обычный 5 4 3" xfId="132"/>
    <cellStyle name="Обычный 5 4 3 2" xfId="229"/>
    <cellStyle name="Обычный 5 4 4" xfId="70"/>
    <cellStyle name="Обычный 5 4 5" xfId="154"/>
    <cellStyle name="Обычный 5 4 6" xfId="173"/>
    <cellStyle name="Обычный 5 5" xfId="44"/>
    <cellStyle name="Обычный 5 5 2" xfId="125"/>
    <cellStyle name="Обычный 5 5 2 2" xfId="222"/>
    <cellStyle name="Обычный 5 5 3" xfId="91"/>
    <cellStyle name="Обычный 5 5 4" xfId="188"/>
    <cellStyle name="Обычный 5 6" xfId="35"/>
    <cellStyle name="Обычный 5 6 2" xfId="116"/>
    <cellStyle name="Обычный 5 6 3" xfId="82"/>
    <cellStyle name="Обычный 5 6 4" xfId="213"/>
    <cellStyle name="Обычный 5 7" xfId="110"/>
    <cellStyle name="Обычный 5 8" xfId="63"/>
    <cellStyle name="Обычный 5 9" xfId="29"/>
    <cellStyle name="Обычный 6" xfId="12"/>
    <cellStyle name="Обычный 6 2" xfId="92"/>
    <cellStyle name="Обычный 6 2 2" xfId="184"/>
    <cellStyle name="Обычный 6 2 2 2" xfId="206"/>
    <cellStyle name="Обычный 6 2 3" xfId="194"/>
    <cellStyle name="Обычный 6 2 4" xfId="167"/>
    <cellStyle name="Обычный 6 3" xfId="126"/>
    <cellStyle name="Обычный 6 3 2" xfId="179"/>
    <cellStyle name="Обычный 6 3 2 2" xfId="207"/>
    <cellStyle name="Обычный 6 3 3" xfId="195"/>
    <cellStyle name="Обычный 6 3 4" xfId="168"/>
    <cellStyle name="Обычный 6 4" xfId="64"/>
    <cellStyle name="Обычный 6 4 2" xfId="201"/>
    <cellStyle name="Обычный 6 4 3" xfId="174"/>
    <cellStyle name="Обычный 6 5" xfId="45"/>
    <cellStyle name="Обычный 6 5 2" xfId="189"/>
    <cellStyle name="Обычный 6 6" xfId="155"/>
    <cellStyle name="Обычный 6 6 2" xfId="223"/>
    <cellStyle name="Обычный 6 7" xfId="162"/>
    <cellStyle name="Обычный 7" xfId="157"/>
    <cellStyle name="Финансовый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3" sqref="K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1" t="s">
        <v>177</v>
      </c>
      <c r="B2" s="181"/>
      <c r="C2" s="181"/>
      <c r="D2" s="181"/>
      <c r="E2" s="181"/>
      <c r="F2" s="181"/>
      <c r="G2" s="181"/>
      <c r="H2" s="181"/>
      <c r="I2" s="181"/>
      <c r="J2" s="181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7"/>
      <c r="L8" s="182"/>
      <c r="M8" s="107"/>
      <c r="N8" s="107"/>
      <c r="O8" s="68" t="s">
        <v>82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7"/>
      <c r="L9" s="182"/>
      <c r="M9" s="107"/>
      <c r="N9" s="107"/>
      <c r="O9" s="68" t="s">
        <v>83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260233.72</v>
      </c>
      <c r="K10" s="107"/>
      <c r="L10" s="182"/>
      <c r="M10" s="107"/>
      <c r="N10" s="107"/>
      <c r="O10" s="68" t="s">
        <v>84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466210.32</v>
      </c>
      <c r="K11" s="107"/>
      <c r="L11" s="182"/>
      <c r="M11" s="107"/>
      <c r="N11" s="107"/>
      <c r="O11" s="68" t="s">
        <v>85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331771.92</v>
      </c>
      <c r="K12" s="107"/>
      <c r="L12" s="182"/>
      <c r="M12" s="107"/>
      <c r="N12" s="107"/>
      <c r="O12" s="68" t="s">
        <v>86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134438.40000000002</v>
      </c>
      <c r="K13" s="107"/>
      <c r="L13" s="182"/>
      <c r="M13" s="107"/>
      <c r="N13" s="107"/>
      <c r="O13" s="68" t="s">
        <v>87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0</v>
      </c>
      <c r="K14" s="107"/>
      <c r="L14" s="182"/>
      <c r="M14" s="107"/>
      <c r="N14" s="107"/>
      <c r="O14" s="68" t="s">
        <v>88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459704.46</v>
      </c>
      <c r="K15" s="107"/>
      <c r="L15" s="182"/>
      <c r="M15" s="107"/>
      <c r="N15" s="107"/>
      <c r="O15" s="68" t="s">
        <v>89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459704.46</v>
      </c>
      <c r="K16" s="107"/>
      <c r="L16" s="182"/>
      <c r="M16" s="107"/>
      <c r="N16" s="107"/>
      <c r="O16" s="68" t="s">
        <v>90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7"/>
      <c r="L17" s="182"/>
      <c r="M17" s="107"/>
      <c r="N17" s="107"/>
      <c r="O17" s="68" t="s">
        <v>91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7"/>
      <c r="L18" s="182"/>
      <c r="M18" s="107"/>
      <c r="N18" s="107"/>
      <c r="O18" s="68" t="s">
        <v>92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7"/>
      <c r="L19" s="182"/>
      <c r="M19" s="107"/>
      <c r="N19" s="107"/>
      <c r="O19" s="68" t="s">
        <v>93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7"/>
      <c r="L20" s="182"/>
      <c r="M20" s="107"/>
      <c r="N20" s="107"/>
      <c r="O20" s="68" t="s">
        <v>94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459704.46</v>
      </c>
      <c r="K21" s="107"/>
      <c r="L21" s="182"/>
      <c r="M21" s="107"/>
      <c r="N21" s="107"/>
      <c r="O21" s="68" t="s">
        <v>95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7"/>
      <c r="L22" s="182"/>
      <c r="M22" s="107"/>
      <c r="N22" s="107"/>
      <c r="O22" s="68" t="s">
        <v>96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7"/>
      <c r="L23" s="182"/>
      <c r="M23" s="107"/>
      <c r="N23" s="107"/>
      <c r="O23" s="68" t="s">
        <v>97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266739.58</v>
      </c>
      <c r="K24" s="107"/>
      <c r="L24" s="182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56</v>
      </c>
      <c r="I27" s="174" t="s">
        <v>21</v>
      </c>
      <c r="J27" s="174"/>
      <c r="K27" s="107"/>
      <c r="L27" s="183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68115.456000000006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7"/>
      <c r="L28" s="183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6"/>
      <c r="C29" s="166"/>
      <c r="D29" s="166"/>
      <c r="E29" s="166"/>
      <c r="F29" s="171">
        <f>VLOOKUP(A29,ПТО!$A$39:$D$53,2,FALSE)</f>
        <v>89401.536000000007</v>
      </c>
      <c r="G29" s="171"/>
      <c r="H29" s="40" t="str">
        <f>VLOOKUP(A29,ПТО!$A$39:$D$53,3,FALSE)</f>
        <v>Ежемесячно</v>
      </c>
      <c r="I29" s="167">
        <f>VLOOKUP(A29,ПТО!$A$39:$D$53,4,FALSE)</f>
        <v>12</v>
      </c>
      <c r="J29" s="167"/>
      <c r="K29" s="107"/>
      <c r="L29" s="183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66" t="str">
        <f>ПТО!A41</f>
        <v xml:space="preserve">Работы по содержанию земельного участка </v>
      </c>
      <c r="B30" s="166"/>
      <c r="C30" s="166"/>
      <c r="D30" s="166"/>
      <c r="E30" s="166"/>
      <c r="F30" s="171">
        <f>VLOOKUP(A30,ПТО!$A$39:$D$53,2,FALSE)</f>
        <v>46605.312000000005</v>
      </c>
      <c r="G30" s="171"/>
      <c r="H30" s="40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7"/>
      <c r="L30" s="183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26887.679999999997</v>
      </c>
      <c r="G31" s="171"/>
      <c r="H31" s="40" t="str">
        <f>VLOOKUP(A31,ПТО!$A$39:$D$53,3,FALSE)</f>
        <v>Ежемесячно</v>
      </c>
      <c r="I31" s="167">
        <f>VLOOKUP(A31,ПТО!$A$39:$D$53,4,FALSE)</f>
        <v>12</v>
      </c>
      <c r="J31" s="167"/>
      <c r="K31" s="107"/>
      <c r="L31" s="183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0" t="e">
        <f>VLOOKUP(A32,ПТО!$A$39:$D$53,3,FALSE)</f>
        <v>#N/A</v>
      </c>
      <c r="I32" s="167" t="e">
        <f>VLOOKUP(A32,ПТО!$A$39:$D$53,4,FALSE)</f>
        <v>#N/A</v>
      </c>
      <c r="J32" s="167"/>
      <c r="K32" s="107"/>
      <c r="L32" s="183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8738.4959999999992</v>
      </c>
      <c r="G33" s="171"/>
      <c r="H33" s="40" t="str">
        <f>VLOOKUP(A33,ПТО!$A$39:$D$53,3,FALSE)</f>
        <v>Круглосуточно</v>
      </c>
      <c r="I33" s="167">
        <f>VLOOKUP(A33,ПТО!$A$39:$D$53,4,FALSE)</f>
        <v>12</v>
      </c>
      <c r="J33" s="167"/>
      <c r="K33" s="107"/>
      <c r="L33" s="183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50190.336000000003</v>
      </c>
      <c r="G34" s="171"/>
      <c r="H34" s="40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7"/>
      <c r="L34" s="183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6" t="str">
        <f>ПТО!A46</f>
        <v>Работы по содержанию лифта (лифтов)</v>
      </c>
      <c r="B35" s="166"/>
      <c r="C35" s="166"/>
      <c r="D35" s="166"/>
      <c r="E35" s="166"/>
      <c r="F35" s="171">
        <f>VLOOKUP(A35,ПТО!$A$39:$D$53,2,FALSE)</f>
        <v>53999.424000000006</v>
      </c>
      <c r="G35" s="171"/>
      <c r="H35" s="40" t="str">
        <f>VLOOKUP(A35,ПТО!$A$39:$D$53,3,FALSE)</f>
        <v>Ежемесячно</v>
      </c>
      <c r="I35" s="167">
        <f>VLOOKUP(A35,ПТО!$A$39:$D$53,4,FALSE)</f>
        <v>12</v>
      </c>
      <c r="J35" s="167"/>
      <c r="K35" s="107"/>
      <c r="L35" s="183"/>
      <c r="M35" s="114"/>
      <c r="N35" s="107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66">
        <f>ПТО!A47</f>
        <v>0</v>
      </c>
      <c r="B36" s="166"/>
      <c r="C36" s="166"/>
      <c r="D36" s="166"/>
      <c r="E36" s="166"/>
      <c r="F36" s="171" t="e">
        <f>VLOOKUP(A36,ПТО!$A$39:$D$53,2,FALSE)</f>
        <v>#N/A</v>
      </c>
      <c r="G36" s="171"/>
      <c r="H36" s="40" t="e">
        <f>VLOOKUP(A36,ПТО!$A$39:$D$53,3,FALSE)</f>
        <v>#N/A</v>
      </c>
      <c r="I36" s="167" t="e">
        <f>VLOOKUP(A36,ПТО!$A$39:$D$53,4,FALSE)</f>
        <v>#N/A</v>
      </c>
      <c r="J36" s="167"/>
      <c r="K36" s="107"/>
      <c r="L36" s="183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71" t="e">
        <f>VLOOKUP(A37,ПТО!$A$39:$D$53,2,FALSE)</f>
        <v>#N/A</v>
      </c>
      <c r="G37" s="171"/>
      <c r="H37" s="40" t="e">
        <f>VLOOKUP(A37,ПТО!$A$39:$D$53,3,FALSE)</f>
        <v>#N/A</v>
      </c>
      <c r="I37" s="167" t="e">
        <f>VLOOKUP(A37,ПТО!$A$39:$D$53,4,FALSE)</f>
        <v>#N/A</v>
      </c>
      <c r="J37" s="167"/>
      <c r="K37" s="107"/>
      <c r="L37" s="183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0" t="e">
        <f>VLOOKUP(A38,ПТО!$A$39:$D$53,3,FALSE)</f>
        <v>#N/A</v>
      </c>
      <c r="I38" s="167" t="e">
        <f>VLOOKUP(A38,ПТО!$A$39:$D$53,4,FALSE)</f>
        <v>#N/A</v>
      </c>
      <c r="J38" s="167"/>
      <c r="K38" s="107"/>
      <c r="L38" s="183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0" t="e">
        <f>VLOOKUP(A39,ПТО!$A$39:$D$53,3,FALSE)</f>
        <v>#N/A</v>
      </c>
      <c r="I39" s="167" t="e">
        <f>VLOOKUP(A39,ПТО!$A$39:$D$53,4,FALSE)</f>
        <v>#N/A</v>
      </c>
      <c r="J39" s="167"/>
      <c r="K39" s="107"/>
      <c r="L39" s="183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0" t="e">
        <f>VLOOKUP(A40,ПТО!$A$39:$D$53,3,FALSE)</f>
        <v>#N/A</v>
      </c>
      <c r="I40" s="167" t="e">
        <f>VLOOKUP(A40,ПТО!$A$39:$D$53,4,FALSE)</f>
        <v>#N/A</v>
      </c>
      <c r="J40" s="167"/>
      <c r="K40" s="107"/>
      <c r="L40" s="183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0" t="e">
        <f>VLOOKUP(A41,ПТО!$A$39:$D$53,3,FALSE)</f>
        <v>#N/A</v>
      </c>
      <c r="I41" s="167" t="e">
        <f>VLOOKUP(A41,ПТО!$A$39:$D$53,4,FALSE)</f>
        <v>#N/A</v>
      </c>
      <c r="J41" s="167"/>
      <c r="K41" s="107"/>
      <c r="L41" s="183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0" t="e">
        <f>VLOOKUP(A42,ПТО!$A$39:$D$53,3,FALSE)</f>
        <v>#N/A</v>
      </c>
      <c r="I42" s="167" t="e">
        <f>VLOOKUP(A42,ПТО!$A$39:$D$53,4,FALSE)</f>
        <v>#N/A</v>
      </c>
      <c r="J42" s="167"/>
      <c r="K42" s="107"/>
      <c r="L42" s="183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66" t="str">
        <f>ПТО!A2</f>
        <v>Техническое освидетельствование лифта.</v>
      </c>
      <c r="B43" s="166"/>
      <c r="C43" s="166"/>
      <c r="D43" s="166"/>
      <c r="E43" s="166"/>
      <c r="F43" s="171">
        <f>VLOOKUP(A43,ПТО!$A$2:$D$31,4,FALSE)</f>
        <v>8100</v>
      </c>
      <c r="G43" s="171"/>
      <c r="H43" s="19" t="str">
        <f>VLOOKUP(A43,ПТО!$A$2:$D$31,2,FALSE)</f>
        <v>ежегодно</v>
      </c>
      <c r="I43" s="167">
        <f>VLOOKUP(A43,ПТО!$A$2:$D$31,3,FALSE)</f>
        <v>1</v>
      </c>
      <c r="J43" s="167"/>
      <c r="K43" s="107"/>
      <c r="L43" s="183"/>
      <c r="M43" s="114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6" t="str">
        <f>ПТО!A3</f>
        <v>Техническое обслуживание охранной сигнализации.</v>
      </c>
      <c r="B44" s="166"/>
      <c r="C44" s="166"/>
      <c r="D44" s="166"/>
      <c r="E44" s="166"/>
      <c r="F44" s="171">
        <f>VLOOKUP(A44,ПТО!$A$2:$D$31,4,FALSE)</f>
        <v>21800</v>
      </c>
      <c r="G44" s="171"/>
      <c r="H44" s="25" t="str">
        <f>VLOOKUP(A44,ПТО!$A$2:$D$31,2,FALSE)</f>
        <v>ежемесячно</v>
      </c>
      <c r="I44" s="167">
        <f>VLOOKUP(A44,ПТО!$A$2:$D$31,3,FALSE)</f>
        <v>12</v>
      </c>
      <c r="J44" s="167"/>
      <c r="K44" s="107"/>
      <c r="L44" s="183"/>
      <c r="M44" s="114"/>
      <c r="N44" s="107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6" t="str">
        <f>ПТО!A4</f>
        <v>Изготовление и монтаж козырька над подъездом.</v>
      </c>
      <c r="B45" s="166"/>
      <c r="C45" s="166"/>
      <c r="D45" s="166"/>
      <c r="E45" s="166"/>
      <c r="F45" s="171">
        <f>VLOOKUP(A45,ПТО!$A$2:$D$31,4,FALSE)</f>
        <v>52297.73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7"/>
      <c r="L45" s="183"/>
      <c r="M45" s="114"/>
      <c r="N45" s="107"/>
      <c r="O45" s="23" t="str">
        <f t="shared" si="1"/>
        <v>Изготовление и монтаж козырька над подъездом.</v>
      </c>
      <c r="R45" s="22" t="s">
        <v>71</v>
      </c>
    </row>
    <row r="46" spans="1:18" ht="51" customHeight="1" outlineLevel="1">
      <c r="A46" s="166" t="str">
        <f>ПТО!A5</f>
        <v>Механизированная уборка и вывоз снега с придомовой территории.</v>
      </c>
      <c r="B46" s="166"/>
      <c r="C46" s="166"/>
      <c r="D46" s="166"/>
      <c r="E46" s="166"/>
      <c r="F46" s="171">
        <f>VLOOKUP(A46,ПТО!$A$2:$D$31,4,FALSE)</f>
        <v>8332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7"/>
      <c r="L46" s="183"/>
      <c r="M46" s="114"/>
      <c r="N46" s="107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66" t="str">
        <f>ПТО!A6</f>
        <v>Приобретение и замена доводчика на тамбурной двери.</v>
      </c>
      <c r="B47" s="166"/>
      <c r="C47" s="166"/>
      <c r="D47" s="166"/>
      <c r="E47" s="166"/>
      <c r="F47" s="171">
        <f>VLOOKUP(A47,ПТО!$A$2:$D$31,4,FALSE)</f>
        <v>2100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7"/>
      <c r="L47" s="183"/>
      <c r="M47" s="114"/>
      <c r="N47" s="107"/>
      <c r="O47" s="23" t="str">
        <f t="shared" si="1"/>
        <v>Приобретение и замена доводчика на тамбурной двери.</v>
      </c>
      <c r="R47" s="22" t="s">
        <v>71</v>
      </c>
    </row>
    <row r="48" spans="1:18" ht="51" customHeight="1" outlineLevel="1">
      <c r="A48" s="166" t="str">
        <f>ПТО!A7</f>
        <v>Приобретение и установка поручней в кабине лифта.</v>
      </c>
      <c r="B48" s="166"/>
      <c r="C48" s="166"/>
      <c r="D48" s="166"/>
      <c r="E48" s="166"/>
      <c r="F48" s="171">
        <f>VLOOKUP(A48,ПТО!$A$2:$D$31,4,FALSE)</f>
        <v>13360</v>
      </c>
      <c r="G48" s="171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7"/>
      <c r="L48" s="183"/>
      <c r="M48" s="114"/>
      <c r="N48" s="107"/>
      <c r="O48" s="23" t="str">
        <f t="shared" si="1"/>
        <v>Приобретение и установка поручней в кабине лифта.</v>
      </c>
      <c r="R48" s="22" t="s">
        <v>71</v>
      </c>
    </row>
    <row r="49" spans="1:18" ht="51" customHeight="1" outlineLevel="1">
      <c r="A49" s="166" t="str">
        <f>ПТО!A8</f>
        <v>Ремонт лифта (замена ролика, восстановление кронштейна привода дверей кабины).</v>
      </c>
      <c r="B49" s="166"/>
      <c r="C49" s="166"/>
      <c r="D49" s="166"/>
      <c r="E49" s="166"/>
      <c r="F49" s="171">
        <f>VLOOKUP(A49,ПТО!$A$2:$D$31,4,FALSE)</f>
        <v>2750</v>
      </c>
      <c r="G49" s="171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7"/>
      <c r="L49" s="183"/>
      <c r="M49" s="114"/>
      <c r="N49" s="107"/>
      <c r="O49" s="23" t="str">
        <f t="shared" si="1"/>
        <v>Ремонт лифта (замена ролика, восстановление кронштейна привода дверей кабины).</v>
      </c>
      <c r="R49" s="22" t="s">
        <v>71</v>
      </c>
    </row>
    <row r="50" spans="1:18" ht="51" customHeight="1" outlineLevel="1">
      <c r="A50" s="166" t="str">
        <f>ПТО!A9</f>
        <v>Замена лампы уличного освещения.</v>
      </c>
      <c r="B50" s="166"/>
      <c r="C50" s="166"/>
      <c r="D50" s="166"/>
      <c r="E50" s="166"/>
      <c r="F50" s="171">
        <f>VLOOKUP(A50,ПТО!$A$2:$D$31,4,FALSE)</f>
        <v>2700</v>
      </c>
      <c r="G50" s="171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7"/>
      <c r="L50" s="183"/>
      <c r="M50" s="114"/>
      <c r="N50" s="107"/>
      <c r="O50" s="23" t="str">
        <f t="shared" si="1"/>
        <v>Замена лампы уличного освещения.</v>
      </c>
      <c r="R50" s="22" t="s">
        <v>71</v>
      </c>
    </row>
    <row r="51" spans="1:18" ht="51" customHeight="1" outlineLevel="1">
      <c r="A51" s="166" t="str">
        <f>ПТО!A10</f>
        <v>Генеральная уборка в подъезде (сентябрь).</v>
      </c>
      <c r="B51" s="166"/>
      <c r="C51" s="166"/>
      <c r="D51" s="166"/>
      <c r="E51" s="166"/>
      <c r="F51" s="171">
        <f>VLOOKUP(A51,ПТО!$A$2:$D$31,4,FALSE)</f>
        <v>2700</v>
      </c>
      <c r="G51" s="171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7"/>
      <c r="L51" s="183"/>
      <c r="M51" s="114"/>
      <c r="N51" s="107"/>
      <c r="O51" s="23" t="str">
        <f t="shared" si="1"/>
        <v>Генеральная уборка в подъезде (сентябрь).</v>
      </c>
      <c r="R51" s="22" t="s">
        <v>71</v>
      </c>
    </row>
    <row r="52" spans="1:18" ht="51" customHeight="1" outlineLevel="1">
      <c r="A52" s="166" t="str">
        <f>ПТО!A11</f>
        <v>Проведение ремонта асфальтного покрытия на придомовой территории.</v>
      </c>
      <c r="B52" s="166"/>
      <c r="C52" s="166"/>
      <c r="D52" s="166"/>
      <c r="E52" s="166"/>
      <c r="F52" s="171">
        <f>VLOOKUP(A52,ПТО!$A$2:$D$31,4,FALSE)</f>
        <v>47055.13</v>
      </c>
      <c r="G52" s="171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7"/>
      <c r="L52" s="183"/>
      <c r="M52" s="114"/>
      <c r="N52" s="107"/>
      <c r="O52" s="23" t="str">
        <f t="shared" si="1"/>
        <v>Проведение ремонта асфальтного покрытия на придомовой территории.</v>
      </c>
      <c r="R52" s="22" t="s">
        <v>71</v>
      </c>
    </row>
    <row r="53" spans="1:18" ht="51" hidden="1" customHeight="1" outlineLevel="1">
      <c r="A53" s="166">
        <f>ПТО!A12</f>
        <v>0</v>
      </c>
      <c r="B53" s="166"/>
      <c r="C53" s="166"/>
      <c r="D53" s="166"/>
      <c r="E53" s="166"/>
      <c r="F53" s="171" t="e">
        <f>VLOOKUP(A53,ПТО!$A$2:$D$31,4,FALSE)</f>
        <v>#N/A</v>
      </c>
      <c r="G53" s="171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7"/>
      <c r="L53" s="183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66">
        <f>ПТО!A13</f>
        <v>0</v>
      </c>
      <c r="B54" s="166"/>
      <c r="C54" s="166"/>
      <c r="D54" s="166"/>
      <c r="E54" s="166"/>
      <c r="F54" s="171" t="e">
        <f>VLOOKUP(A54,ПТО!$A$2:$D$31,4,FALSE)</f>
        <v>#N/A</v>
      </c>
      <c r="G54" s="171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7"/>
      <c r="L54" s="183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66">
        <f>ПТО!A14</f>
        <v>0</v>
      </c>
      <c r="B55" s="166"/>
      <c r="C55" s="166"/>
      <c r="D55" s="166"/>
      <c r="E55" s="166"/>
      <c r="F55" s="171" t="e">
        <f>VLOOKUP(A55,ПТО!$A$2:$D$31,4,FALSE)</f>
        <v>#N/A</v>
      </c>
      <c r="G55" s="171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7"/>
      <c r="L55" s="183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66">
        <f>ПТО!A15</f>
        <v>0</v>
      </c>
      <c r="B56" s="166"/>
      <c r="C56" s="166"/>
      <c r="D56" s="166"/>
      <c r="E56" s="166"/>
      <c r="F56" s="171" t="e">
        <f>VLOOKUP(A56,ПТО!$A$2:$D$31,4,FALSE)</f>
        <v>#N/A</v>
      </c>
      <c r="G56" s="171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7"/>
      <c r="L56" s="183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66">
        <f>ПТО!A16</f>
        <v>0</v>
      </c>
      <c r="B57" s="166"/>
      <c r="C57" s="166"/>
      <c r="D57" s="166"/>
      <c r="E57" s="166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7"/>
      <c r="L57" s="183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7"/>
      <c r="L58" s="183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7"/>
      <c r="L59" s="183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7"/>
      <c r="L60" s="183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7"/>
      <c r="L61" s="183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7"/>
      <c r="L62" s="183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7"/>
      <c r="L63" s="183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7"/>
      <c r="L64" s="183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7"/>
      <c r="L65" s="183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7"/>
      <c r="L66" s="183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7"/>
      <c r="L67" s="183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7"/>
      <c r="L68" s="183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7"/>
      <c r="L69" s="183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7"/>
      <c r="L70" s="183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4"/>
      <c r="L71" s="183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7"/>
      <c r="L72" s="183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84" t="s">
        <v>26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7"/>
      <c r="L75" s="186"/>
      <c r="M75" s="107"/>
      <c r="N75" s="107"/>
      <c r="O75" s="68" t="s">
        <v>99</v>
      </c>
    </row>
    <row r="76" spans="1:16384" ht="18.75" customHeight="1" outlineLevel="1">
      <c r="A76" s="184" t="s">
        <v>27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7"/>
      <c r="L76" s="186"/>
      <c r="M76" s="107"/>
      <c r="N76" s="107"/>
      <c r="O76" s="68" t="s">
        <v>100</v>
      </c>
    </row>
    <row r="77" spans="1:16384" ht="21.75" customHeight="1" outlineLevel="1">
      <c r="A77" s="184" t="s">
        <v>28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7"/>
      <c r="L77" s="186"/>
      <c r="M77" s="107"/>
      <c r="N77" s="107"/>
      <c r="O77" s="68" t="s">
        <v>101</v>
      </c>
    </row>
    <row r="78" spans="1:16384" ht="18.75" customHeight="1" outlineLevel="1">
      <c r="A78" s="184" t="s">
        <v>29</v>
      </c>
      <c r="B78" s="184"/>
      <c r="C78" s="184"/>
      <c r="D78" s="184"/>
      <c r="E78" s="184"/>
      <c r="F78" s="184"/>
      <c r="G78" s="184"/>
      <c r="H78" s="184"/>
      <c r="I78" s="184"/>
      <c r="J78" s="95">
        <f>VLOOKUP(O78,АО,3,FALSE)</f>
        <v>0</v>
      </c>
      <c r="K78" s="107"/>
      <c r="L78" s="186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5">
        <f t="shared" ref="J81:J90" si="2">VLOOKUP(O81,АО,3,FALSE)</f>
        <v>0</v>
      </c>
      <c r="K81" s="107"/>
      <c r="L81" s="172"/>
      <c r="M81" s="107"/>
      <c r="N81" s="107"/>
      <c r="O81" s="68" t="s">
        <v>103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5">
        <f t="shared" si="2"/>
        <v>0</v>
      </c>
      <c r="K82" s="107"/>
      <c r="L82" s="172"/>
      <c r="M82" s="107"/>
      <c r="N82" s="107"/>
      <c r="O82" s="68" t="s">
        <v>104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5">
        <f t="shared" si="2"/>
        <v>107587.95</v>
      </c>
      <c r="K83" s="107"/>
      <c r="L83" s="172"/>
      <c r="M83" s="107"/>
      <c r="N83" s="107"/>
      <c r="O83" s="68" t="s">
        <v>105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5">
        <f t="shared" si="2"/>
        <v>0</v>
      </c>
      <c r="K84" s="107"/>
      <c r="L84" s="172"/>
      <c r="M84" s="107"/>
      <c r="N84" s="107"/>
      <c r="O84" s="68" t="s">
        <v>106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5">
        <f t="shared" si="2"/>
        <v>0</v>
      </c>
      <c r="K85" s="107"/>
      <c r="L85" s="172"/>
      <c r="M85" s="107"/>
      <c r="N85" s="107"/>
      <c r="O85" s="68" t="s">
        <v>107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5">
        <f t="shared" si="2"/>
        <v>94806.510000000009</v>
      </c>
      <c r="K86" s="107"/>
      <c r="L86" s="172"/>
      <c r="M86" s="107"/>
      <c r="N86" s="107"/>
      <c r="O86" s="68" t="s">
        <v>108</v>
      </c>
    </row>
    <row r="87" spans="1:15" ht="18.75" customHeight="1" outlineLevel="1">
      <c r="A87" s="178" t="s">
        <v>26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7"/>
      <c r="L87" s="172"/>
      <c r="M87" s="107"/>
      <c r="N87" s="107"/>
      <c r="O87" s="68" t="s">
        <v>109</v>
      </c>
    </row>
    <row r="88" spans="1:15" ht="18.75" customHeight="1" outlineLevel="1">
      <c r="A88" s="178" t="s">
        <v>27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7"/>
      <c r="L88" s="172"/>
      <c r="M88" s="107"/>
      <c r="N88" s="107"/>
      <c r="O88" s="68" t="s">
        <v>110</v>
      </c>
    </row>
    <row r="89" spans="1:15" ht="18.75" customHeight="1" outlineLevel="1">
      <c r="A89" s="178" t="s">
        <v>28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7"/>
      <c r="L89" s="172"/>
      <c r="M89" s="107"/>
      <c r="N89" s="107"/>
      <c r="O89" s="68" t="s">
        <v>111</v>
      </c>
    </row>
    <row r="90" spans="1:15" ht="18.75" customHeight="1" outlineLevel="1">
      <c r="A90" s="178" t="s">
        <v>29</v>
      </c>
      <c r="B90" s="179"/>
      <c r="C90" s="179"/>
      <c r="D90" s="179"/>
      <c r="E90" s="179"/>
      <c r="F90" s="179"/>
      <c r="G90" s="179"/>
      <c r="H90" s="179"/>
      <c r="I90" s="180"/>
      <c r="J90" s="95">
        <f t="shared" si="2"/>
        <v>0</v>
      </c>
      <c r="K90" s="107"/>
      <c r="L90" s="172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87" t="s">
        <v>47</v>
      </c>
      <c r="B93" s="187"/>
      <c r="C93" s="187"/>
      <c r="D93" s="188" t="s">
        <v>48</v>
      </c>
      <c r="E93" s="188"/>
      <c r="F93" s="10" t="s">
        <v>49</v>
      </c>
      <c r="G93" s="187" t="s">
        <v>50</v>
      </c>
      <c r="H93" s="187"/>
      <c r="I93" s="187"/>
      <c r="J93" s="187"/>
      <c r="K93" s="107"/>
      <c r="L93" s="107"/>
      <c r="M93" s="107"/>
      <c r="N93" s="107"/>
    </row>
    <row r="94" spans="1:15" outlineLevel="1">
      <c r="A94" s="168" t="str">
        <f>IF(VLOOKUP("эл",АО,3,FALSE)&gt;0,"Электроснабжение",0)</f>
        <v>Электроснабжение</v>
      </c>
      <c r="B94" s="168"/>
      <c r="C94" s="168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70">
        <f>VLOOKUP("эл",АО,5,FALSE)</f>
        <v>187752.67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outlineLevel="2">
      <c r="A95" s="185" t="str">
        <f>IF(VLOOKUP("эл",АО,3,FALSE)&gt;0,VLOOKUP("эл1",АО,2,FALSE),0)</f>
        <v>Общий объем потребления, нат. показ.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125168.44666666667</v>
      </c>
      <c r="L95" s="173"/>
      <c r="O95" s="1" t="s">
        <v>113</v>
      </c>
    </row>
    <row r="96" spans="1:15" outlineLevel="2">
      <c r="A96" s="185" t="str">
        <f>IF(VLOOKUP("эл",АО,3,FALSE)&gt;0,VLOOKUP("эл2",АО,2,FALSE),0)</f>
        <v>Оплачено потребителями, руб.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197756.23</v>
      </c>
      <c r="L96" s="173"/>
      <c r="O96" s="1" t="s">
        <v>114</v>
      </c>
    </row>
    <row r="97" spans="1:15" outlineLevel="2">
      <c r="A97" s="185" t="str">
        <f>IF(VLOOKUP("эл",АО,3,FALSE)&gt;0,VLOOKUP("эл3",АО,2,FALSE),0)</f>
        <v>Задолженность потребителей, руб.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73"/>
      <c r="O97" s="1" t="s">
        <v>115</v>
      </c>
    </row>
    <row r="98" spans="1:15" ht="37.5" customHeight="1" outlineLevel="2">
      <c r="A98" s="185" t="str">
        <f>IF(VLOOKUP("эл",АО,3,FALSE)&gt;0,VLOOKUP("эл4",АО,2,FALSE),0)</f>
        <v>Начислено поставщиком (поставщиками) коммунального ресурса, руб.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187752.67</v>
      </c>
      <c r="L98" s="173"/>
      <c r="O98" s="1" t="s">
        <v>116</v>
      </c>
    </row>
    <row r="99" spans="1:15" outlineLevel="2">
      <c r="A99" s="185" t="str">
        <f>IF(VLOOKUP("эл",АО,3,FALSE)&gt;0,VLOOKUP("эл5",АО,2,FALSE),0)</f>
        <v>Оплачено поставщику (поставщикам) коммунального ресурса, руб.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187752.67</v>
      </c>
      <c r="L99" s="173"/>
      <c r="O99" s="1" t="s">
        <v>117</v>
      </c>
    </row>
    <row r="100" spans="1:15" ht="39" customHeight="1" outlineLevel="2">
      <c r="A100" s="18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118</v>
      </c>
    </row>
    <row r="101" spans="1:15" ht="34.5" customHeight="1" outlineLevel="2">
      <c r="A101" s="18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119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70">
        <f>VLOOKUP("хвс",АО,5,FALSE)</f>
        <v>78798.81</v>
      </c>
      <c r="H102" s="169"/>
      <c r="I102" s="169"/>
      <c r="J102" s="169"/>
      <c r="L102" s="173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4940.3642633228837</v>
      </c>
      <c r="L103" s="173"/>
      <c r="O103" s="1" t="s">
        <v>122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78978.399999999994</v>
      </c>
      <c r="L104" s="173"/>
      <c r="O104" s="1" t="s">
        <v>123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73"/>
      <c r="O105" s="1" t="s">
        <v>124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78798.81</v>
      </c>
      <c r="L106" s="173"/>
      <c r="O106" s="1" t="s">
        <v>125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78798.81</v>
      </c>
      <c r="L107" s="173"/>
      <c r="O107" s="1" t="s">
        <v>126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127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128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70">
        <f>VLOOKUP("воо",АО,5,FALSE)</f>
        <v>81786.570000000007</v>
      </c>
      <c r="H110" s="169"/>
      <c r="I110" s="169"/>
      <c r="J110" s="169"/>
      <c r="L110" s="173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4217.9767921609082</v>
      </c>
      <c r="L111" s="173"/>
      <c r="O111" s="1" t="s">
        <v>130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85806.79</v>
      </c>
      <c r="L112" s="173"/>
      <c r="O112" s="1" t="s">
        <v>131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73"/>
      <c r="O113" s="1" t="s">
        <v>132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81786.570000000007</v>
      </c>
      <c r="L114" s="173"/>
      <c r="O114" s="1" t="s">
        <v>133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81786.570000000007</v>
      </c>
      <c r="L115" s="173"/>
      <c r="O115" s="1" t="s">
        <v>134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135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136</v>
      </c>
    </row>
    <row r="118" spans="1:15" ht="32.25" customHeight="1" outlineLevel="1">
      <c r="A118" s="168" t="str">
        <f>IF(VLOOKUP("тко",АО,3,FALSE)&gt;0,"Обращение с ТКО",0)</f>
        <v>Обращение с ТКО</v>
      </c>
      <c r="B118" s="168"/>
      <c r="C118" s="168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70">
        <f>VLOOKUP("тко",АО,5,FALSE)</f>
        <v>85608</v>
      </c>
      <c r="H118" s="169"/>
      <c r="I118" s="169"/>
      <c r="J118" s="169"/>
      <c r="L118" s="45"/>
    </row>
    <row r="119" spans="1:15" ht="32.25" customHeight="1" outlineLevel="2">
      <c r="A119" s="164" t="str">
        <f t="shared" ref="A119:A125" si="8">IF(VLOOKUP("тко",АО,3,FALSE)&gt;0,VLOOKUP(O119,АО,2,FALSE),0)</f>
        <v>Общий объем потребления, нат. показ.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144.64720194647202</v>
      </c>
      <c r="L119" s="45"/>
      <c r="O119" s="1" t="s">
        <v>138</v>
      </c>
    </row>
    <row r="120" spans="1:15" ht="32.25" customHeight="1" outlineLevel="2">
      <c r="A120" s="164" t="str">
        <f t="shared" si="8"/>
        <v>Оплачено потребителями, руб.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84186.07</v>
      </c>
      <c r="L120" s="45"/>
      <c r="O120" s="1" t="s">
        <v>139</v>
      </c>
    </row>
    <row r="121" spans="1:15" ht="32.25" customHeight="1" outlineLevel="2">
      <c r="A121" s="164" t="str">
        <f t="shared" si="8"/>
        <v>Задолженность потребителей, руб.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1421.929999999993</v>
      </c>
      <c r="L121" s="45"/>
      <c r="O121" s="1" t="s">
        <v>140</v>
      </c>
    </row>
    <row r="122" spans="1:15" ht="32.25" customHeight="1" outlineLevel="2">
      <c r="A122" s="164" t="str">
        <f t="shared" si="8"/>
        <v>Начислено поставщиком (поставщиками) коммунального ресурса, руб.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85608</v>
      </c>
      <c r="L122" s="45"/>
      <c r="O122" s="1" t="s">
        <v>141</v>
      </c>
    </row>
    <row r="123" spans="1:15" ht="32.25" customHeight="1" outlineLevel="2">
      <c r="A123" s="164" t="str">
        <f t="shared" si="8"/>
        <v>Оплачено поставщику (поставщикам) коммунального ресурса, руб.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85608</v>
      </c>
      <c r="L123" s="45"/>
      <c r="O123" s="1" t="s">
        <v>142</v>
      </c>
    </row>
    <row r="124" spans="1:15" ht="32.25" customHeight="1" outlineLevel="2">
      <c r="A124" s="164" t="str">
        <f t="shared" si="8"/>
        <v>Задолженность перед поставщиком (поставщиками) коммунального ресурса, руб.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64" t="str">
        <f t="shared" si="8"/>
        <v>Размер пени и штрафов, уплаченных поставщику (поставщикам) коммунального ресурса, руб.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70">
        <f>VLOOKUP("гвс",АО,5,FALSE)</f>
        <v>0</v>
      </c>
      <c r="H126" s="169"/>
      <c r="I126" s="169"/>
      <c r="J126" s="169"/>
      <c r="L126" s="45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5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64" t="s">
        <v>44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170</v>
      </c>
    </row>
    <row r="145" spans="1:15" ht="18.75" customHeight="1" outlineLevel="1">
      <c r="A145" s="164" t="s">
        <v>45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64" t="s">
        <v>173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0</v>
      </c>
      <c r="O146" t="s">
        <v>172</v>
      </c>
    </row>
    <row r="149" spans="1:15" ht="52.5" customHeight="1">
      <c r="A149" s="189" t="s">
        <v>178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1" t="s">
        <v>189</v>
      </c>
      <c r="B154" s="191"/>
      <c r="C154" s="191"/>
      <c r="D154" s="191"/>
      <c r="E154" s="27">
        <f>ПТО!G1</f>
        <v>-88945.39</v>
      </c>
    </row>
    <row r="155" spans="1:15" ht="34.5" customHeight="1">
      <c r="A155" s="190" t="s">
        <v>190</v>
      </c>
      <c r="B155" s="190"/>
      <c r="C155" s="190"/>
      <c r="D155" s="190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56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Техническое освидетельствование лифта.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8100</v>
      </c>
      <c r="G158" s="171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1</v>
      </c>
      <c r="J158" s="16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6" t="str">
        <f t="shared" si="14"/>
        <v>Техническое обслуживание охранной сигнализации.</v>
      </c>
      <c r="B159" s="166"/>
      <c r="C159" s="166"/>
      <c r="D159" s="166"/>
      <c r="E159" s="166"/>
      <c r="F159" s="171">
        <f t="shared" si="15"/>
        <v>21800</v>
      </c>
      <c r="G159" s="171"/>
      <c r="H159" s="24" t="str">
        <f t="shared" si="16"/>
        <v>ежемесячно</v>
      </c>
      <c r="I159" s="167">
        <f t="shared" si="17"/>
        <v>12</v>
      </c>
      <c r="J159" s="167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6" t="str">
        <f t="shared" si="14"/>
        <v>Изготовление и монтаж козырька над подъездом.</v>
      </c>
      <c r="B160" s="166"/>
      <c r="C160" s="166"/>
      <c r="D160" s="166"/>
      <c r="E160" s="166"/>
      <c r="F160" s="171">
        <f t="shared" si="15"/>
        <v>52297.73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71</v>
      </c>
      <c r="N160" s="1" t="str">
        <v>Изготовление и монтаж козырька над подъездом.</v>
      </c>
    </row>
    <row r="161" spans="1:14" ht="28.5" customHeight="1">
      <c r="A161" s="166" t="str">
        <f>IF(N161&gt;0,N161,0)</f>
        <v>Механизированная уборка и вывоз снега с придомовой территории.</v>
      </c>
      <c r="B161" s="166"/>
      <c r="C161" s="166"/>
      <c r="D161" s="166"/>
      <c r="E161" s="166"/>
      <c r="F161" s="171">
        <f t="shared" si="15"/>
        <v>8332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6" t="str">
        <f t="shared" si="14"/>
        <v>Приобретение и замена доводчика на тамбурной двери.</v>
      </c>
      <c r="B162" s="166"/>
      <c r="C162" s="166"/>
      <c r="D162" s="166"/>
      <c r="E162" s="166"/>
      <c r="F162" s="171">
        <f t="shared" si="15"/>
        <v>2100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71</v>
      </c>
      <c r="N162" s="1" t="str">
        <v>Приобретение и замена доводчика на тамбурной двери.</v>
      </c>
    </row>
    <row r="163" spans="1:14" ht="28.5" customHeight="1">
      <c r="A163" s="166" t="str">
        <f t="shared" si="14"/>
        <v>Приобретение и установка поручней в кабине лифта.</v>
      </c>
      <c r="B163" s="166"/>
      <c r="C163" s="166"/>
      <c r="D163" s="166"/>
      <c r="E163" s="166"/>
      <c r="F163" s="171">
        <f t="shared" si="15"/>
        <v>13360</v>
      </c>
      <c r="G163" s="171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71</v>
      </c>
      <c r="N163" s="1" t="str">
        <v>Приобретение и установка поручней в кабине лифта.</v>
      </c>
    </row>
    <row r="164" spans="1:14" ht="28.5" customHeight="1">
      <c r="A164" s="166" t="str">
        <f t="shared" ref="A164:A187" si="18">IF(N164&gt;0,N164,0)</f>
        <v>Ремонт лифта (замена ролика, восстановление кронштейна привода дверей кабины).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2750</v>
      </c>
      <c r="G164" s="171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71</v>
      </c>
      <c r="N164" s="1" t="str">
        <v>Ремонт лифта (замена ролика, восстановление кронштейна привода дверей кабины).</v>
      </c>
    </row>
    <row r="165" spans="1:14" ht="28.5" customHeight="1">
      <c r="A165" s="166" t="str">
        <f t="shared" si="18"/>
        <v>Замена лампы уличного освещения.</v>
      </c>
      <c r="B165" s="166"/>
      <c r="C165" s="166"/>
      <c r="D165" s="166"/>
      <c r="E165" s="166"/>
      <c r="F165" s="171">
        <f t="shared" si="19"/>
        <v>2700</v>
      </c>
      <c r="G165" s="171"/>
      <c r="H165" s="29" t="str">
        <f t="shared" si="16"/>
        <v>разово</v>
      </c>
      <c r="I165" s="167">
        <f t="shared" si="20"/>
        <v>1</v>
      </c>
      <c r="J165" s="167"/>
      <c r="M165" s="22" t="s">
        <v>71</v>
      </c>
      <c r="N165" s="1" t="str">
        <v>Замена лампы уличного освещения.</v>
      </c>
    </row>
    <row r="166" spans="1:14" ht="28.5" customHeight="1">
      <c r="A166" s="166" t="str">
        <f t="shared" si="18"/>
        <v>Генеральная уборка в подъезде (сентябрь).</v>
      </c>
      <c r="B166" s="166"/>
      <c r="C166" s="166"/>
      <c r="D166" s="166"/>
      <c r="E166" s="166"/>
      <c r="F166" s="171">
        <f t="shared" si="19"/>
        <v>2700</v>
      </c>
      <c r="G166" s="171"/>
      <c r="H166" s="29" t="str">
        <f t="shared" si="16"/>
        <v>разово</v>
      </c>
      <c r="I166" s="167">
        <f t="shared" si="20"/>
        <v>1</v>
      </c>
      <c r="J166" s="167"/>
      <c r="M166" s="22" t="s">
        <v>71</v>
      </c>
      <c r="N166" s="1" t="str">
        <v>Генеральная уборка в подъезде (сентябрь).</v>
      </c>
    </row>
    <row r="167" spans="1:14" ht="28.5" customHeight="1">
      <c r="A167" s="166" t="str">
        <f t="shared" si="18"/>
        <v>Проведение ремонта асфальтного покрытия на придомовой территории.</v>
      </c>
      <c r="B167" s="166"/>
      <c r="C167" s="166"/>
      <c r="D167" s="166"/>
      <c r="E167" s="166"/>
      <c r="F167" s="171">
        <f t="shared" si="19"/>
        <v>47055.13</v>
      </c>
      <c r="G167" s="171"/>
      <c r="H167" s="29" t="str">
        <f t="shared" si="16"/>
        <v>разово</v>
      </c>
      <c r="I167" s="167">
        <f t="shared" si="20"/>
        <v>1</v>
      </c>
      <c r="J167" s="167"/>
      <c r="M167" s="22" t="s">
        <v>71</v>
      </c>
      <c r="N167" s="1" t="str">
        <v>Проведение ремонта асфальтного покрытия на придомовой территории.</v>
      </c>
    </row>
    <row r="168" spans="1:14" ht="28.5" hidden="1" customHeight="1">
      <c r="A168" s="166">
        <f t="shared" si="18"/>
        <v>0</v>
      </c>
      <c r="B168" s="166"/>
      <c r="C168" s="166"/>
      <c r="D168" s="166"/>
      <c r="E168" s="166"/>
      <c r="F168" s="171">
        <f t="shared" si="19"/>
        <v>0</v>
      </c>
      <c r="G168" s="171"/>
      <c r="H168" s="29" t="e">
        <f t="shared" si="16"/>
        <v>#N/A</v>
      </c>
      <c r="I168" s="167" t="e">
        <f t="shared" si="20"/>
        <v>#N/A</v>
      </c>
      <c r="J168" s="167"/>
      <c r="M168" s="22" t="s">
        <v>71</v>
      </c>
      <c r="N168" s="1">
        <v>0</v>
      </c>
    </row>
    <row r="169" spans="1:14" ht="28.5" hidden="1" customHeight="1">
      <c r="A169" s="166">
        <f t="shared" si="18"/>
        <v>0</v>
      </c>
      <c r="B169" s="166"/>
      <c r="C169" s="166"/>
      <c r="D169" s="166"/>
      <c r="E169" s="166"/>
      <c r="F169" s="171">
        <f t="shared" si="19"/>
        <v>0</v>
      </c>
      <c r="G169" s="171"/>
      <c r="H169" s="29" t="e">
        <f t="shared" si="16"/>
        <v>#N/A</v>
      </c>
      <c r="I169" s="167" t="e">
        <f t="shared" si="20"/>
        <v>#N/A</v>
      </c>
      <c r="J169" s="167"/>
      <c r="M169" s="22" t="s">
        <v>71</v>
      </c>
      <c r="N169" s="1">
        <v>0</v>
      </c>
    </row>
    <row r="170" spans="1:14" ht="28.5" hidden="1" customHeight="1">
      <c r="A170" s="166">
        <f t="shared" si="18"/>
        <v>0</v>
      </c>
      <c r="B170" s="166"/>
      <c r="C170" s="166"/>
      <c r="D170" s="166"/>
      <c r="E170" s="166"/>
      <c r="F170" s="171">
        <f t="shared" si="19"/>
        <v>0</v>
      </c>
      <c r="G170" s="171"/>
      <c r="H170" s="29" t="e">
        <f t="shared" si="16"/>
        <v>#N/A</v>
      </c>
      <c r="I170" s="167" t="e">
        <f t="shared" si="20"/>
        <v>#N/A</v>
      </c>
      <c r="J170" s="167"/>
      <c r="M170" s="22" t="s">
        <v>71</v>
      </c>
      <c r="N170" s="1">
        <v>0</v>
      </c>
    </row>
    <row r="171" spans="1:14" ht="28.5" hidden="1" customHeight="1">
      <c r="A171" s="166">
        <f t="shared" si="18"/>
        <v>0</v>
      </c>
      <c r="B171" s="166"/>
      <c r="C171" s="166"/>
      <c r="D171" s="166"/>
      <c r="E171" s="166"/>
      <c r="F171" s="171">
        <f t="shared" si="19"/>
        <v>0</v>
      </c>
      <c r="G171" s="171"/>
      <c r="H171" s="29" t="e">
        <f t="shared" si="16"/>
        <v>#N/A</v>
      </c>
      <c r="I171" s="167" t="e">
        <f t="shared" si="20"/>
        <v>#N/A</v>
      </c>
      <c r="J171" s="167"/>
      <c r="M171" s="22" t="s">
        <v>71</v>
      </c>
      <c r="N171" s="1">
        <v>0</v>
      </c>
    </row>
    <row r="172" spans="1:14" ht="28.5" hidden="1" customHeight="1">
      <c r="A172" s="166">
        <f t="shared" si="18"/>
        <v>0</v>
      </c>
      <c r="B172" s="166"/>
      <c r="C172" s="166"/>
      <c r="D172" s="166"/>
      <c r="E172" s="166"/>
      <c r="F172" s="171">
        <f t="shared" si="19"/>
        <v>0</v>
      </c>
      <c r="G172" s="171"/>
      <c r="H172" s="29" t="e">
        <f t="shared" si="16"/>
        <v>#N/A</v>
      </c>
      <c r="I172" s="167" t="e">
        <f t="shared" si="20"/>
        <v>#N/A</v>
      </c>
      <c r="J172" s="167"/>
      <c r="M172" s="22" t="s">
        <v>71</v>
      </c>
      <c r="N172" s="1">
        <v>0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71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71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71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71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71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71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71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71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71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71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71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71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71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71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91" t="s">
        <v>193</v>
      </c>
      <c r="B190" s="191"/>
      <c r="C190" s="191"/>
      <c r="D190" s="191"/>
      <c r="E190" s="27">
        <f>SUM(F158:G187)</f>
        <v>161194.86000000002</v>
      </c>
    </row>
    <row r="191" spans="1:14" ht="51.75" customHeight="1">
      <c r="A191" s="191" t="s">
        <v>192</v>
      </c>
      <c r="B191" s="191"/>
      <c r="C191" s="191"/>
      <c r="D191" s="191"/>
      <c r="E191" s="27">
        <f>E190+E154-E155</f>
        <v>-62188.930000000008</v>
      </c>
    </row>
    <row r="192" spans="1:14">
      <c r="A192" s="102" t="s">
        <v>174</v>
      </c>
    </row>
    <row r="193" spans="1:10" ht="62.25" customHeight="1">
      <c r="A193" s="165" t="s">
        <v>191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7">
        <f>ПТО!G12</f>
        <v>1200</v>
      </c>
      <c r="I194" s="48" t="s">
        <v>74</v>
      </c>
    </row>
    <row r="195" spans="1:10" ht="18.75" customHeight="1">
      <c r="A195" s="163" t="str">
        <f>ПТО!F13</f>
        <v xml:space="preserve">  -  техническое освидетельствование лифта</v>
      </c>
      <c r="B195" s="163"/>
      <c r="C195" s="163"/>
      <c r="D195" s="163"/>
      <c r="E195" s="163"/>
      <c r="F195" s="163"/>
      <c r="G195" s="163"/>
      <c r="H195" s="47">
        <f>ПТО!G13</f>
        <v>8100</v>
      </c>
      <c r="I195" s="48" t="s">
        <v>74</v>
      </c>
    </row>
    <row r="196" spans="1:10" ht="18.75" customHeight="1">
      <c r="A196" s="163" t="str">
        <f>ПТО!F14</f>
        <v xml:space="preserve">  -  техническое обслуживание охранной сигнализации</v>
      </c>
      <c r="B196" s="163"/>
      <c r="C196" s="163"/>
      <c r="D196" s="163"/>
      <c r="E196" s="163"/>
      <c r="F196" s="163"/>
      <c r="G196" s="163"/>
      <c r="H196" s="47">
        <f>ПТО!G14</f>
        <v>22200</v>
      </c>
      <c r="I196" s="48" t="s">
        <v>74</v>
      </c>
    </row>
    <row r="197" spans="1:10" ht="18.75" customHeight="1">
      <c r="A197" s="163" t="str">
        <f>ПТО!F15</f>
        <v xml:space="preserve">  -  механизированная уборка и вывоз снега с придомовой территории</v>
      </c>
      <c r="B197" s="163"/>
      <c r="C197" s="163"/>
      <c r="D197" s="163"/>
      <c r="E197" s="163"/>
      <c r="F197" s="163"/>
      <c r="G197" s="163"/>
      <c r="H197" s="47">
        <f>ПТО!G15</f>
        <v>20000</v>
      </c>
      <c r="I197" s="48" t="s">
        <v>74</v>
      </c>
    </row>
    <row r="198" spans="1:10" ht="36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47">
        <f>ПТО!G16</f>
        <v>0</v>
      </c>
      <c r="I198" s="50" t="s">
        <v>74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47">
        <f>ПТО!G17</f>
        <v>0</v>
      </c>
      <c r="I199" s="48" t="s">
        <v>74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47">
        <f>ПТО!G18</f>
        <v>0</v>
      </c>
      <c r="I200" s="48" t="s">
        <v>74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47">
        <f>ПТО!G19</f>
        <v>0</v>
      </c>
      <c r="I201" s="48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7">
        <f>ПТО!G20</f>
        <v>0</v>
      </c>
      <c r="I202" s="48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7">
        <f>ПТО!G21</f>
        <v>0</v>
      </c>
      <c r="I203" s="48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7">
        <f>ПТО!G22</f>
        <v>0</v>
      </c>
      <c r="I204" s="48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7">
        <f>ПТО!G23</f>
        <v>0</v>
      </c>
      <c r="I205" s="48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7">
        <f>ПТО!G24</f>
        <v>0</v>
      </c>
      <c r="I206" s="48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7">
        <f>ПТО!G25</f>
        <v>0</v>
      </c>
      <c r="I207" s="48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7">
        <f>ПТО!G26</f>
        <v>0</v>
      </c>
      <c r="I208" s="48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7">
        <f>ПТО!G27</f>
        <v>0</v>
      </c>
      <c r="I209" s="48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7">
        <f>ПТО!G28</f>
        <v>0</v>
      </c>
      <c r="I210" s="48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7">
        <f>ПТО!G29</f>
        <v>0</v>
      </c>
      <c r="I211" s="48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7">
        <f>ПТО!G30</f>
        <v>0</v>
      </c>
      <c r="I212" s="48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51500</v>
      </c>
      <c r="I214" s="54" t="s">
        <v>77</v>
      </c>
    </row>
  </sheetData>
  <sheetProtection algorithmName="SHA-512" hashValue="EbGK0q3N+DAZGcrLUW+JLEr5QHLns7S+xqMuCCB38EAO8ee7JC3f8FmgxrpBJVhHtmE4Dv0NMsEyhWxQDPDnGA==" saltValue="GiyjqYgBw5D53Qii1KyhI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9" sqref="F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6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9" t="s">
        <v>19</v>
      </c>
      <c r="B1" s="129" t="s">
        <v>56</v>
      </c>
      <c r="C1" s="129" t="s">
        <v>21</v>
      </c>
      <c r="D1" s="129" t="s">
        <v>20</v>
      </c>
      <c r="E1" s="130"/>
      <c r="F1" s="98" t="s">
        <v>189</v>
      </c>
      <c r="G1" s="99">
        <f>-88945.39</f>
        <v>-88945.39</v>
      </c>
    </row>
    <row r="2" spans="1:12" ht="18.75" customHeight="1">
      <c r="A2" s="131" t="s">
        <v>72</v>
      </c>
      <c r="B2" s="132" t="s">
        <v>180</v>
      </c>
      <c r="C2" s="132">
        <v>1</v>
      </c>
      <c r="D2" s="133">
        <v>8100</v>
      </c>
      <c r="E2" s="134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179</v>
      </c>
      <c r="B3" s="132" t="s">
        <v>181</v>
      </c>
      <c r="C3" s="135">
        <v>12</v>
      </c>
      <c r="D3" s="136">
        <f>1750*4+1850*8</f>
        <v>21800</v>
      </c>
      <c r="E3" s="134" t="s">
        <v>207</v>
      </c>
      <c r="F3" s="128" t="s">
        <v>205</v>
      </c>
      <c r="G3" s="30"/>
      <c r="L3" s="33" t="str">
        <f t="shared" si="0"/>
        <v>ТР</v>
      </c>
    </row>
    <row r="4" spans="1:12" ht="18.75" customHeight="1">
      <c r="A4" s="137" t="s">
        <v>187</v>
      </c>
      <c r="B4" s="138" t="s">
        <v>184</v>
      </c>
      <c r="C4" s="138">
        <v>1</v>
      </c>
      <c r="D4" s="139">
        <v>52297.73</v>
      </c>
      <c r="E4" s="134" t="s">
        <v>209</v>
      </c>
      <c r="F4" s="30"/>
      <c r="G4" s="30"/>
      <c r="L4" s="33" t="str">
        <f t="shared" si="0"/>
        <v>ТР</v>
      </c>
    </row>
    <row r="5" spans="1:12" ht="18.75" customHeight="1">
      <c r="A5" s="140" t="s">
        <v>185</v>
      </c>
      <c r="B5" s="138" t="s">
        <v>184</v>
      </c>
      <c r="C5" s="138">
        <v>1</v>
      </c>
      <c r="D5" s="141">
        <v>8332</v>
      </c>
      <c r="E5" s="142" t="s">
        <v>194</v>
      </c>
      <c r="F5" s="42"/>
      <c r="G5" s="42"/>
      <c r="K5" s="44"/>
      <c r="L5" s="33" t="str">
        <f t="shared" si="0"/>
        <v>ТР</v>
      </c>
    </row>
    <row r="6" spans="1:12" ht="18.75" customHeight="1">
      <c r="A6" s="143" t="s">
        <v>210</v>
      </c>
      <c r="B6" s="144" t="s">
        <v>184</v>
      </c>
      <c r="C6" s="145">
        <v>1</v>
      </c>
      <c r="D6" s="141">
        <v>2100</v>
      </c>
      <c r="E6" s="146" t="s">
        <v>195</v>
      </c>
      <c r="F6" s="42"/>
      <c r="G6" s="42"/>
      <c r="K6" s="44"/>
      <c r="L6" s="33" t="str">
        <f t="shared" si="0"/>
        <v>ТР</v>
      </c>
    </row>
    <row r="7" spans="1:12" ht="18.75" customHeight="1">
      <c r="A7" s="140" t="s">
        <v>196</v>
      </c>
      <c r="B7" s="138" t="s">
        <v>184</v>
      </c>
      <c r="C7" s="138">
        <v>1</v>
      </c>
      <c r="D7" s="139">
        <v>13360</v>
      </c>
      <c r="E7" s="134" t="s">
        <v>198</v>
      </c>
      <c r="F7" s="43"/>
      <c r="G7" s="43"/>
      <c r="K7" s="44"/>
      <c r="L7" s="33" t="str">
        <f t="shared" si="0"/>
        <v>ТР</v>
      </c>
    </row>
    <row r="8" spans="1:12" ht="18.75" customHeight="1">
      <c r="A8" s="147" t="s">
        <v>199</v>
      </c>
      <c r="B8" s="148" t="s">
        <v>184</v>
      </c>
      <c r="C8" s="148">
        <v>1</v>
      </c>
      <c r="D8" s="149">
        <v>2750</v>
      </c>
      <c r="E8" s="150" t="s">
        <v>200</v>
      </c>
      <c r="F8" s="43"/>
      <c r="G8" s="43"/>
      <c r="K8" s="41"/>
      <c r="L8" s="33" t="str">
        <f t="shared" si="0"/>
        <v>ТР</v>
      </c>
    </row>
    <row r="9" spans="1:12">
      <c r="A9" s="151" t="s">
        <v>201</v>
      </c>
      <c r="B9" s="152" t="s">
        <v>184</v>
      </c>
      <c r="C9" s="153">
        <v>1</v>
      </c>
      <c r="D9" s="154">
        <v>2700</v>
      </c>
      <c r="E9" s="134" t="s">
        <v>202</v>
      </c>
      <c r="F9" s="42"/>
      <c r="G9" s="42"/>
      <c r="K9" s="41"/>
      <c r="L9" s="33" t="str">
        <f t="shared" si="0"/>
        <v>ТР</v>
      </c>
    </row>
    <row r="10" spans="1:12">
      <c r="A10" s="155" t="s">
        <v>203</v>
      </c>
      <c r="B10" s="156" t="s">
        <v>184</v>
      </c>
      <c r="C10" s="153">
        <v>1</v>
      </c>
      <c r="D10" s="154">
        <v>2700</v>
      </c>
      <c r="E10" s="134" t="s">
        <v>204</v>
      </c>
      <c r="L10" s="33" t="str">
        <f t="shared" si="0"/>
        <v>ТР</v>
      </c>
    </row>
    <row r="11" spans="1:12" ht="94.5">
      <c r="A11" s="157" t="s">
        <v>188</v>
      </c>
      <c r="B11" s="156" t="s">
        <v>184</v>
      </c>
      <c r="C11" s="153">
        <v>1</v>
      </c>
      <c r="D11" s="154">
        <v>47055.13</v>
      </c>
      <c r="E11" s="134" t="s">
        <v>206</v>
      </c>
      <c r="F11" s="109" t="s">
        <v>191</v>
      </c>
      <c r="G11" s="109"/>
      <c r="L11" s="33" t="str">
        <f t="shared" si="0"/>
        <v>ТР</v>
      </c>
    </row>
    <row r="12" spans="1:12" ht="31.5">
      <c r="A12" s="119"/>
      <c r="B12" s="120"/>
      <c r="C12" s="120"/>
      <c r="D12" s="121"/>
      <c r="E12" s="122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B13" s="125"/>
      <c r="C13" s="125"/>
      <c r="D13" s="125"/>
      <c r="E13" s="125"/>
      <c r="F13" s="110" t="s">
        <v>75</v>
      </c>
      <c r="G13" s="111">
        <v>8100</v>
      </c>
      <c r="L13" s="33">
        <f t="shared" si="0"/>
        <v>0</v>
      </c>
    </row>
    <row r="14" spans="1:12" ht="31.5">
      <c r="A14" s="30"/>
      <c r="F14" s="110" t="s">
        <v>183</v>
      </c>
      <c r="G14" s="112">
        <f>1850*12</f>
        <v>22200</v>
      </c>
      <c r="L14" s="33">
        <f t="shared" si="0"/>
        <v>0</v>
      </c>
    </row>
    <row r="15" spans="1:12" ht="31.5">
      <c r="A15" s="30"/>
      <c r="F15" s="110" t="s">
        <v>186</v>
      </c>
      <c r="G15" s="127">
        <v>20000</v>
      </c>
      <c r="L15" s="33">
        <f t="shared" si="0"/>
        <v>0</v>
      </c>
    </row>
    <row r="16" spans="1:12" ht="15.75">
      <c r="A16" s="30"/>
      <c r="F16" s="110"/>
      <c r="G16" s="127"/>
      <c r="L16" s="33">
        <f t="shared" si="0"/>
        <v>0</v>
      </c>
    </row>
    <row r="17" spans="1:12" ht="15.75">
      <c r="A17" s="30"/>
      <c r="F17" s="110"/>
      <c r="G17" s="111"/>
      <c r="L17" s="33">
        <f t="shared" si="0"/>
        <v>0</v>
      </c>
    </row>
    <row r="18" spans="1:12" ht="15.75">
      <c r="A18" s="30"/>
      <c r="F18" s="117"/>
      <c r="G18" s="118"/>
      <c r="L18" s="33">
        <f t="shared" si="0"/>
        <v>0</v>
      </c>
    </row>
    <row r="19" spans="1:12">
      <c r="A19" s="30"/>
      <c r="F19" s="101"/>
      <c r="G19" s="116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8" t="s">
        <v>22</v>
      </c>
      <c r="B39" s="159">
        <f>F39*G39*'Абонентский отдел'!$F$1</f>
        <v>68115.456000000006</v>
      </c>
      <c r="C39" s="159" t="s">
        <v>67</v>
      </c>
      <c r="D39" s="160">
        <v>12</v>
      </c>
      <c r="E39" s="34"/>
      <c r="F39" s="116">
        <v>3.04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68115.456000000006</v>
      </c>
      <c r="O39" s="39" t="str">
        <f>C39</f>
        <v>Ежемесячно</v>
      </c>
      <c r="P39">
        <f>D39</f>
        <v>12</v>
      </c>
    </row>
    <row r="40" spans="1:16" ht="31.5" customHeight="1">
      <c r="A40" s="158" t="s">
        <v>175</v>
      </c>
      <c r="B40" s="159">
        <f>F40*G40*'Абонентский отдел'!$F$1</f>
        <v>89401.536000000007</v>
      </c>
      <c r="C40" s="159" t="s">
        <v>67</v>
      </c>
      <c r="D40" s="160">
        <v>12</v>
      </c>
      <c r="E40" s="34"/>
      <c r="F40" s="116">
        <v>3.99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89401.536000000007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8" t="s">
        <v>208</v>
      </c>
      <c r="B41" s="159">
        <f>F41*G41*'Абонентский отдел'!$F$1</f>
        <v>46605.312000000005</v>
      </c>
      <c r="C41" s="159" t="s">
        <v>68</v>
      </c>
      <c r="D41" s="160">
        <v>12</v>
      </c>
      <c r="E41" s="34"/>
      <c r="F41" s="116">
        <v>2.08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46605.312000000005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8" t="s">
        <v>23</v>
      </c>
      <c r="B42" s="159">
        <f>F42*G42*'Абонентский отдел'!$F$1</f>
        <v>26887.679999999997</v>
      </c>
      <c r="C42" s="159" t="s">
        <v>67</v>
      </c>
      <c r="D42" s="160">
        <v>12</v>
      </c>
      <c r="E42" s="34"/>
      <c r="F42" s="162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26887.679999999997</v>
      </c>
      <c r="O42" s="39" t="str">
        <f t="shared" si="5"/>
        <v>Ежемесячно</v>
      </c>
      <c r="P42">
        <f t="shared" si="6"/>
        <v>12</v>
      </c>
    </row>
    <row r="43" spans="1:16" ht="15.75">
      <c r="A43" s="158"/>
      <c r="B43" s="159"/>
      <c r="C43" s="159"/>
      <c r="D43" s="160"/>
      <c r="E43" s="34"/>
      <c r="F43" s="116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8" t="s">
        <v>24</v>
      </c>
      <c r="B44" s="159">
        <f>F44*G44*'Абонентский отдел'!$F$1</f>
        <v>8738.4959999999992</v>
      </c>
      <c r="C44" s="159" t="s">
        <v>69</v>
      </c>
      <c r="D44" s="160">
        <v>12</v>
      </c>
      <c r="E44" s="34"/>
      <c r="F44" s="162">
        <v>0.39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8738.4959999999992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8" t="s">
        <v>25</v>
      </c>
      <c r="B45" s="159">
        <f>F45*G45*'Абонентский отдел'!$F$1</f>
        <v>50190.336000000003</v>
      </c>
      <c r="C45" s="159" t="s">
        <v>68</v>
      </c>
      <c r="D45" s="160">
        <v>12</v>
      </c>
      <c r="E45" s="34"/>
      <c r="F45" s="162">
        <v>2.2400000000000002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50190.336000000003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58" t="s">
        <v>176</v>
      </c>
      <c r="B46" s="159">
        <f>F46*G46*'Абонентский отдел'!$F$1</f>
        <v>53999.424000000006</v>
      </c>
      <c r="C46" s="159" t="s">
        <v>67</v>
      </c>
      <c r="D46" s="161">
        <v>12</v>
      </c>
      <c r="F46" s="162">
        <v>2.41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53999.424000000006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3"/>
      <c r="C47" s="124"/>
      <c r="D47" s="46"/>
      <c r="E47" s="123"/>
      <c r="F47" s="123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QJXabowqjwaoVF8ok1jKIT5c8rZsY61rjkismnc1piEV0RKZGT9a4gcm99Ld1zctEDxU2qpQN4ctvf9X63FBGQ==" saltValue="/HX5yTkps4Up3uRmEZ3jZ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182</v>
      </c>
      <c r="F1" s="58">
        <v>1867.2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260233.72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466210.32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331771.92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F1*6*12</f>
        <v>134438.40000000002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459704.46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459704.46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459704.46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266739.58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94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94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94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94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3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3"/>
      <c r="N26" s="61"/>
    </row>
    <row r="27" spans="1:15" ht="18.75" customHeight="1">
      <c r="A27" s="68" t="s">
        <v>105</v>
      </c>
      <c r="B27" s="73" t="s">
        <v>4</v>
      </c>
      <c r="C27" s="84">
        <v>107587.95</v>
      </c>
      <c r="D27" s="79" t="s">
        <v>59</v>
      </c>
      <c r="E27" s="62"/>
      <c r="F27" s="62"/>
      <c r="G27" s="62"/>
      <c r="H27" s="62"/>
      <c r="I27" s="62"/>
      <c r="J27" s="62"/>
      <c r="M27" s="193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3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3"/>
      <c r="N29" s="61"/>
    </row>
    <row r="30" spans="1:15" ht="18.75" customHeight="1">
      <c r="A30" s="68" t="s">
        <v>108</v>
      </c>
      <c r="B30" s="73" t="s">
        <v>18</v>
      </c>
      <c r="C30" s="84">
        <f>C27+E37+E45+E53+E61-C39-C47-C55-C63</f>
        <v>94806.510000000009</v>
      </c>
      <c r="D30" s="79" t="s">
        <v>65</v>
      </c>
      <c r="E30" s="62"/>
      <c r="F30" s="62"/>
      <c r="G30" s="62"/>
      <c r="H30" s="62"/>
      <c r="I30" s="62"/>
      <c r="J30" s="62"/>
      <c r="M30" s="193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3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3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3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3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187752.67</v>
      </c>
      <c r="F37" s="92" t="s">
        <v>167</v>
      </c>
      <c r="G37" s="64"/>
      <c r="H37" s="64"/>
      <c r="I37" s="64"/>
      <c r="L37" s="61"/>
      <c r="M37" s="192"/>
      <c r="N37" s="61"/>
      <c r="O37" s="61"/>
    </row>
    <row r="38" spans="1:15" ht="18.75" customHeight="1">
      <c r="A38" s="68" t="s">
        <v>113</v>
      </c>
      <c r="B38" s="76" t="s">
        <v>36</v>
      </c>
      <c r="C38" s="88">
        <f>E37/1.5</f>
        <v>125168.44666666667</v>
      </c>
      <c r="D38" s="92" t="s">
        <v>165</v>
      </c>
      <c r="E38" s="66"/>
      <c r="G38" s="65"/>
      <c r="H38" s="65"/>
      <c r="L38" s="61"/>
      <c r="M38" s="192"/>
      <c r="N38" s="61"/>
      <c r="O38" s="61"/>
    </row>
    <row r="39" spans="1:15" ht="18.75" customHeight="1">
      <c r="A39" s="68" t="s">
        <v>114</v>
      </c>
      <c r="B39" s="76" t="s">
        <v>37</v>
      </c>
      <c r="C39" s="89">
        <v>197756.23</v>
      </c>
      <c r="D39" s="92" t="s">
        <v>166</v>
      </c>
      <c r="E39" s="66"/>
      <c r="G39" s="65"/>
      <c r="H39" s="65"/>
      <c r="L39" s="61"/>
      <c r="M39" s="192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126"/>
      <c r="G40" s="65"/>
      <c r="H40" s="65"/>
      <c r="L40" s="61"/>
      <c r="M40" s="192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187752.67</v>
      </c>
      <c r="D41" s="78" t="s">
        <v>58</v>
      </c>
      <c r="E41" s="126"/>
      <c r="G41" s="65"/>
      <c r="H41" s="65"/>
      <c r="L41" s="61"/>
      <c r="M41" s="192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187752.67</v>
      </c>
      <c r="D42" s="78" t="s">
        <v>58</v>
      </c>
      <c r="E42" s="126"/>
      <c r="G42" s="65"/>
      <c r="H42" s="65"/>
      <c r="L42" s="61"/>
      <c r="M42" s="192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2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2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78798.81</v>
      </c>
      <c r="F45" s="92" t="s">
        <v>167</v>
      </c>
      <c r="G45" s="64"/>
      <c r="H45" s="64"/>
      <c r="L45" s="61"/>
      <c r="M45" s="192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4940.3642633228837</v>
      </c>
      <c r="D46" s="92" t="s">
        <v>168</v>
      </c>
      <c r="E46" s="66"/>
      <c r="G46" s="65"/>
      <c r="H46" s="65"/>
      <c r="L46" s="61"/>
      <c r="M46" s="192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78978.399999999994</v>
      </c>
      <c r="D47" s="92" t="s">
        <v>166</v>
      </c>
      <c r="E47" s="66"/>
      <c r="G47" s="65"/>
      <c r="H47" s="65"/>
      <c r="L47" s="61"/>
      <c r="M47" s="192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2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78798.81</v>
      </c>
      <c r="D49" s="78" t="s">
        <v>58</v>
      </c>
      <c r="E49" s="66"/>
      <c r="G49" s="65"/>
      <c r="H49" s="65"/>
      <c r="L49" s="61"/>
      <c r="M49" s="192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78798.81</v>
      </c>
      <c r="D50" s="78" t="s">
        <v>58</v>
      </c>
      <c r="E50" s="66"/>
      <c r="G50" s="65"/>
      <c r="H50" s="65"/>
      <c r="L50" s="61"/>
      <c r="M50" s="192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2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2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81786.570000000007</v>
      </c>
      <c r="F53" s="92" t="s">
        <v>167</v>
      </c>
      <c r="G53" s="64"/>
      <c r="H53" s="64"/>
      <c r="L53" s="61"/>
      <c r="M53" s="192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4217.9767921609082</v>
      </c>
      <c r="D54" s="92" t="s">
        <v>168</v>
      </c>
      <c r="E54" s="67"/>
      <c r="F54" s="87"/>
      <c r="G54" s="62"/>
      <c r="H54" s="62"/>
      <c r="L54" s="61"/>
      <c r="M54" s="192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85806.79</v>
      </c>
      <c r="D55" s="92" t="s">
        <v>166</v>
      </c>
      <c r="E55" s="67"/>
      <c r="G55" s="62"/>
      <c r="H55" s="62"/>
      <c r="L55" s="61"/>
      <c r="M55" s="192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2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81786.570000000007</v>
      </c>
      <c r="D57" s="78" t="s">
        <v>58</v>
      </c>
      <c r="E57" s="67"/>
      <c r="G57" s="62"/>
      <c r="H57" s="62"/>
      <c r="L57" s="61"/>
      <c r="M57" s="192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81786.570000000007</v>
      </c>
      <c r="D58" s="78" t="s">
        <v>58</v>
      </c>
      <c r="E58" s="67"/>
      <c r="G58" s="62"/>
      <c r="H58" s="62"/>
      <c r="L58" s="61"/>
      <c r="M58" s="192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2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2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85608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144.64720194647202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84186.07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1421.929999999993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85608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85608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>
        <v>0</v>
      </c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>
        <v>0</v>
      </c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3" sqref="G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3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2025-03-12T00:29:58Z</dcterms:modified>
</cp:coreProperties>
</file>