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9" i="1"/>
  <c r="A97" i="1"/>
  <c r="G94" i="1"/>
  <c r="F94" i="1"/>
  <c r="K94" i="1"/>
  <c r="A111" i="1" l="1"/>
  <c r="A114" i="1"/>
  <c r="A123" i="1"/>
  <c r="A119" i="1"/>
  <c r="A110" i="1"/>
  <c r="A115" i="1"/>
  <c r="A118" i="1"/>
  <c r="D110" i="1"/>
  <c r="A112" i="1"/>
  <c r="A116" i="1"/>
  <c r="F110" i="1"/>
  <c r="A113" i="1"/>
  <c r="A94" i="1"/>
  <c r="A100" i="1"/>
  <c r="F134" i="1"/>
  <c r="A141" i="1"/>
  <c r="A95" i="1"/>
  <c r="D94" i="1"/>
  <c r="A96" i="1"/>
  <c r="A101" i="1"/>
  <c r="A122" i="1"/>
  <c r="A137" i="1"/>
  <c r="D118" i="1"/>
  <c r="A120" i="1"/>
  <c r="A124" i="1"/>
  <c r="F118" i="1"/>
  <c r="A121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<sst xmlns="http://schemas.openxmlformats.org/spreadsheetml/2006/main" count="564" uniqueCount="212">
  <si>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</si>
  <si>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</si>
  <si>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</si>
  <si>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</si>
  <si>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</si>
  <si>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</si>
  <si>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</si>
  <si>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</si>
  <si>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</si>
  <si>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</si>
  <si>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</si>
  <si>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</si>
  <si>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</si>
  <si>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</si>
  <si>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</si>
  <si>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</si>
  <si>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</si>
  <si>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</si>
  <si>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</si>
  <si>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</si>
  <si>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</si>
  <si>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</si>
  <si>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</si>
  <si>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</si>
  <si>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</si>
  <si>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</si>
  <si>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</si>
  <si>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</si>
  <si>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</si>
  <si>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</si>
  <si>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</si>
  <si>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</si>
  <si>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</si>
  <si>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</si>
  <si>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</si>
  <si>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</si>
  <si>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</si>
  <si>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</si>
  <si>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</si>
  <si>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</si>
  <si>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</si>
  <si>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</si>
  <si>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</si>
  <si>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</si>
  <si>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</si>
  <si>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</si>
  <si>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</si>
  <si>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</si>
  <si>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</si>
  <si>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</si>
  <si>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</si>
  <si>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</si>
  <si>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</si>
  <si>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</si>
  <si>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</si>
  <si>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</si>
  <si>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</si>
  <si>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</si>
  <si>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</si>
  <si>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</si>
  <si>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</si>
  <si>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</si>
  <si>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</si>
  <si>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</si>
  <si>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</si>
  <si>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</si>
  <si>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</si>
  <si>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</si>
  <si>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</si>
  <si>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</si>
  <si>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</si>
  <si>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</si>
  <si>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</si>
  <si>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</si>
  <si>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</si>
  <si>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</si>
  <si>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</si>
  <si>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</si>
  <si>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</si>
  <si>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</si>
  <si>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</si>
  <si>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</si>
  <si>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</si>
  <si>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</si>
  <si>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</si>
  <si>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</si>
  <si>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</si>
  <si>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</si>
  <si>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</si>
  <si>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</si>
  <si>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</si>
  <si>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</si>
  <si>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</si>
  <si>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</si>
  <si>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</si>
  <si>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</si>
  <si>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</si>
  <si>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</si>
  <si>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</si>
  <si>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</si>
  <si>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</si>
  <si>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</si>
  <si>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</si>
  <si>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</si>
  <si>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</si>
  <si>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</si>
  <si>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</si>
  <si>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</si>
  <si>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</si>
  <si>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</si>
  <si>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</si>
  <si>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</si>
  <si>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</si>
  <si>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</si>
  <si>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</si>
  <si>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</si>
  <si>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</si>
  <si>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</si>
  <si>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</si>
  <si>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</si>
  <si>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</si>
  <si>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</si>
  <si>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</si>
  <si>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</si>
  <si>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</si>
  <si>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</si>
  <si>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</si>
  <si>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</si>
  <si>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</si>
  <si>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</si>
  <si>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</si>
  <si>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</si>
  <si>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</si>
  <si>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</si>
  <si>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</si>
  <si>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</si>
  <si>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</si>
  <si>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</si>
  <si>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</si>
  <si>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</si>
  <si>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</si>
  <si>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</si>
  <si>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</si>
  <si>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</si>
  <si>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</si>
  <si>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</si>
  <si>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</si>
  <si>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</si>
  <si>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</si>
  <si>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</si>
  <si>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</si>
  <si>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</si>
  <si>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</si>
  <si>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</si>
  <si>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</si>
  <si>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</si>
  <si>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</si>
  <si>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</si>
  <si>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</si>
  <si>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</si>
  <si>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</si>
  <si>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</si>
  <si>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</si>
  <si>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</si>
  <si>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</si>
  <si>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</si>
  <si>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</si>
  <si>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</si>
  <si>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</si>
  <si>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</si>
  <si>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</si>
  <si>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</si>
  <si>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</si>
  <si>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</si>
  <si>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</si>
  <si>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12/3</t>
  </si>
  <si>
    <t>Работы по содержанию лифта (лифтов)</t>
  </si>
  <si>
    <t>Техническое обслуживание охранной сигнализации.</t>
  </si>
  <si>
    <t>ежегодно</t>
  </si>
  <si>
    <t>площадь дома</t>
  </si>
  <si>
    <t>Отчет об исполнении договора управления многоквартирного дома 
Мамина-Сибиряка, 12/3 в части текущего ремонта</t>
  </si>
  <si>
    <t>Начало отчетного периода</t>
  </si>
  <si>
    <t xml:space="preserve">  -  техническое обслуживание охранной сигнализации</t>
  </si>
  <si>
    <t>ежемесячно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</si>
  <si>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</si>
  <si>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</si>
  <si>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разово</t>
  </si>
  <si>
    <t>Проведение ремонта асфальтного покрытия на придомовой территории.</t>
  </si>
  <si>
    <t xml:space="preserve">  -  ремонт крыльца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</si>
  <si>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</si>
  <si>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</si>
  <si>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</si>
  <si>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</si>
  <si>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</si>
  <si>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04.03.2024, Решение</t>
  </si>
  <si>
    <t>Замена контактора и платы ключей для пассажирского лифта.</t>
  </si>
  <si>
    <t>Приобретение и замена почтовых ящиков в подъезде.</t>
  </si>
  <si>
    <t>АВР 2/24 от 29.04.2024, Решение</t>
  </si>
  <si>
    <t>Ремонт подъезда.</t>
  </si>
  <si>
    <t>Изготовление номеров на почтовые ящики.</t>
  </si>
  <si>
    <t>АВР 6/24 от 23.09.2024, Решение, счет №8 от 27.08.2024</t>
  </si>
  <si>
    <t>АВР 5/24 от 23.08.2024, Решение, счет №ЦБ-33970 от 19.08.2024</t>
  </si>
  <si>
    <t>АВР 7/24 от 11.09.2024, Решение, счет №ЦБ-37435 от 10.09.2024</t>
  </si>
  <si>
    <t>Замена лампы уличного освещения.</t>
  </si>
  <si>
    <t>АВР 3/24 от 16.08.2024, Решение</t>
  </si>
  <si>
    <t>1850 с 01.05.2024</t>
  </si>
  <si>
    <t>АВР 8/24 от 28.12.2024</t>
  </si>
  <si>
    <t>АВР 4/24 от 21.08.2024, Решение, счет №106 от 14.08.2024</t>
  </si>
  <si>
    <t>АВР 9/24 от 11.10.2024, Решение</t>
  </si>
  <si>
    <t xml:space="preserve">Работы по содержанию земельного участка </t>
  </si>
  <si>
    <t xml:space="preserve">  -  ремонт водосточных труб</t>
  </si>
  <si>
    <t xml:space="preserve">  -  монтаж греющего кабеля на кровле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</si>
</sst>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7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0" fillId="0" borderId="0" xfId="0" applyNumberFormat="1" applyBorder="1" applyAlignment="1">
      <alignment horizontal="center"/>
    </xf>
    <xf numFmtId="4" fontId="30" fillId="3" borderId="0" xfId="17" applyNumberFormat="1" applyFont="1" applyFill="1" applyBorder="1" applyAlignment="1">
      <alignment horizontal="left" vertical="center" wrapText="1"/>
    </xf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4" fontId="20" fillId="0" borderId="0" xfId="0" applyNumberFormat="1" applyFont="1" applyBorder="1"/>
    <xf numFmtId="0" fontId="21" fillId="0" borderId="0" xfId="0" applyFont="1" applyBorder="1" applyAlignment="1">
      <alignment wrapText="1"/>
    </xf>
    <xf numFmtId="4" fontId="20" fillId="0" borderId="0" xfId="0" applyNumberFormat="1" applyFont="1" applyFill="1" applyBorder="1"/>
    <xf numFmtId="0" fontId="2" fillId="4" borderId="0" xfId="2" applyFont="1" applyFill="1" applyBorder="1" applyAlignment="1"/>
    <xf numFmtId="0" fontId="3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14" fillId="0" borderId="1" xfId="5" applyFill="1" applyBorder="1" applyAlignment="1"/>
    <xf numFmtId="0" fontId="14" fillId="0" borderId="1" xfId="5" applyFill="1" applyBorder="1" applyAlignment="1">
      <alignment horizontal="center"/>
    </xf>
    <xf numFmtId="4" fontId="28" fillId="0" borderId="1" xfId="5" applyNumberFormat="1" applyFont="1" applyFill="1" applyBorder="1" applyAlignment="1"/>
    <xf numFmtId="0" fontId="0" fillId="0" borderId="1" xfId="0" applyFill="1" applyBorder="1"/>
    <xf numFmtId="0" fontId="12" fillId="0" borderId="1" xfId="5" applyFont="1" applyFill="1" applyBorder="1" applyAlignment="1">
      <alignment horizontal="center"/>
    </xf>
    <xf numFmtId="0" fontId="14" fillId="0" borderId="1" xfId="5" applyNumberFormat="1" applyFill="1" applyBorder="1" applyAlignment="1">
      <alignment horizontal="center"/>
    </xf>
    <xf numFmtId="4" fontId="2" fillId="0" borderId="1" xfId="22" applyNumberFormat="1" applyFill="1" applyBorder="1" applyAlignment="1">
      <alignment vertic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9" fillId="0" borderId="1" xfId="18" applyNumberFormat="1" applyFill="1" applyBorder="1" applyAlignment="1"/>
    <xf numFmtId="0" fontId="8" fillId="0" borderId="1" xfId="18" applyFont="1" applyFill="1" applyBorder="1"/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7" fillId="0" borderId="1" xfId="4" applyFont="1" applyFill="1" applyBorder="1" applyAlignment="1"/>
    <xf numFmtId="0" fontId="7" fillId="0" borderId="1" xfId="4" applyFont="1" applyFill="1" applyBorder="1" applyAlignment="1">
      <alignment horizontal="center"/>
    </xf>
    <xf numFmtId="0" fontId="28" fillId="0" borderId="1" xfId="4" applyFont="1" applyFill="1" applyBorder="1" applyAlignment="1">
      <alignment horizontal="center"/>
    </xf>
    <xf numFmtId="4" fontId="28" fillId="0" borderId="1" xfId="4" applyNumberFormat="1" applyFont="1" applyFill="1" applyBorder="1" applyAlignment="1"/>
    <xf numFmtId="0" fontId="4" fillId="0" borderId="1" xfId="4" applyFont="1" applyFill="1" applyBorder="1" applyAlignment="1"/>
    <xf numFmtId="0" fontId="6" fillId="0" borderId="1" xfId="2" applyFont="1" applyFill="1" applyBorder="1" applyAlignment="1"/>
    <xf numFmtId="0" fontId="6" fillId="0" borderId="1" xfId="4" applyFont="1" applyFill="1" applyBorder="1" applyAlignment="1">
      <alignment horizontal="center"/>
    </xf>
    <xf numFmtId="0" fontId="3" fillId="0" borderId="1" xfId="2" applyFont="1" applyFill="1" applyBorder="1" applyAlignment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/>
    </xf>
    <xf numFmtId="0" fontId="32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6" applyFont="1" applyFill="1" applyBorder="1" applyAlignment="1"/>
    <xf numFmtId="0" fontId="5" fillId="0" borderId="1" xfId="6" applyFont="1" applyFill="1" applyBorder="1" applyAlignment="1">
      <alignment horizontal="center"/>
    </xf>
    <xf numFmtId="1" fontId="13" fillId="0" borderId="1" xfId="6" applyNumberFormat="1" applyFill="1" applyBorder="1" applyAlignment="1">
      <alignment horizontal="center"/>
    </xf>
    <xf numFmtId="4" fontId="13" fillId="0" borderId="1" xfId="6" applyNumberFormat="1" applyFill="1" applyBorder="1" applyAlignment="1"/>
    <xf numFmtId="49" fontId="21" fillId="0" borderId="0" xfId="0" applyNumberFormat="1" applyFont="1" applyFill="1" applyBorder="1" applyAlignment="1">
      <alignment wrapText="1"/>
    </xf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6">
    <cellStyle name="Обычный" xfId="0" builtinId="0"/>
    <cellStyle name="Обычный 2" xfId="1"/>
    <cellStyle name="Обычный 2 2" xfId="3"/>
    <cellStyle name="Обычный 2 3" xfId="7"/>
    <cellStyle name="Обычный 2 4" xfId="12"/>
    <cellStyle name="Обычный 2 5" xfId="17"/>
    <cellStyle name="Обычный 2 5 2" xfId="24"/>
    <cellStyle name="Обычный 2 6" xfId="19"/>
    <cellStyle name="Обычный 3" xfId="2"/>
    <cellStyle name="Обычный 3 2" xfId="8"/>
    <cellStyle name="Обычный 3 3" xfId="13"/>
    <cellStyle name="Обычный 3 4" xfId="20"/>
    <cellStyle name="Обычный 4" xfId="4"/>
    <cellStyle name="Обычный 4 2" xfId="9"/>
    <cellStyle name="Обычный 4 3" xfId="14"/>
    <cellStyle name="Обычный 4 4" xfId="21"/>
    <cellStyle name="Обычный 5" xfId="5"/>
    <cellStyle name="Обычный 5 2" xfId="6"/>
    <cellStyle name="Обычный 5 2 2" xfId="11"/>
    <cellStyle name="Обычный 5 2 3" xfId="16"/>
    <cellStyle name="Обычный 5 2 4" xfId="23"/>
    <cellStyle name="Обычный 5 3" xfId="10"/>
    <cellStyle name="Обычный 5 4" xfId="15"/>
    <cellStyle name="Обычный 5 5" xfId="22"/>
    <cellStyle name="Обычный 6" xfId="18"/>
    <cellStyle name="Обычный 6 2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73" t="s">
        <v>175</v>
      </c>
      <c r="B2" s="173"/>
      <c r="C2" s="173"/>
      <c r="D2" s="173"/>
      <c r="E2" s="173"/>
      <c r="F2" s="173"/>
      <c r="G2" s="173"/>
      <c r="H2" s="173"/>
      <c r="I2" s="173"/>
      <c r="J2" s="173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181</v>
      </c>
      <c r="E4" s="112">
        <v>45292</v>
      </c>
      <c r="K4" s="107"/>
      <c r="L4" s="107"/>
      <c r="M4" s="107"/>
      <c r="N4" s="107"/>
    </row>
    <row r="5" spans="1:18">
      <c r="A5" s="1" t="s">
        <v>0</v>
      </c>
      <c r="E5" s="112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67" t="s">
        <v>1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7"/>
      <c r="L8" s="174"/>
      <c r="M8" s="107"/>
      <c r="N8" s="107"/>
      <c r="O8" s="68" t="s">
        <v>81</v>
      </c>
      <c r="R8" s="16"/>
    </row>
    <row r="9" spans="1:18" ht="18.75" customHeight="1" outlineLevel="1">
      <c r="A9" s="167" t="s">
        <v>2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7"/>
      <c r="L9" s="174"/>
      <c r="M9" s="107"/>
      <c r="N9" s="107"/>
      <c r="O9" s="68" t="s">
        <v>82</v>
      </c>
    </row>
    <row r="10" spans="1:18" ht="18.75" customHeight="1" outlineLevel="1">
      <c r="A10" s="167" t="s">
        <v>3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583303.44999999995</v>
      </c>
      <c r="K10" s="107"/>
      <c r="L10" s="174"/>
      <c r="M10" s="107"/>
      <c r="N10" s="107"/>
      <c r="O10" s="68" t="s">
        <v>83</v>
      </c>
    </row>
    <row r="11" spans="1:18" outlineLevel="1">
      <c r="A11" s="167" t="s">
        <v>4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539231.85599999991</v>
      </c>
      <c r="K11" s="107"/>
      <c r="L11" s="174"/>
      <c r="M11" s="107"/>
      <c r="N11" s="107"/>
      <c r="O11" s="68" t="s">
        <v>84</v>
      </c>
    </row>
    <row r="12" spans="1:18" ht="18.75" customHeight="1" outlineLevel="1">
      <c r="A12" s="167" t="s">
        <v>5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412008.36</v>
      </c>
      <c r="K12" s="107"/>
      <c r="L12" s="174"/>
      <c r="M12" s="107"/>
      <c r="N12" s="107"/>
      <c r="O12" s="68" t="s">
        <v>85</v>
      </c>
    </row>
    <row r="13" spans="1:18" ht="18.75" customHeight="1" outlineLevel="1">
      <c r="A13" s="167" t="s">
        <v>6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127223.49599999998</v>
      </c>
      <c r="K13" s="107"/>
      <c r="L13" s="174"/>
      <c r="M13" s="107"/>
      <c r="N13" s="107"/>
      <c r="O13" s="68" t="s">
        <v>86</v>
      </c>
    </row>
    <row r="14" spans="1:18" ht="18.75" customHeight="1" outlineLevel="1">
      <c r="A14" s="167" t="s">
        <v>7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7"/>
      <c r="L14" s="174"/>
      <c r="M14" s="107"/>
      <c r="N14" s="107"/>
      <c r="O14" s="68" t="s">
        <v>87</v>
      </c>
    </row>
    <row r="15" spans="1:18" ht="18.75" customHeight="1" outlineLevel="1">
      <c r="A15" s="167" t="s">
        <v>8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578178.91</v>
      </c>
      <c r="K15" s="107"/>
      <c r="L15" s="174"/>
      <c r="M15" s="107"/>
      <c r="N15" s="107"/>
      <c r="O15" s="68" t="s">
        <v>88</v>
      </c>
    </row>
    <row r="16" spans="1:18" ht="18.75" customHeight="1" outlineLevel="1">
      <c r="A16" s="167" t="s">
        <v>9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578178.91</v>
      </c>
      <c r="K16" s="107"/>
      <c r="L16" s="174"/>
      <c r="M16" s="107"/>
      <c r="N16" s="107"/>
      <c r="O16" s="68" t="s">
        <v>89</v>
      </c>
    </row>
    <row r="17" spans="1:23" ht="18.75" customHeight="1" outlineLevel="1">
      <c r="A17" s="167" t="s">
        <v>10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7"/>
      <c r="L17" s="174"/>
      <c r="M17" s="107"/>
      <c r="N17" s="107"/>
      <c r="O17" s="68" t="s">
        <v>90</v>
      </c>
    </row>
    <row r="18" spans="1:23" ht="18.75" customHeight="1" outlineLevel="1">
      <c r="A18" s="167" t="s">
        <v>11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7"/>
      <c r="L18" s="174"/>
      <c r="M18" s="107"/>
      <c r="N18" s="107"/>
      <c r="O18" s="68" t="s">
        <v>91</v>
      </c>
    </row>
    <row r="19" spans="1:23" ht="18.75" customHeight="1" outlineLevel="1">
      <c r="A19" s="167" t="s">
        <v>12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7"/>
      <c r="L19" s="174"/>
      <c r="M19" s="107"/>
      <c r="N19" s="107"/>
      <c r="O19" s="68" t="s">
        <v>92</v>
      </c>
    </row>
    <row r="20" spans="1:23" ht="18.75" customHeight="1" outlineLevel="1">
      <c r="A20" s="167" t="s">
        <v>13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7"/>
      <c r="L20" s="174"/>
      <c r="M20" s="107"/>
      <c r="N20" s="107"/>
      <c r="O20" s="68" t="s">
        <v>93</v>
      </c>
    </row>
    <row r="21" spans="1:23" ht="18.75" customHeight="1" outlineLevel="1">
      <c r="A21" s="167" t="s">
        <v>14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578178.91</v>
      </c>
      <c r="K21" s="107"/>
      <c r="L21" s="174"/>
      <c r="M21" s="107"/>
      <c r="N21" s="107"/>
      <c r="O21" s="68" t="s">
        <v>94</v>
      </c>
    </row>
    <row r="22" spans="1:23" ht="18.75" customHeight="1" outlineLevel="1">
      <c r="A22" s="167" t="s">
        <v>15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7"/>
      <c r="L22" s="174"/>
      <c r="M22" s="107"/>
      <c r="N22" s="107"/>
      <c r="O22" s="68" t="s">
        <v>95</v>
      </c>
    </row>
    <row r="23" spans="1:23" ht="18.75" customHeight="1" outlineLevel="1">
      <c r="A23" s="167" t="s">
        <v>16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7"/>
      <c r="L23" s="174"/>
      <c r="M23" s="107"/>
      <c r="N23" s="107"/>
      <c r="O23" s="68" t="s">
        <v>96</v>
      </c>
    </row>
    <row r="24" spans="1:23" ht="18.75" customHeight="1" outlineLevel="1">
      <c r="A24" s="167" t="s">
        <v>17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544356.39599999983</v>
      </c>
      <c r="K24" s="107"/>
      <c r="L24" s="174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66" t="s">
        <v>18</v>
      </c>
      <c r="B27" s="166"/>
      <c r="C27" s="166"/>
      <c r="D27" s="166"/>
      <c r="E27" s="166"/>
      <c r="F27" s="166" t="s">
        <v>19</v>
      </c>
      <c r="G27" s="166"/>
      <c r="H27" s="5" t="s">
        <v>55</v>
      </c>
      <c r="I27" s="166" t="s">
        <v>20</v>
      </c>
      <c r="J27" s="166"/>
      <c r="K27" s="107"/>
      <c r="L27" s="175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121855.416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7"/>
      <c r="L28" s="175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5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8"/>
      <c r="C29" s="158"/>
      <c r="D29" s="158"/>
      <c r="E29" s="158"/>
      <c r="F29" s="163">
        <f>VLOOKUP(A29,ПТО!$A$39:$D$53,2,FALSE)</f>
        <v>107093.196</v>
      </c>
      <c r="G29" s="163"/>
      <c r="H29" s="40" t="str">
        <f>VLOOKUP(A29,ПТО!$A$39:$D$53,3,FALSE)</f>
        <v>Ежемесячно</v>
      </c>
      <c r="I29" s="159">
        <f>VLOOKUP(A29,ПТО!$A$39:$D$53,4,FALSE)</f>
        <v>12</v>
      </c>
      <c r="J29" s="159"/>
      <c r="K29" s="107"/>
      <c r="L29" s="175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69</v>
      </c>
    </row>
    <row r="30" spans="1:23" ht="45.75" customHeight="1" outlineLevel="1">
      <c r="A30" s="158" t="str">
        <f>ПТО!A41</f>
        <v xml:space="preserve">Работы по содержанию земельного участка </v>
      </c>
      <c r="B30" s="158"/>
      <c r="C30" s="158"/>
      <c r="D30" s="158"/>
      <c r="E30" s="158"/>
      <c r="F30" s="163">
        <f>VLOOKUP(A30,ПТО!$A$39:$D$53,2,FALSE)</f>
        <v>35966.135999999999</v>
      </c>
      <c r="G30" s="163"/>
      <c r="H30" s="40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7"/>
      <c r="L30" s="175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32208.479999999996</v>
      </c>
      <c r="G31" s="163"/>
      <c r="H31" s="40" t="str">
        <f>VLOOKUP(A31,ПТО!$A$39:$D$53,3,FALSE)</f>
        <v>Ежемесячно</v>
      </c>
      <c r="I31" s="159">
        <f>VLOOKUP(A31,ПТО!$A$39:$D$53,4,FALSE)</f>
        <v>12</v>
      </c>
      <c r="J31" s="159"/>
      <c r="K31" s="107"/>
      <c r="L31" s="175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0" t="e">
        <f>VLOOKUP(A32,ПТО!$A$39:$D$53,3,FALSE)</f>
        <v>#N/A</v>
      </c>
      <c r="I32" s="159" t="e">
        <f>VLOOKUP(A32,ПТО!$A$39:$D$53,4,FALSE)</f>
        <v>#N/A</v>
      </c>
      <c r="J32" s="159"/>
      <c r="K32" s="107"/>
      <c r="L32" s="175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10736.16</v>
      </c>
      <c r="G33" s="163"/>
      <c r="H33" s="40" t="str">
        <f>VLOOKUP(A33,ПТО!$A$39:$D$53,3,FALSE)</f>
        <v>Круглосуточно</v>
      </c>
      <c r="I33" s="159">
        <f>VLOOKUP(A33,ПТО!$A$39:$D$53,4,FALSE)</f>
        <v>12</v>
      </c>
      <c r="J33" s="159"/>
      <c r="K33" s="107"/>
      <c r="L33" s="175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50191.547999999995</v>
      </c>
      <c r="G34" s="163"/>
      <c r="H34" s="40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7"/>
      <c r="L34" s="175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58" t="str">
        <f>ПТО!A46</f>
        <v>Работы по содержанию лифта (лифтов)</v>
      </c>
      <c r="B35" s="158"/>
      <c r="C35" s="158"/>
      <c r="D35" s="158"/>
      <c r="E35" s="158"/>
      <c r="F35" s="163">
        <f>VLOOKUP(A35,ПТО!$A$39:$D$53,2,FALSE)</f>
        <v>53949.203999999991</v>
      </c>
      <c r="G35" s="163"/>
      <c r="H35" s="40" t="str">
        <f>VLOOKUP(A35,ПТО!$A$39:$D$53,3,FALSE)</f>
        <v>Ежемесячно</v>
      </c>
      <c r="I35" s="159">
        <f>VLOOKUP(A35,ПТО!$A$39:$D$53,4,FALSE)</f>
        <v>12</v>
      </c>
      <c r="J35" s="159"/>
      <c r="K35" s="107"/>
      <c r="L35" s="175"/>
      <c r="M35" s="111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63" t="e">
        <f>VLOOKUP(A36,ПТО!$A$39:$D$53,2,FALSE)</f>
        <v>#N/A</v>
      </c>
      <c r="G36" s="163"/>
      <c r="H36" s="40" t="e">
        <f>VLOOKUP(A36,ПТО!$A$39:$D$53,3,FALSE)</f>
        <v>#N/A</v>
      </c>
      <c r="I36" s="159" t="e">
        <f>VLOOKUP(A36,ПТО!$A$39:$D$53,4,FALSE)</f>
        <v>#N/A</v>
      </c>
      <c r="J36" s="159"/>
      <c r="K36" s="107"/>
      <c r="L36" s="175"/>
      <c r="M36" s="111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63" t="e">
        <f>VLOOKUP(A37,ПТО!$A$39:$D$53,2,FALSE)</f>
        <v>#N/A</v>
      </c>
      <c r="G37" s="163"/>
      <c r="H37" s="40" t="e">
        <f>VLOOKUP(A37,ПТО!$A$39:$D$53,3,FALSE)</f>
        <v>#N/A</v>
      </c>
      <c r="I37" s="159" t="e">
        <f>VLOOKUP(A37,ПТО!$A$39:$D$53,4,FALSE)</f>
        <v>#N/A</v>
      </c>
      <c r="J37" s="159"/>
      <c r="K37" s="107"/>
      <c r="L37" s="175"/>
      <c r="M37" s="111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0" t="e">
        <f>VLOOKUP(A38,ПТО!$A$39:$D$53,3,FALSE)</f>
        <v>#N/A</v>
      </c>
      <c r="I38" s="159" t="e">
        <f>VLOOKUP(A38,ПТО!$A$39:$D$53,4,FALSE)</f>
        <v>#N/A</v>
      </c>
      <c r="J38" s="159"/>
      <c r="K38" s="107"/>
      <c r="L38" s="175"/>
      <c r="M38" s="111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0" t="e">
        <f>VLOOKUP(A39,ПТО!$A$39:$D$53,3,FALSE)</f>
        <v>#N/A</v>
      </c>
      <c r="I39" s="159" t="e">
        <f>VLOOKUP(A39,ПТО!$A$39:$D$53,4,FALSE)</f>
        <v>#N/A</v>
      </c>
      <c r="J39" s="159"/>
      <c r="K39" s="107"/>
      <c r="L39" s="175"/>
      <c r="M39" s="111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0" t="e">
        <f>VLOOKUP(A40,ПТО!$A$39:$D$53,3,FALSE)</f>
        <v>#N/A</v>
      </c>
      <c r="I40" s="159" t="e">
        <f>VLOOKUP(A40,ПТО!$A$39:$D$53,4,FALSE)</f>
        <v>#N/A</v>
      </c>
      <c r="J40" s="159"/>
      <c r="K40" s="107"/>
      <c r="L40" s="175"/>
      <c r="M40" s="111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0" t="e">
        <f>VLOOKUP(A41,ПТО!$A$39:$D$53,3,FALSE)</f>
        <v>#N/A</v>
      </c>
      <c r="I41" s="159" t="e">
        <f>VLOOKUP(A41,ПТО!$A$39:$D$53,4,FALSE)</f>
        <v>#N/A</v>
      </c>
      <c r="J41" s="159"/>
      <c r="K41" s="107"/>
      <c r="L41" s="175"/>
      <c r="M41" s="111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0" t="e">
        <f>VLOOKUP(A42,ПТО!$A$39:$D$53,3,FALSE)</f>
        <v>#N/A</v>
      </c>
      <c r="I42" s="159" t="e">
        <f>VLOOKUP(A42,ПТО!$A$39:$D$53,4,FALSE)</f>
        <v>#N/A</v>
      </c>
      <c r="J42" s="159"/>
      <c r="K42" s="107"/>
      <c r="L42" s="175"/>
      <c r="M42" s="111"/>
      <c r="N42" s="107"/>
      <c r="O42" s="23">
        <f t="shared" si="1"/>
        <v>0</v>
      </c>
      <c r="R42" s="1" t="s">
        <v>69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63">
        <f>VLOOKUP(A43,ПТО!$A$2:$D$31,4,FALSE)</f>
        <v>8100</v>
      </c>
      <c r="G43" s="163"/>
      <c r="H43" s="19" t="str">
        <f>VLOOKUP(A43,ПТО!$A$2:$D$31,2,FALSE)</f>
        <v>ежегодно</v>
      </c>
      <c r="I43" s="159">
        <f>VLOOKUP(A43,ПТО!$A$2:$D$31,3,FALSE)</f>
        <v>1</v>
      </c>
      <c r="J43" s="159"/>
      <c r="K43" s="107"/>
      <c r="L43" s="175"/>
      <c r="M43" s="111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58" t="str">
        <f>ПТО!A3</f>
        <v>Техническое обслуживание охранной сигнализации.</v>
      </c>
      <c r="B44" s="158"/>
      <c r="C44" s="158"/>
      <c r="D44" s="158"/>
      <c r="E44" s="158"/>
      <c r="F44" s="163">
        <f>VLOOKUP(A44,ПТО!$A$2:$D$31,4,FALSE)</f>
        <v>11990.000000000002</v>
      </c>
      <c r="G44" s="163"/>
      <c r="H44" s="25" t="str">
        <f>VLOOKUP(A44,ПТО!$A$2:$D$31,2,FALSE)</f>
        <v>ежемесячно</v>
      </c>
      <c r="I44" s="159">
        <f>VLOOKUP(A44,ПТО!$A$2:$D$31,3,FALSE)</f>
        <v>12</v>
      </c>
      <c r="J44" s="159"/>
      <c r="K44" s="107"/>
      <c r="L44" s="175"/>
      <c r="M44" s="111"/>
      <c r="N44" s="107"/>
      <c r="O44" s="23" t="str">
        <f t="shared" si="1"/>
        <v>Техническое обслуживание охранной сигнализации.</v>
      </c>
      <c r="R44" s="22" t="s">
        <v>70</v>
      </c>
    </row>
    <row r="45" spans="1:18" ht="51" customHeight="1" outlineLevel="1">
      <c r="A45" s="158" t="str">
        <f>ПТО!A4</f>
        <v>Механизированная уборка и вывоз снега с придомовой территории.</v>
      </c>
      <c r="B45" s="158"/>
      <c r="C45" s="158"/>
      <c r="D45" s="158"/>
      <c r="E45" s="158"/>
      <c r="F45" s="163">
        <f>VLOOKUP(A45,ПТО!$A$2:$D$31,4,FALSE)</f>
        <v>8332</v>
      </c>
      <c r="G45" s="163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7"/>
      <c r="L45" s="175"/>
      <c r="M45" s="111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customHeight="1" outlineLevel="1">
      <c r="A46" s="158" t="str">
        <f>ПТО!A5</f>
        <v>Проведение ремонта асфальтного покрытия на придомовой территории.</v>
      </c>
      <c r="B46" s="158"/>
      <c r="C46" s="158"/>
      <c r="D46" s="158"/>
      <c r="E46" s="158"/>
      <c r="F46" s="163">
        <f>VLOOKUP(A46,ПТО!$A$2:$D$31,4,FALSE)</f>
        <v>56379.46</v>
      </c>
      <c r="G46" s="163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7"/>
      <c r="L46" s="175"/>
      <c r="M46" s="111"/>
      <c r="N46" s="107"/>
      <c r="O46" s="23" t="str">
        <f t="shared" si="1"/>
        <v>Проведение ремонта асфальтного покрытия на придомовой территории.</v>
      </c>
      <c r="R46" s="22" t="s">
        <v>70</v>
      </c>
    </row>
    <row r="47" spans="1:18" ht="51" customHeight="1" outlineLevel="1">
      <c r="A47" s="158" t="str">
        <f>ПТО!A6</f>
        <v>Замена контактора и платы ключей для пассажирского лифта.</v>
      </c>
      <c r="B47" s="158"/>
      <c r="C47" s="158"/>
      <c r="D47" s="158"/>
      <c r="E47" s="158"/>
      <c r="F47" s="163">
        <f>VLOOKUP(A47,ПТО!$A$2:$D$31,4,FALSE)</f>
        <v>8350</v>
      </c>
      <c r="G47" s="163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7"/>
      <c r="L47" s="175"/>
      <c r="M47" s="111"/>
      <c r="N47" s="107"/>
      <c r="O47" s="23" t="str">
        <f t="shared" si="1"/>
        <v>Замена контактора и платы ключей для пассажирского лифта.</v>
      </c>
      <c r="R47" s="22" t="s">
        <v>70</v>
      </c>
    </row>
    <row r="48" spans="1:18" ht="51" customHeight="1" outlineLevel="1">
      <c r="A48" s="158" t="str">
        <f>ПТО!A7</f>
        <v>Приобретение и замена почтовых ящиков в подъезде.</v>
      </c>
      <c r="B48" s="158"/>
      <c r="C48" s="158"/>
      <c r="D48" s="158"/>
      <c r="E48" s="158"/>
      <c r="F48" s="163">
        <f>VLOOKUP(A48,ПТО!$A$2:$D$31,4,FALSE)</f>
        <v>20935</v>
      </c>
      <c r="G48" s="163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7"/>
      <c r="L48" s="175"/>
      <c r="M48" s="111"/>
      <c r="N48" s="107"/>
      <c r="O48" s="23" t="str">
        <f t="shared" si="1"/>
        <v>Приобретение и замена почтовых ящиков в подъезде.</v>
      </c>
      <c r="R48" s="22" t="s">
        <v>70</v>
      </c>
    </row>
    <row r="49" spans="1:18" ht="51" customHeight="1" outlineLevel="1">
      <c r="A49" s="158" t="str">
        <f>ПТО!A8</f>
        <v>Ремонт подъезда.</v>
      </c>
      <c r="B49" s="158"/>
      <c r="C49" s="158"/>
      <c r="D49" s="158"/>
      <c r="E49" s="158"/>
      <c r="F49" s="163">
        <f>VLOOKUP(A49,ПТО!$A$2:$D$31,4,FALSE)</f>
        <v>385000</v>
      </c>
      <c r="G49" s="163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7"/>
      <c r="L49" s="175"/>
      <c r="M49" s="111"/>
      <c r="N49" s="107"/>
      <c r="O49" s="23" t="str">
        <f t="shared" si="1"/>
        <v>Ремонт подъезда.</v>
      </c>
      <c r="R49" s="22" t="s">
        <v>70</v>
      </c>
    </row>
    <row r="50" spans="1:18" ht="51" customHeight="1" outlineLevel="1">
      <c r="A50" s="158" t="str">
        <f>ПТО!A9</f>
        <v>Изготовление номеров на почтовые ящики.</v>
      </c>
      <c r="B50" s="158"/>
      <c r="C50" s="158"/>
      <c r="D50" s="158"/>
      <c r="E50" s="158"/>
      <c r="F50" s="163">
        <f>VLOOKUP(A50,ПТО!$A$2:$D$31,4,FALSE)</f>
        <v>1080</v>
      </c>
      <c r="G50" s="163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7"/>
      <c r="L50" s="175"/>
      <c r="M50" s="111"/>
      <c r="N50" s="107"/>
      <c r="O50" s="23" t="str">
        <f t="shared" si="1"/>
        <v>Изготовление номеров на почтовые ящики.</v>
      </c>
      <c r="R50" s="22" t="s">
        <v>70</v>
      </c>
    </row>
    <row r="51" spans="1:18" ht="51" customHeight="1" outlineLevel="1">
      <c r="A51" s="158" t="str">
        <f>ПТО!A10</f>
        <v>Замена лампы уличного освещения.</v>
      </c>
      <c r="B51" s="158"/>
      <c r="C51" s="158"/>
      <c r="D51" s="158"/>
      <c r="E51" s="158"/>
      <c r="F51" s="163">
        <f>VLOOKUP(A51,ПТО!$A$2:$D$31,4,FALSE)</f>
        <v>3500</v>
      </c>
      <c r="G51" s="163"/>
      <c r="H51" s="25" t="str">
        <f>VLOOKUP(A51,ПТО!$A$2:$D$31,2,FALSE)</f>
        <v>разово</v>
      </c>
      <c r="I51" s="159">
        <f>VLOOKUP(A51,ПТО!$A$2:$D$31,3,FALSE)</f>
        <v>1</v>
      </c>
      <c r="J51" s="159"/>
      <c r="K51" s="107"/>
      <c r="L51" s="175"/>
      <c r="M51" s="111"/>
      <c r="N51" s="107"/>
      <c r="O51" s="23" t="str">
        <f t="shared" si="1"/>
        <v>Замена лампы уличного освещения.</v>
      </c>
      <c r="R51" s="22" t="s">
        <v>70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7"/>
      <c r="L52" s="175"/>
      <c r="M52" s="111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7"/>
      <c r="L53" s="175"/>
      <c r="M53" s="111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7"/>
      <c r="L54" s="175"/>
      <c r="M54" s="111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7"/>
      <c r="L55" s="175"/>
      <c r="M55" s="111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7"/>
      <c r="L56" s="175"/>
      <c r="M56" s="111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7"/>
      <c r="L57" s="175"/>
      <c r="M57" s="111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7"/>
      <c r="L58" s="175"/>
      <c r="M58" s="111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7"/>
      <c r="L59" s="175"/>
      <c r="M59" s="111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7"/>
      <c r="L60" s="175"/>
      <c r="M60" s="111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7"/>
      <c r="L61" s="175"/>
      <c r="M61" s="111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7"/>
      <c r="L62" s="175"/>
      <c r="M62" s="111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7"/>
      <c r="L63" s="175"/>
      <c r="M63" s="111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7"/>
      <c r="L64" s="175"/>
      <c r="M64" s="111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7"/>
      <c r="L65" s="175"/>
      <c r="M65" s="111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7"/>
      <c r="L66" s="175"/>
      <c r="M66" s="111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7"/>
      <c r="L67" s="175"/>
      <c r="M67" s="111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7"/>
      <c r="L68" s="175"/>
      <c r="M68" s="111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7"/>
      <c r="L69" s="175"/>
      <c r="M69" s="111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7"/>
      <c r="L70" s="175"/>
      <c r="M70" s="111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1"/>
      <c r="L71" s="175"/>
      <c r="M71" s="111"/>
      <c r="N71" s="111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7"/>
      <c r="L72" s="175"/>
      <c r="M72" s="111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76" t="s">
        <v>25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7"/>
      <c r="L75" s="178"/>
      <c r="M75" s="107"/>
      <c r="N75" s="107"/>
      <c r="O75" s="68" t="s">
        <v>98</v>
      </c>
    </row>
    <row r="76" spans="1:16384" ht="18.75" customHeight="1" outlineLevel="1">
      <c r="A76" s="176" t="s">
        <v>26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7"/>
      <c r="L76" s="178"/>
      <c r="M76" s="107"/>
      <c r="N76" s="107"/>
      <c r="O76" s="68" t="s">
        <v>99</v>
      </c>
    </row>
    <row r="77" spans="1:16384" ht="21.75" customHeight="1" outlineLevel="1">
      <c r="A77" s="176" t="s">
        <v>27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7"/>
      <c r="L77" s="178"/>
      <c r="M77" s="107"/>
      <c r="N77" s="107"/>
      <c r="O77" s="68" t="s">
        <v>100</v>
      </c>
    </row>
    <row r="78" spans="1:16384" ht="18.75" customHeight="1" outlineLevel="1">
      <c r="A78" s="176" t="s">
        <v>28</v>
      </c>
      <c r="B78" s="176"/>
      <c r="C78" s="176"/>
      <c r="D78" s="176"/>
      <c r="E78" s="176"/>
      <c r="F78" s="176"/>
      <c r="G78" s="176"/>
      <c r="H78" s="176"/>
      <c r="I78" s="176"/>
      <c r="J78" s="95">
        <f>VLOOKUP(O78,АО,3,FALSE)</f>
        <v>0</v>
      </c>
      <c r="K78" s="107"/>
      <c r="L78" s="178"/>
      <c r="M78" s="107"/>
      <c r="N78" s="107"/>
      <c r="O78" s="68" t="s">
        <v>101</v>
      </c>
    </row>
    <row r="79" spans="1:16384">
      <c r="A79" s="110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56" t="s">
        <v>1</v>
      </c>
      <c r="B81" s="156"/>
      <c r="C81" s="156"/>
      <c r="D81" s="156"/>
      <c r="E81" s="156"/>
      <c r="F81" s="156"/>
      <c r="G81" s="156"/>
      <c r="H81" s="156"/>
      <c r="I81" s="156"/>
      <c r="J81" s="95">
        <f t="shared" ref="J81:J90" si="2">VLOOKUP(O81,АО,3,FALSE)</f>
        <v>0</v>
      </c>
      <c r="K81" s="107"/>
      <c r="L81" s="164"/>
      <c r="M81" s="107"/>
      <c r="N81" s="107"/>
      <c r="O81" s="68" t="s">
        <v>102</v>
      </c>
    </row>
    <row r="82" spans="1:15" outlineLevel="1">
      <c r="A82" s="156" t="s">
        <v>2</v>
      </c>
      <c r="B82" s="156"/>
      <c r="C82" s="156"/>
      <c r="D82" s="156"/>
      <c r="E82" s="156"/>
      <c r="F82" s="156"/>
      <c r="G82" s="156"/>
      <c r="H82" s="156"/>
      <c r="I82" s="156"/>
      <c r="J82" s="95">
        <f t="shared" si="2"/>
        <v>0</v>
      </c>
      <c r="K82" s="107"/>
      <c r="L82" s="164"/>
      <c r="M82" s="107"/>
      <c r="N82" s="107"/>
      <c r="O82" s="68" t="s">
        <v>103</v>
      </c>
    </row>
    <row r="83" spans="1:15" outlineLevel="1">
      <c r="A83" s="170" t="s">
        <v>3</v>
      </c>
      <c r="B83" s="171"/>
      <c r="C83" s="171"/>
      <c r="D83" s="171"/>
      <c r="E83" s="171"/>
      <c r="F83" s="171"/>
      <c r="G83" s="171"/>
      <c r="H83" s="171"/>
      <c r="I83" s="172"/>
      <c r="J83" s="95">
        <f t="shared" si="2"/>
        <v>118799.15</v>
      </c>
      <c r="K83" s="107"/>
      <c r="L83" s="164"/>
      <c r="M83" s="107"/>
      <c r="N83" s="107"/>
      <c r="O83" s="68" t="s">
        <v>104</v>
      </c>
    </row>
    <row r="84" spans="1:15" outlineLevel="1">
      <c r="A84" s="170" t="s">
        <v>15</v>
      </c>
      <c r="B84" s="171"/>
      <c r="C84" s="171"/>
      <c r="D84" s="171"/>
      <c r="E84" s="171"/>
      <c r="F84" s="171"/>
      <c r="G84" s="171"/>
      <c r="H84" s="171"/>
      <c r="I84" s="172"/>
      <c r="J84" s="95">
        <f t="shared" si="2"/>
        <v>0</v>
      </c>
      <c r="K84" s="107"/>
      <c r="L84" s="164"/>
      <c r="M84" s="107"/>
      <c r="N84" s="107"/>
      <c r="O84" s="68" t="s">
        <v>105</v>
      </c>
    </row>
    <row r="85" spans="1:15" outlineLevel="1">
      <c r="A85" s="170" t="s">
        <v>16</v>
      </c>
      <c r="B85" s="171"/>
      <c r="C85" s="171"/>
      <c r="D85" s="171"/>
      <c r="E85" s="171"/>
      <c r="F85" s="171"/>
      <c r="G85" s="171"/>
      <c r="H85" s="171"/>
      <c r="I85" s="172"/>
      <c r="J85" s="95">
        <f t="shared" si="2"/>
        <v>0</v>
      </c>
      <c r="K85" s="107"/>
      <c r="L85" s="164"/>
      <c r="M85" s="107"/>
      <c r="N85" s="107"/>
      <c r="O85" s="68" t="s">
        <v>106</v>
      </c>
    </row>
    <row r="86" spans="1:15" outlineLevel="1">
      <c r="A86" s="170" t="s">
        <v>17</v>
      </c>
      <c r="B86" s="171"/>
      <c r="C86" s="171"/>
      <c r="D86" s="171"/>
      <c r="E86" s="171"/>
      <c r="F86" s="171"/>
      <c r="G86" s="171"/>
      <c r="H86" s="171"/>
      <c r="I86" s="172"/>
      <c r="J86" s="95">
        <f t="shared" si="2"/>
        <v>2156.5799999999435</v>
      </c>
      <c r="K86" s="107"/>
      <c r="L86" s="164"/>
      <c r="M86" s="107"/>
      <c r="N86" s="107"/>
      <c r="O86" s="68" t="s">
        <v>107</v>
      </c>
    </row>
    <row r="87" spans="1:15" ht="18.75" customHeight="1" outlineLevel="1">
      <c r="A87" s="170" t="s">
        <v>25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7"/>
      <c r="L87" s="164"/>
      <c r="M87" s="107"/>
      <c r="N87" s="107"/>
      <c r="O87" s="68" t="s">
        <v>108</v>
      </c>
    </row>
    <row r="88" spans="1:15" ht="18.75" customHeight="1" outlineLevel="1">
      <c r="A88" s="170" t="s">
        <v>26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7"/>
      <c r="L88" s="164"/>
      <c r="M88" s="107"/>
      <c r="N88" s="107"/>
      <c r="O88" s="68" t="s">
        <v>109</v>
      </c>
    </row>
    <row r="89" spans="1:15" ht="18.75" customHeight="1" outlineLevel="1">
      <c r="A89" s="170" t="s">
        <v>27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7"/>
      <c r="L89" s="164"/>
      <c r="M89" s="107"/>
      <c r="N89" s="107"/>
      <c r="O89" s="68" t="s">
        <v>110</v>
      </c>
    </row>
    <row r="90" spans="1:15" ht="18.75" customHeight="1" outlineLevel="1">
      <c r="A90" s="170" t="s">
        <v>28</v>
      </c>
      <c r="B90" s="171"/>
      <c r="C90" s="171"/>
      <c r="D90" s="171"/>
      <c r="E90" s="171"/>
      <c r="F90" s="171"/>
      <c r="G90" s="171"/>
      <c r="H90" s="171"/>
      <c r="I90" s="172"/>
      <c r="J90" s="95">
        <f t="shared" si="2"/>
        <v>0</v>
      </c>
      <c r="K90" s="107"/>
      <c r="L90" s="164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79" t="s">
        <v>46</v>
      </c>
      <c r="B93" s="179"/>
      <c r="C93" s="179"/>
      <c r="D93" s="180" t="s">
        <v>47</v>
      </c>
      <c r="E93" s="180"/>
      <c r="F93" s="10" t="s">
        <v>48</v>
      </c>
      <c r="G93" s="179" t="s">
        <v>49</v>
      </c>
      <c r="H93" s="179"/>
      <c r="I93" s="179"/>
      <c r="J93" s="179"/>
      <c r="K93" s="107"/>
      <c r="L93" s="107"/>
      <c r="M93" s="107"/>
      <c r="N93" s="107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2">
        <f>VLOOKUP("эл",АО,5,FALSE)</f>
        <v>137682.07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91788.046666666676</v>
      </c>
      <c r="L95" s="165"/>
      <c r="O95" s="1" t="s">
        <v>112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176002.55</v>
      </c>
      <c r="L96" s="165"/>
      <c r="O96" s="1" t="s">
        <v>113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65"/>
      <c r="O97" s="1" t="s">
        <v>114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137682.07</v>
      </c>
      <c r="L98" s="165"/>
      <c r="O98" s="1" t="s">
        <v>115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137682.07</v>
      </c>
      <c r="L99" s="165"/>
      <c r="O99" s="1" t="s">
        <v>116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117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118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2">
        <f>VLOOKUP("хвс",АО,5,FALSE)</f>
        <v>84414.13</v>
      </c>
      <c r="H102" s="161"/>
      <c r="I102" s="161"/>
      <c r="J102" s="161"/>
      <c r="L102" s="165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5292.4219435736686</v>
      </c>
      <c r="L103" s="165"/>
      <c r="O103" s="1" t="s">
        <v>121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117313.96</v>
      </c>
      <c r="L104" s="165"/>
      <c r="O104" s="1" t="s">
        <v>122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65"/>
      <c r="O105" s="1" t="s">
        <v>123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84414.13</v>
      </c>
      <c r="L106" s="165"/>
      <c r="O106" s="1" t="s">
        <v>124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84414.13</v>
      </c>
      <c r="L107" s="165"/>
      <c r="O107" s="1" t="s">
        <v>125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126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127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2">
        <f>VLOOKUP("воо",АО,5,FALSE)</f>
        <v>86397.95</v>
      </c>
      <c r="H110" s="161"/>
      <c r="I110" s="161"/>
      <c r="J110" s="161"/>
      <c r="L110" s="165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4455.7993811242904</v>
      </c>
      <c r="L111" s="165"/>
      <c r="O111" s="1" t="s">
        <v>129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127425.17</v>
      </c>
      <c r="L112" s="165"/>
      <c r="O112" s="1" t="s">
        <v>130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65"/>
      <c r="O113" s="1" t="s">
        <v>131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86397.95</v>
      </c>
      <c r="L114" s="165"/>
      <c r="O114" s="1" t="s">
        <v>132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86397.95</v>
      </c>
      <c r="L115" s="165"/>
      <c r="O115" s="1" t="s">
        <v>133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134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135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2">
        <f>VLOOKUP("тко",АО,5,FALSE)</f>
        <v>112513.03</v>
      </c>
      <c r="H118" s="161"/>
      <c r="I118" s="161"/>
      <c r="J118" s="161"/>
      <c r="L118" s="45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190.10717423628006</v>
      </c>
      <c r="L119" s="45"/>
      <c r="O119" s="1" t="s">
        <v>137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116908.07</v>
      </c>
      <c r="L120" s="45"/>
      <c r="O120" s="1" t="s">
        <v>138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112513.03</v>
      </c>
      <c r="L122" s="45"/>
      <c r="O122" s="1" t="s">
        <v>140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112513.03</v>
      </c>
      <c r="L123" s="45"/>
      <c r="O123" s="1" t="s">
        <v>141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2">
        <f>VLOOKUP("гвс",АО,5,FALSE)</f>
        <v>0</v>
      </c>
      <c r="H126" s="161"/>
      <c r="I126" s="161"/>
      <c r="J126" s="161"/>
      <c r="L126" s="45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5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56" t="s">
        <v>43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169</v>
      </c>
    </row>
    <row r="145" spans="1:15" ht="18.75" customHeight="1" outlineLevel="1">
      <c r="A145" s="156" t="s">
        <v>44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56" t="s">
        <v>172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171</v>
      </c>
    </row>
    <row r="149" spans="1:15" ht="52.5" customHeight="1">
      <c r="A149" s="181" t="s">
        <v>180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181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83" t="s">
        <v>193</v>
      </c>
      <c r="B154" s="183"/>
      <c r="C154" s="183"/>
      <c r="D154" s="183"/>
      <c r="E154" s="27">
        <f>ПТО!G1</f>
        <v>-352691.5</v>
      </c>
    </row>
    <row r="155" spans="1:15" ht="34.5" customHeight="1">
      <c r="A155" s="182" t="s">
        <v>192</v>
      </c>
      <c r="B155" s="182"/>
      <c r="C155" s="182"/>
      <c r="D155" s="182"/>
      <c r="E155" s="28">
        <f>J13</f>
        <v>127223.49599999998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18</v>
      </c>
      <c r="B157" s="166"/>
      <c r="C157" s="166"/>
      <c r="D157" s="166"/>
      <c r="E157" s="166"/>
      <c r="F157" s="166" t="s">
        <v>19</v>
      </c>
      <c r="G157" s="166"/>
      <c r="H157" s="20" t="s">
        <v>55</v>
      </c>
      <c r="I157" s="166" t="s">
        <v>20</v>
      </c>
      <c r="J157" s="166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8100</v>
      </c>
      <c r="G158" s="163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1</v>
      </c>
      <c r="J158" s="159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охранной сигнализации.</v>
      </c>
      <c r="B159" s="158"/>
      <c r="C159" s="158"/>
      <c r="D159" s="158"/>
      <c r="E159" s="158"/>
      <c r="F159" s="163">
        <f t="shared" si="15"/>
        <v>11990.000000000002</v>
      </c>
      <c r="G159" s="163"/>
      <c r="H159" s="24" t="str">
        <f t="shared" si="16"/>
        <v>ежемесячно</v>
      </c>
      <c r="I159" s="159">
        <f t="shared" si="17"/>
        <v>12</v>
      </c>
      <c r="J159" s="159"/>
      <c r="M159" s="22" t="s">
        <v>70</v>
      </c>
      <c r="N159" s="1" t="str">
        <v>Техническое обслуживание охранной сигнализации.</v>
      </c>
    </row>
    <row r="160" spans="1:15" ht="28.5" customHeight="1">
      <c r="A160" s="158" t="str">
        <f t="shared" si="14"/>
        <v>Механизированная уборка и вывоз снега с придомовой территории.</v>
      </c>
      <c r="B160" s="158"/>
      <c r="C160" s="158"/>
      <c r="D160" s="158"/>
      <c r="E160" s="158"/>
      <c r="F160" s="163">
        <f t="shared" si="15"/>
        <v>8332</v>
      </c>
      <c r="G160" s="163"/>
      <c r="H160" s="24" t="str">
        <f t="shared" si="16"/>
        <v>разово</v>
      </c>
      <c r="I160" s="159">
        <f t="shared" si="17"/>
        <v>1</v>
      </c>
      <c r="J160" s="159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8" t="str">
        <f>IF(N161&gt;0,N161,0)</f>
        <v>Проведение ремонта асфальтного покрытия на придомовой территории.</v>
      </c>
      <c r="B161" s="158"/>
      <c r="C161" s="158"/>
      <c r="D161" s="158"/>
      <c r="E161" s="158"/>
      <c r="F161" s="163">
        <f t="shared" si="15"/>
        <v>56379.46</v>
      </c>
      <c r="G161" s="163"/>
      <c r="H161" s="24" t="str">
        <f t="shared" si="16"/>
        <v>разово</v>
      </c>
      <c r="I161" s="159">
        <f t="shared" si="17"/>
        <v>1</v>
      </c>
      <c r="J161" s="159"/>
      <c r="M161" s="22" t="s">
        <v>70</v>
      </c>
      <c r="N161" s="1" t="str">
        <v>Проведение ремонта асфальтного покрытия на придомовой территории.</v>
      </c>
    </row>
    <row r="162" spans="1:14" ht="28.5" customHeight="1">
      <c r="A162" s="158" t="str">
        <f t="shared" si="14"/>
        <v>Замена контактора и платы ключей для пассажирского лифта.</v>
      </c>
      <c r="B162" s="158"/>
      <c r="C162" s="158"/>
      <c r="D162" s="158"/>
      <c r="E162" s="158"/>
      <c r="F162" s="163">
        <f t="shared" si="15"/>
        <v>8350</v>
      </c>
      <c r="G162" s="163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70</v>
      </c>
      <c r="N162" s="1" t="str">
        <v>Замена контактора и платы ключей для пассажирского лифта.</v>
      </c>
    </row>
    <row r="163" spans="1:14" ht="28.5" customHeight="1">
      <c r="A163" s="158" t="str">
        <f t="shared" si="14"/>
        <v>Приобретение и замена почтовых ящиков в подъезде.</v>
      </c>
      <c r="B163" s="158"/>
      <c r="C163" s="158"/>
      <c r="D163" s="158"/>
      <c r="E163" s="158"/>
      <c r="F163" s="163">
        <f t="shared" si="15"/>
        <v>20935</v>
      </c>
      <c r="G163" s="163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70</v>
      </c>
      <c r="N163" s="1" t="str">
        <v>Приобретение и замена почтовых ящиков в подъезде.</v>
      </c>
    </row>
    <row r="164" spans="1:14" ht="28.5" customHeight="1">
      <c r="A164" s="158" t="str">
        <f t="shared" ref="A164:A187" si="18">IF(N164&gt;0,N164,0)</f>
        <v>Ремонт подъезда.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385000</v>
      </c>
      <c r="G164" s="163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70</v>
      </c>
      <c r="N164" s="1" t="str">
        <v>Ремонт подъезда.</v>
      </c>
    </row>
    <row r="165" spans="1:14" ht="28.5" customHeight="1">
      <c r="A165" s="158" t="str">
        <f t="shared" si="18"/>
        <v>Изготовление номеров на почтовые ящики.</v>
      </c>
      <c r="B165" s="158"/>
      <c r="C165" s="158"/>
      <c r="D165" s="158"/>
      <c r="E165" s="158"/>
      <c r="F165" s="163">
        <f t="shared" si="19"/>
        <v>1080</v>
      </c>
      <c r="G165" s="163"/>
      <c r="H165" s="29" t="str">
        <f t="shared" si="16"/>
        <v>разово</v>
      </c>
      <c r="I165" s="159">
        <f t="shared" si="20"/>
        <v>1</v>
      </c>
      <c r="J165" s="159"/>
      <c r="M165" s="22" t="s">
        <v>70</v>
      </c>
      <c r="N165" s="1" t="str">
        <v>Изготовление номеров на почтовые ящики.</v>
      </c>
    </row>
    <row r="166" spans="1:14" ht="28.5" customHeight="1">
      <c r="A166" s="158" t="str">
        <f t="shared" si="18"/>
        <v>Замена лампы уличного освещения.</v>
      </c>
      <c r="B166" s="158"/>
      <c r="C166" s="158"/>
      <c r="D166" s="158"/>
      <c r="E166" s="158"/>
      <c r="F166" s="163">
        <f t="shared" si="19"/>
        <v>3500</v>
      </c>
      <c r="G166" s="163"/>
      <c r="H166" s="29" t="str">
        <f t="shared" si="16"/>
        <v>разово</v>
      </c>
      <c r="I166" s="159">
        <f t="shared" si="20"/>
        <v>1</v>
      </c>
      <c r="J166" s="159"/>
      <c r="M166" s="22" t="s">
        <v>70</v>
      </c>
      <c r="N166" s="1" t="str">
        <v>Замена лампы уличного освещения.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70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70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70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70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70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70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70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70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70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70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70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70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70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70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70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70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70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70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70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70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70</v>
      </c>
      <c r="N187" s="1">
        <v>0</v>
      </c>
    </row>
    <row r="188" spans="1:14" ht="15.75" customHeight="1">
      <c r="A188" s="102" t="s">
        <v>173</v>
      </c>
    </row>
    <row r="189" spans="1:14" ht="15.75" customHeight="1">
      <c r="A189" s="102" t="s">
        <v>173</v>
      </c>
    </row>
    <row r="190" spans="1:14" ht="36.75" customHeight="1">
      <c r="A190" s="183" t="s">
        <v>191</v>
      </c>
      <c r="B190" s="183"/>
      <c r="C190" s="183"/>
      <c r="D190" s="183"/>
      <c r="E190" s="27">
        <f>SUM(F158:G187)</f>
        <v>503666.45999999996</v>
      </c>
    </row>
    <row r="191" spans="1:14" ht="51.75" customHeight="1">
      <c r="A191" s="183" t="s">
        <v>190</v>
      </c>
      <c r="B191" s="183"/>
      <c r="C191" s="183"/>
      <c r="D191" s="183"/>
      <c r="E191" s="27">
        <f>E190+E154-E155</f>
        <v>23751.463999999978</v>
      </c>
    </row>
    <row r="192" spans="1:14">
      <c r="A192" s="102" t="s">
        <v>173</v>
      </c>
    </row>
    <row r="193" spans="1:10" ht="62.25" customHeight="1">
      <c r="A193" s="157" t="s">
        <v>189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47">
        <f>ПТО!G12</f>
        <v>1200</v>
      </c>
      <c r="I194" s="48" t="s">
        <v>73</v>
      </c>
    </row>
    <row r="195" spans="1:10" ht="18.75" customHeight="1">
      <c r="A195" s="155" t="str">
        <f>ПТО!F13</f>
        <v xml:space="preserve">  -  техническое освидетельствование лифта</v>
      </c>
      <c r="B195" s="155"/>
      <c r="C195" s="155"/>
      <c r="D195" s="155"/>
      <c r="E195" s="155"/>
      <c r="F195" s="155"/>
      <c r="G195" s="155"/>
      <c r="H195" s="47">
        <f>ПТО!G13</f>
        <v>8100</v>
      </c>
      <c r="I195" s="48" t="s">
        <v>73</v>
      </c>
    </row>
    <row r="196" spans="1:10" ht="18.75" customHeight="1">
      <c r="A196" s="155" t="str">
        <f>ПТО!F14</f>
        <v xml:space="preserve">  -  техническое обслуживание охранной сигнализации</v>
      </c>
      <c r="B196" s="155"/>
      <c r="C196" s="155"/>
      <c r="D196" s="155"/>
      <c r="E196" s="155"/>
      <c r="F196" s="155"/>
      <c r="G196" s="155"/>
      <c r="H196" s="47">
        <f>ПТО!G14</f>
        <v>12210</v>
      </c>
      <c r="I196" s="48" t="s">
        <v>73</v>
      </c>
    </row>
    <row r="197" spans="1:10" ht="18.75" customHeight="1">
      <c r="A197" s="155" t="str">
        <f>ПТО!F15</f>
        <v xml:space="preserve">  -  механизированная уборка и вывоз снега с придомовой территории</v>
      </c>
      <c r="B197" s="155"/>
      <c r="C197" s="155"/>
      <c r="D197" s="155"/>
      <c r="E197" s="155"/>
      <c r="F197" s="155"/>
      <c r="G197" s="155"/>
      <c r="H197" s="47">
        <f>ПТО!G15</f>
        <v>10000</v>
      </c>
      <c r="I197" s="48" t="s">
        <v>73</v>
      </c>
    </row>
    <row r="198" spans="1:10" ht="18.75" customHeight="1">
      <c r="A198" s="155" t="str">
        <f>ПТО!F16</f>
        <v xml:space="preserve">  -  ремонт крыльца</v>
      </c>
      <c r="B198" s="155"/>
      <c r="C198" s="155"/>
      <c r="D198" s="155"/>
      <c r="E198" s="155"/>
      <c r="F198" s="155"/>
      <c r="G198" s="155"/>
      <c r="H198" s="47">
        <f>ПТО!G16</f>
        <v>40000</v>
      </c>
      <c r="I198" s="50" t="s">
        <v>73</v>
      </c>
    </row>
    <row r="199" spans="1:10" ht="17.25" customHeight="1">
      <c r="A199" s="155" t="str">
        <f>ПТО!F17</f>
        <v xml:space="preserve">  -  ремонт водосточных труб</v>
      </c>
      <c r="B199" s="155"/>
      <c r="C199" s="155"/>
      <c r="D199" s="155"/>
      <c r="E199" s="155"/>
      <c r="F199" s="155"/>
      <c r="G199" s="155"/>
      <c r="H199" s="47">
        <f>ПТО!G17</f>
        <v>10000</v>
      </c>
      <c r="I199" s="48" t="s">
        <v>73</v>
      </c>
    </row>
    <row r="200" spans="1:10">
      <c r="A200" s="155" t="str">
        <f>ПТО!F18</f>
        <v xml:space="preserve">  -  монтаж греющего кабеля на кровле</v>
      </c>
      <c r="B200" s="155"/>
      <c r="C200" s="155"/>
      <c r="D200" s="155"/>
      <c r="E200" s="155"/>
      <c r="F200" s="155"/>
      <c r="G200" s="155"/>
      <c r="H200" s="47">
        <f>ПТО!G18</f>
        <v>70000</v>
      </c>
      <c r="I200" s="48" t="s">
        <v>73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47">
        <f>ПТО!G19</f>
        <v>0</v>
      </c>
      <c r="I201" s="48" t="s">
        <v>73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47">
        <f>ПТО!G20</f>
        <v>0</v>
      </c>
      <c r="I202" s="48" t="s">
        <v>73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47">
        <f>ПТО!G21</f>
        <v>0</v>
      </c>
      <c r="I203" s="48" t="s">
        <v>73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47">
        <f>ПТО!G22</f>
        <v>0</v>
      </c>
      <c r="I204" s="48" t="s">
        <v>73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47">
        <f>ПТО!G23</f>
        <v>0</v>
      </c>
      <c r="I205" s="48" t="s">
        <v>73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47">
        <f>ПТО!G24</f>
        <v>0</v>
      </c>
      <c r="I206" s="48" t="s">
        <v>73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47">
        <f>ПТО!G25</f>
        <v>0</v>
      </c>
      <c r="I207" s="48" t="s">
        <v>73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47">
        <f>ПТО!G26</f>
        <v>0</v>
      </c>
      <c r="I208" s="48" t="s">
        <v>73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47">
        <f>ПТО!G27</f>
        <v>0</v>
      </c>
      <c r="I209" s="48" t="s">
        <v>73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47">
        <f>ПТО!G28</f>
        <v>0</v>
      </c>
      <c r="I210" s="48" t="s">
        <v>73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47">
        <f>ПТО!G29</f>
        <v>0</v>
      </c>
      <c r="I211" s="48" t="s">
        <v>73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47">
        <f>ПТО!G30</f>
        <v>0</v>
      </c>
      <c r="I212" s="48" t="s">
        <v>73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151510</v>
      </c>
      <c r="I214" s="54" t="s">
        <v>76</v>
      </c>
    </row>
  </sheetData>
  <sheetProtection algorithmName="SHA-512" hashValue="8yRElYB66ZdS3n63XPxaYpXXRhq5z6nCa8nngMkX72la+kJ2zlR+3tWrKtbqqKYqR0jP+1zL0052acXmI6meEg==" saltValue="e440cdlZ6OkJp3nparvm0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0"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2" t="s">
        <v>18</v>
      </c>
      <c r="B1" s="122" t="s">
        <v>55</v>
      </c>
      <c r="C1" s="122" t="s">
        <v>20</v>
      </c>
      <c r="D1" s="122" t="s">
        <v>19</v>
      </c>
      <c r="E1" s="123"/>
      <c r="F1" s="98" t="s">
        <v>193</v>
      </c>
      <c r="G1" s="99">
        <v>-352691.5</v>
      </c>
    </row>
    <row r="2" spans="1:12" ht="18.75" customHeight="1">
      <c r="A2" s="124" t="s">
        <v>71</v>
      </c>
      <c r="B2" s="125" t="s">
        <v>178</v>
      </c>
      <c r="C2" s="125">
        <v>1</v>
      </c>
      <c r="D2" s="126">
        <v>8100</v>
      </c>
      <c r="E2" s="127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177</v>
      </c>
      <c r="B3" s="128" t="s">
        <v>183</v>
      </c>
      <c r="C3" s="129">
        <v>12</v>
      </c>
      <c r="D3" s="130">
        <f>(1750*4*0.55)+(1850*8*0.55)</f>
        <v>11990.000000000002</v>
      </c>
      <c r="E3" s="127" t="s">
        <v>206</v>
      </c>
      <c r="F3" s="121" t="s">
        <v>205</v>
      </c>
      <c r="G3" s="30"/>
      <c r="L3" s="33" t="str">
        <f t="shared" si="0"/>
        <v>ТР</v>
      </c>
    </row>
    <row r="4" spans="1:12" ht="18.75" customHeight="1">
      <c r="A4" s="131" t="s">
        <v>185</v>
      </c>
      <c r="B4" s="132" t="s">
        <v>186</v>
      </c>
      <c r="C4" s="132">
        <v>1</v>
      </c>
      <c r="D4" s="133">
        <v>8332</v>
      </c>
      <c r="E4" s="134" t="s">
        <v>194</v>
      </c>
      <c r="F4" s="30"/>
      <c r="G4" s="30"/>
      <c r="L4" s="33" t="str">
        <f t="shared" si="0"/>
        <v>ТР</v>
      </c>
    </row>
    <row r="5" spans="1:12" ht="18.75" customHeight="1">
      <c r="A5" s="131" t="s">
        <v>187</v>
      </c>
      <c r="B5" s="132" t="s">
        <v>186</v>
      </c>
      <c r="C5" s="135">
        <v>1</v>
      </c>
      <c r="D5" s="136">
        <v>56379.46</v>
      </c>
      <c r="E5" s="127" t="s">
        <v>204</v>
      </c>
      <c r="F5" s="42"/>
      <c r="G5" s="42"/>
      <c r="K5" s="44"/>
      <c r="L5" s="33" t="str">
        <f t="shared" si="0"/>
        <v>ТР</v>
      </c>
    </row>
    <row r="6" spans="1:12" ht="18.75" customHeight="1">
      <c r="A6" s="131" t="s">
        <v>195</v>
      </c>
      <c r="B6" s="132" t="s">
        <v>186</v>
      </c>
      <c r="C6" s="135">
        <v>1</v>
      </c>
      <c r="D6" s="136">
        <v>8350</v>
      </c>
      <c r="E6" s="127" t="s">
        <v>207</v>
      </c>
      <c r="F6" s="42"/>
      <c r="G6" s="42"/>
      <c r="K6" s="44"/>
      <c r="L6" s="33" t="str">
        <f t="shared" si="0"/>
        <v>ТР</v>
      </c>
    </row>
    <row r="7" spans="1:12" ht="18.75" customHeight="1">
      <c r="A7" s="131" t="s">
        <v>196</v>
      </c>
      <c r="B7" s="132" t="s">
        <v>186</v>
      </c>
      <c r="C7" s="135">
        <v>1</v>
      </c>
      <c r="D7" s="136">
        <v>20935</v>
      </c>
      <c r="E7" s="127" t="s">
        <v>201</v>
      </c>
      <c r="F7" s="43"/>
      <c r="G7" s="43"/>
      <c r="K7" s="44"/>
      <c r="L7" s="33" t="str">
        <f t="shared" si="0"/>
        <v>ТР</v>
      </c>
    </row>
    <row r="8" spans="1:12" ht="18.75" customHeight="1">
      <c r="A8" s="137" t="s">
        <v>198</v>
      </c>
      <c r="B8" s="138" t="s">
        <v>186</v>
      </c>
      <c r="C8" s="139">
        <v>1</v>
      </c>
      <c r="D8" s="140">
        <v>385000</v>
      </c>
      <c r="E8" s="141" t="s">
        <v>200</v>
      </c>
      <c r="F8" s="43"/>
      <c r="G8" s="43"/>
      <c r="K8" s="41"/>
      <c r="L8" s="33" t="str">
        <f t="shared" si="0"/>
        <v>ТР</v>
      </c>
    </row>
    <row r="9" spans="1:12">
      <c r="A9" s="142" t="s">
        <v>199</v>
      </c>
      <c r="B9" s="143" t="s">
        <v>186</v>
      </c>
      <c r="C9" s="132">
        <v>1</v>
      </c>
      <c r="D9" s="140">
        <v>1080</v>
      </c>
      <c r="E9" s="127" t="s">
        <v>202</v>
      </c>
      <c r="F9" s="42"/>
      <c r="G9" s="42"/>
      <c r="K9" s="41"/>
      <c r="L9" s="33" t="str">
        <f t="shared" si="0"/>
        <v>ТР</v>
      </c>
    </row>
    <row r="10" spans="1:12">
      <c r="A10" s="144" t="s">
        <v>203</v>
      </c>
      <c r="B10" s="132" t="s">
        <v>186</v>
      </c>
      <c r="C10" s="132">
        <v>1</v>
      </c>
      <c r="D10" s="127">
        <v>3500</v>
      </c>
      <c r="E10" s="127" t="s">
        <v>208</v>
      </c>
      <c r="L10" s="33" t="str">
        <f t="shared" si="0"/>
        <v>ТР</v>
      </c>
    </row>
    <row r="11" spans="1:12" ht="94.5">
      <c r="A11" s="150"/>
      <c r="B11" s="151"/>
      <c r="C11" s="152"/>
      <c r="D11" s="153"/>
      <c r="E11" s="127"/>
      <c r="F11" s="109" t="s">
        <v>189</v>
      </c>
      <c r="G11" s="109"/>
      <c r="L11" s="33">
        <f t="shared" si="0"/>
        <v>0</v>
      </c>
    </row>
    <row r="12" spans="1:12" ht="31.5">
      <c r="A12" s="30"/>
      <c r="F12" s="113" t="s">
        <v>72</v>
      </c>
      <c r="G12" s="114">
        <v>1200</v>
      </c>
      <c r="L12" s="33">
        <f t="shared" si="0"/>
        <v>0</v>
      </c>
    </row>
    <row r="13" spans="1:12" ht="31.5">
      <c r="A13" s="30"/>
      <c r="F13" s="113" t="s">
        <v>74</v>
      </c>
      <c r="G13" s="114">
        <v>8100</v>
      </c>
      <c r="L13" s="33">
        <f t="shared" si="0"/>
        <v>0</v>
      </c>
    </row>
    <row r="14" spans="1:12" ht="31.5">
      <c r="A14" s="30"/>
      <c r="F14" s="113" t="s">
        <v>182</v>
      </c>
      <c r="G14" s="114">
        <v>12210</v>
      </c>
      <c r="L14" s="33">
        <f t="shared" si="0"/>
        <v>0</v>
      </c>
    </row>
    <row r="15" spans="1:12" ht="31.5">
      <c r="A15" s="30"/>
      <c r="F15" s="113" t="s">
        <v>184</v>
      </c>
      <c r="G15" s="118">
        <v>10000</v>
      </c>
      <c r="L15" s="33">
        <f t="shared" si="0"/>
        <v>0</v>
      </c>
    </row>
    <row r="16" spans="1:12" ht="15.75">
      <c r="A16" s="30"/>
      <c r="F16" s="113" t="s">
        <v>188</v>
      </c>
      <c r="G16" s="120">
        <v>40000</v>
      </c>
      <c r="L16" s="33">
        <f t="shared" si="0"/>
        <v>0</v>
      </c>
    </row>
    <row r="17" spans="1:12" ht="15.75">
      <c r="A17" s="30"/>
      <c r="F17" s="113" t="s">
        <v>210</v>
      </c>
      <c r="G17" s="120">
        <v>10000</v>
      </c>
      <c r="L17" s="33">
        <f t="shared" si="0"/>
        <v>0</v>
      </c>
    </row>
    <row r="18" spans="1:12" ht="15.75">
      <c r="A18" s="30"/>
      <c r="F18" s="154" t="s">
        <v>211</v>
      </c>
      <c r="G18" s="118">
        <v>70000</v>
      </c>
      <c r="L18" s="33">
        <f t="shared" si="0"/>
        <v>0</v>
      </c>
    </row>
    <row r="19" spans="1:12" ht="15.75">
      <c r="A19" s="30"/>
      <c r="F19" s="119"/>
      <c r="G19" s="120"/>
      <c r="L19" s="33">
        <f t="shared" si="0"/>
        <v>0</v>
      </c>
    </row>
    <row r="20" spans="1:12" ht="15.75">
      <c r="A20" s="30"/>
      <c r="F20" s="113"/>
      <c r="G20" s="120"/>
      <c r="L20" s="33">
        <f t="shared" si="0"/>
        <v>0</v>
      </c>
    </row>
    <row r="21" spans="1:12" ht="15.75">
      <c r="F21" s="119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45" t="s">
        <v>21</v>
      </c>
      <c r="B39" s="146">
        <f>G39*F39*'Абонентский отдел'!$F$1</f>
        <v>121855.416</v>
      </c>
      <c r="C39" s="146" t="s">
        <v>66</v>
      </c>
      <c r="D39" s="147">
        <v>12</v>
      </c>
      <c r="E39" s="34"/>
      <c r="F39" s="115">
        <v>4.54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121855.416</v>
      </c>
      <c r="O39" s="39" t="str">
        <f>C39</f>
        <v>Ежемесячно</v>
      </c>
      <c r="P39">
        <f>D39</f>
        <v>12</v>
      </c>
    </row>
    <row r="40" spans="1:16" ht="31.5" customHeight="1">
      <c r="A40" s="145" t="s">
        <v>174</v>
      </c>
      <c r="B40" s="146">
        <f>G40*F40*'Абонентский отдел'!$F$1</f>
        <v>107093.196</v>
      </c>
      <c r="C40" s="146" t="s">
        <v>66</v>
      </c>
      <c r="D40" s="147">
        <v>12</v>
      </c>
      <c r="E40" s="34"/>
      <c r="F40" s="115">
        <v>3.99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107093.196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5" t="s">
        <v>209</v>
      </c>
      <c r="B41" s="146">
        <f>G41*F41*'Абонентский отдел'!$F$1</f>
        <v>35966.135999999999</v>
      </c>
      <c r="C41" s="146" t="s">
        <v>67</v>
      </c>
      <c r="D41" s="147">
        <v>12</v>
      </c>
      <c r="E41" s="34"/>
      <c r="F41" s="115">
        <v>1.34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35966.135999999999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5" t="s">
        <v>22</v>
      </c>
      <c r="B42" s="146">
        <f>G42*F42*'Абонентский отдел'!$F$1</f>
        <v>32208.479999999996</v>
      </c>
      <c r="C42" s="146" t="s">
        <v>66</v>
      </c>
      <c r="D42" s="147">
        <v>12</v>
      </c>
      <c r="E42" s="34"/>
      <c r="F42" s="149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32208.479999999996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45"/>
      <c r="B43" s="146"/>
      <c r="C43" s="146"/>
      <c r="D43" s="147"/>
      <c r="E43" s="34"/>
      <c r="F43" s="115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5" t="s">
        <v>23</v>
      </c>
      <c r="B44" s="146">
        <f>G44*F44*'Абонентский отдел'!$F$1</f>
        <v>10736.16</v>
      </c>
      <c r="C44" s="146" t="s">
        <v>68</v>
      </c>
      <c r="D44" s="147">
        <v>12</v>
      </c>
      <c r="E44" s="34"/>
      <c r="F44" s="149">
        <v>0.4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10736.16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5" t="s">
        <v>24</v>
      </c>
      <c r="B45" s="146">
        <f>G45*F45*'Абонентский отдел'!$F$1</f>
        <v>50191.547999999995</v>
      </c>
      <c r="C45" s="146" t="s">
        <v>67</v>
      </c>
      <c r="D45" s="147">
        <v>12</v>
      </c>
      <c r="E45" s="34"/>
      <c r="F45" s="149">
        <v>1.87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50191.547999999995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45" t="s">
        <v>176</v>
      </c>
      <c r="B46" s="146">
        <f>G46*F46*'Абонентский отдел'!$F$1</f>
        <v>53949.203999999991</v>
      </c>
      <c r="C46" s="146" t="s">
        <v>66</v>
      </c>
      <c r="D46" s="148">
        <v>12</v>
      </c>
      <c r="F46" s="149">
        <v>2.0099999999999998</v>
      </c>
      <c r="G46" s="31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53949.203999999991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5"/>
      <c r="C47" s="116"/>
      <c r="D47" s="46"/>
      <c r="E47" s="115"/>
      <c r="F47" s="115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o5kSDrMIC20QnY6eKMojLrop7z6Z40Wz0Zd9q/ouvL5/qLkRfb6+X2jMlW2Fgavkg/2Z0JxvASmk90gIX3uQtA==" saltValue="fVcgZp95NnItcIuEedp9i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179</v>
      </c>
      <c r="F1" s="58">
        <v>2236.6999999999998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583303.44999999995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539231.85599999991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412008.36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F1*4.74*12</f>
        <v>127223.49599999998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578178.91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578178.91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578178.91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544356.39599999983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86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86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86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86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85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85"/>
      <c r="N26" s="61"/>
    </row>
    <row r="27" spans="1:15" ht="18.75" customHeight="1">
      <c r="A27" s="68" t="s">
        <v>104</v>
      </c>
      <c r="B27" s="73" t="s">
        <v>3</v>
      </c>
      <c r="C27" s="84">
        <v>118799.15</v>
      </c>
      <c r="D27" s="79" t="s">
        <v>58</v>
      </c>
      <c r="E27" s="62"/>
      <c r="F27" s="62"/>
      <c r="G27" s="62"/>
      <c r="H27" s="62"/>
      <c r="I27" s="62"/>
      <c r="J27" s="62"/>
      <c r="M27" s="185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85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85"/>
      <c r="N29" s="61"/>
    </row>
    <row r="30" spans="1:15" ht="18.75" customHeight="1">
      <c r="A30" s="68" t="s">
        <v>107</v>
      </c>
      <c r="B30" s="73" t="s">
        <v>17</v>
      </c>
      <c r="C30" s="84">
        <f>C27+E37+E45+E53+E61-C39-C47-C55-C63</f>
        <v>2156.5799999999435</v>
      </c>
      <c r="D30" s="79" t="s">
        <v>64</v>
      </c>
      <c r="E30" s="62"/>
      <c r="F30" s="62"/>
      <c r="G30" s="62"/>
      <c r="H30" s="62"/>
      <c r="I30" s="62"/>
      <c r="J30" s="62"/>
      <c r="M30" s="185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85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85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85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85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 t="str">
        <f>IF(E37&gt;0,"Предоставляется",0)</f>
        <v>Предоставляется</v>
      </c>
      <c r="D37" s="94" t="s">
        <v>50</v>
      </c>
      <c r="E37" s="93">
        <v>137682.07</v>
      </c>
      <c r="F37" s="92" t="s">
        <v>166</v>
      </c>
      <c r="G37" s="64"/>
      <c r="H37" s="64"/>
      <c r="I37" s="64"/>
      <c r="L37" s="61"/>
      <c r="M37" s="184"/>
      <c r="N37" s="61"/>
      <c r="O37" s="61"/>
    </row>
    <row r="38" spans="1:15" ht="18.75" customHeight="1">
      <c r="A38" s="68" t="s">
        <v>112</v>
      </c>
      <c r="B38" s="76" t="s">
        <v>35</v>
      </c>
      <c r="C38" s="88">
        <f>E37/1.5</f>
        <v>91788.046666666676</v>
      </c>
      <c r="D38" s="92" t="s">
        <v>164</v>
      </c>
      <c r="E38" s="66"/>
      <c r="G38" s="65"/>
      <c r="H38" s="65"/>
      <c r="L38" s="61"/>
      <c r="M38" s="184"/>
      <c r="N38" s="61"/>
      <c r="O38" s="61"/>
    </row>
    <row r="39" spans="1:15" ht="18.75" customHeight="1">
      <c r="A39" s="68" t="s">
        <v>113</v>
      </c>
      <c r="B39" s="76" t="s">
        <v>36</v>
      </c>
      <c r="C39" s="89">
        <v>176002.55</v>
      </c>
      <c r="D39" s="92" t="s">
        <v>165</v>
      </c>
      <c r="E39" s="117"/>
      <c r="G39" s="65"/>
      <c r="H39" s="65"/>
      <c r="L39" s="61"/>
      <c r="M39" s="184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117"/>
      <c r="G40" s="65"/>
      <c r="H40" s="65"/>
      <c r="L40" s="61"/>
      <c r="M40" s="184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137682.07</v>
      </c>
      <c r="D41" s="78" t="s">
        <v>57</v>
      </c>
      <c r="E41" s="117"/>
      <c r="G41" s="65"/>
      <c r="H41" s="65"/>
      <c r="L41" s="61"/>
      <c r="M41" s="184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137682.07</v>
      </c>
      <c r="D42" s="78" t="s">
        <v>57</v>
      </c>
      <c r="E42" s="66"/>
      <c r="G42" s="65"/>
      <c r="H42" s="65"/>
      <c r="L42" s="61"/>
      <c r="M42" s="184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84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84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84414.13</v>
      </c>
      <c r="F45" s="92" t="s">
        <v>166</v>
      </c>
      <c r="G45" s="64"/>
      <c r="H45" s="64"/>
      <c r="L45" s="61"/>
      <c r="M45" s="184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f>E45/15.95</f>
        <v>5292.4219435736686</v>
      </c>
      <c r="D46" s="92" t="s">
        <v>167</v>
      </c>
      <c r="E46" s="66"/>
      <c r="G46" s="65"/>
      <c r="H46" s="65"/>
      <c r="L46" s="61"/>
      <c r="M46" s="184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117313.96</v>
      </c>
      <c r="D47" s="92" t="s">
        <v>165</v>
      </c>
      <c r="E47" s="66"/>
      <c r="G47" s="65"/>
      <c r="H47" s="65"/>
      <c r="L47" s="61"/>
      <c r="M47" s="184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84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84414.13</v>
      </c>
      <c r="D49" s="78" t="s">
        <v>57</v>
      </c>
      <c r="E49" s="66"/>
      <c r="G49" s="65"/>
      <c r="H49" s="65"/>
      <c r="L49" s="61"/>
      <c r="M49" s="184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84414.13</v>
      </c>
      <c r="D50" s="78" t="s">
        <v>57</v>
      </c>
      <c r="E50" s="66"/>
      <c r="G50" s="65"/>
      <c r="H50" s="65"/>
      <c r="L50" s="61"/>
      <c r="M50" s="184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84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84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86397.95</v>
      </c>
      <c r="F53" s="92" t="s">
        <v>166</v>
      </c>
      <c r="G53" s="64"/>
      <c r="H53" s="64"/>
      <c r="L53" s="61"/>
      <c r="M53" s="184"/>
      <c r="N53" s="61"/>
      <c r="O53" s="61"/>
    </row>
    <row r="54" spans="1:15" ht="18.75" customHeight="1">
      <c r="A54" s="71" t="s">
        <v>129</v>
      </c>
      <c r="B54" s="73" t="s">
        <v>35</v>
      </c>
      <c r="C54" s="96">
        <f>E53/19.39</f>
        <v>4455.7993811242904</v>
      </c>
      <c r="D54" s="92" t="s">
        <v>167</v>
      </c>
      <c r="E54" s="67"/>
      <c r="F54" s="87"/>
      <c r="G54" s="62"/>
      <c r="H54" s="62"/>
      <c r="L54" s="61"/>
      <c r="M54" s="184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127425.17</v>
      </c>
      <c r="D55" s="92" t="s">
        <v>165</v>
      </c>
      <c r="E55" s="67"/>
      <c r="G55" s="62"/>
      <c r="H55" s="62"/>
      <c r="L55" s="61"/>
      <c r="M55" s="184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84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86397.95</v>
      </c>
      <c r="D57" s="78" t="s">
        <v>57</v>
      </c>
      <c r="E57" s="67"/>
      <c r="G57" s="62"/>
      <c r="H57" s="62"/>
      <c r="L57" s="61"/>
      <c r="M57" s="184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86397.95</v>
      </c>
      <c r="D58" s="78" t="s">
        <v>57</v>
      </c>
      <c r="E58" s="67"/>
      <c r="G58" s="62"/>
      <c r="H58" s="62"/>
      <c r="L58" s="61"/>
      <c r="M58" s="184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84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84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112513.03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6">
        <f>E61/591.84</f>
        <v>190.10717423628006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116908.07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112513.03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112513.03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6">
        <v>0</v>
      </c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>
        <v>0</v>
      </c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4" sqref="H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>
        <v>2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2025-03-12T00:32:02Z</dcterms:modified>
</cp:coreProperties>
</file>